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5" yWindow="-45" windowWidth="18330" windowHeight="11775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C313" i="2" l="1"/>
  <c r="B313" i="2"/>
  <c r="B308" i="2"/>
  <c r="E37" i="2" l="1"/>
  <c r="E47" i="2" l="1"/>
  <c r="E48" i="2"/>
  <c r="E49" i="2"/>
  <c r="E40" i="2"/>
  <c r="E41" i="2"/>
  <c r="E42" i="2"/>
  <c r="E43" i="2"/>
  <c r="E39" i="2"/>
  <c r="E26" i="2"/>
  <c r="E27" i="2"/>
  <c r="E28" i="2"/>
  <c r="E29" i="2"/>
  <c r="E30" i="2"/>
  <c r="E31" i="2"/>
  <c r="E32" i="2"/>
  <c r="E33" i="2"/>
  <c r="E34" i="2"/>
  <c r="E35" i="2"/>
  <c r="E25" i="2"/>
  <c r="E18" i="2"/>
  <c r="E19" i="2"/>
  <c r="E20" i="2"/>
  <c r="E21" i="2"/>
  <c r="E22" i="2"/>
  <c r="E23" i="2"/>
  <c r="E17" i="2"/>
  <c r="E15" i="2"/>
  <c r="E14" i="2"/>
  <c r="E13" i="2"/>
  <c r="E12" i="2"/>
  <c r="E313" i="2" l="1"/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B236" i="18"/>
  <c r="B235" i="18"/>
  <c r="B232" i="18"/>
  <c r="B231" i="18"/>
  <c r="B228" i="18"/>
  <c r="B227" i="18"/>
  <c r="B226" i="18"/>
  <c r="B225" i="18"/>
  <c r="B223" i="18"/>
  <c r="B222" i="18"/>
  <c r="B221" i="18"/>
  <c r="B220" i="18"/>
  <c r="B214" i="18"/>
  <c r="B213" i="18"/>
  <c r="B212" i="18"/>
  <c r="B211" i="18"/>
  <c r="B210" i="18"/>
  <c r="B209" i="18"/>
  <c r="B208" i="18"/>
  <c r="B207" i="18"/>
  <c r="B206" i="18"/>
  <c r="B203" i="18"/>
  <c r="B202" i="18"/>
  <c r="B199" i="18"/>
  <c r="B198" i="18"/>
  <c r="B195" i="18"/>
  <c r="B194" i="18"/>
  <c r="B193" i="18"/>
  <c r="B192" i="18"/>
  <c r="B190" i="18"/>
  <c r="B189" i="18"/>
  <c r="B188" i="18"/>
  <c r="B187" i="18"/>
  <c r="B178" i="18"/>
  <c r="B176" i="18"/>
  <c r="B175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B21" i="6"/>
  <c r="B48" i="6" s="1"/>
  <c r="A1" i="6"/>
  <c r="B60" i="5"/>
  <c r="C101" i="5" s="1"/>
  <c r="B39" i="5"/>
  <c r="B27" i="5"/>
  <c r="B97" i="5" s="1"/>
  <c r="B23" i="5"/>
  <c r="B93" i="5" s="1"/>
  <c r="B19" i="5"/>
  <c r="B83" i="5" s="1"/>
  <c r="B15" i="5"/>
  <c r="B78" i="5" s="1"/>
  <c r="B11" i="5"/>
  <c r="B72" i="5" s="1"/>
  <c r="A1" i="5"/>
  <c r="B31" i="4"/>
  <c r="C32" i="4" s="1"/>
  <c r="F21" i="4"/>
  <c r="B35" i="4" s="1"/>
  <c r="C36" i="4" s="1"/>
  <c r="B12" i="4"/>
  <c r="B148" i="5" s="1"/>
  <c r="A1" i="4"/>
  <c r="I251" i="3"/>
  <c r="J250" i="3"/>
  <c r="B250" i="3"/>
  <c r="C249" i="3"/>
  <c r="H248" i="3"/>
  <c r="I247" i="3"/>
  <c r="J246" i="3"/>
  <c r="B246" i="3"/>
  <c r="C245" i="3"/>
  <c r="H244" i="3"/>
  <c r="I243" i="3"/>
  <c r="J242" i="3"/>
  <c r="B242" i="3"/>
  <c r="C241" i="3"/>
  <c r="H240" i="3"/>
  <c r="I239" i="3"/>
  <c r="J238" i="3"/>
  <c r="B238" i="3"/>
  <c r="C237" i="3"/>
  <c r="H236" i="3"/>
  <c r="I235" i="3"/>
  <c r="J234" i="3"/>
  <c r="B234" i="3"/>
  <c r="C233" i="3"/>
  <c r="H232" i="3"/>
  <c r="I231" i="3"/>
  <c r="J230" i="3"/>
  <c r="B230" i="3"/>
  <c r="C229" i="3"/>
  <c r="H228" i="3"/>
  <c r="I227" i="3"/>
  <c r="J226" i="3"/>
  <c r="B226" i="3"/>
  <c r="C225" i="3"/>
  <c r="H224" i="3"/>
  <c r="I223" i="3"/>
  <c r="J222" i="3"/>
  <c r="B222" i="3"/>
  <c r="C221" i="3"/>
  <c r="H220" i="3"/>
  <c r="I219" i="3"/>
  <c r="J209" i="3"/>
  <c r="J251" i="3" s="1"/>
  <c r="I209" i="3"/>
  <c r="H209" i="3"/>
  <c r="H251" i="3" s="1"/>
  <c r="C209" i="3"/>
  <c r="C251" i="3" s="1"/>
  <c r="B209" i="3"/>
  <c r="B251" i="3" s="1"/>
  <c r="J208" i="3"/>
  <c r="I208" i="3"/>
  <c r="I250" i="3" s="1"/>
  <c r="H208" i="3"/>
  <c r="H250" i="3" s="1"/>
  <c r="C208" i="3"/>
  <c r="C250" i="3" s="1"/>
  <c r="B208" i="3"/>
  <c r="J207" i="3"/>
  <c r="J249" i="3" s="1"/>
  <c r="I207" i="3"/>
  <c r="I249" i="3" s="1"/>
  <c r="H207" i="3"/>
  <c r="H249" i="3" s="1"/>
  <c r="C207" i="3"/>
  <c r="B207" i="3"/>
  <c r="B249" i="3" s="1"/>
  <c r="J206" i="3"/>
  <c r="J248" i="3" s="1"/>
  <c r="I206" i="3"/>
  <c r="I248" i="3" s="1"/>
  <c r="H206" i="3"/>
  <c r="C206" i="3"/>
  <c r="C248" i="3" s="1"/>
  <c r="B206" i="3"/>
  <c r="B248" i="3" s="1"/>
  <c r="J205" i="3"/>
  <c r="J247" i="3" s="1"/>
  <c r="I205" i="3"/>
  <c r="H205" i="3"/>
  <c r="H247" i="3" s="1"/>
  <c r="C205" i="3"/>
  <c r="C247" i="3" s="1"/>
  <c r="B205" i="3"/>
  <c r="B247" i="3" s="1"/>
  <c r="J204" i="3"/>
  <c r="I204" i="3"/>
  <c r="I246" i="3" s="1"/>
  <c r="H204" i="3"/>
  <c r="H246" i="3" s="1"/>
  <c r="C204" i="3"/>
  <c r="C246" i="3" s="1"/>
  <c r="B204" i="3"/>
  <c r="J203" i="3"/>
  <c r="J245" i="3" s="1"/>
  <c r="I203" i="3"/>
  <c r="I245" i="3" s="1"/>
  <c r="H203" i="3"/>
  <c r="H245" i="3" s="1"/>
  <c r="C203" i="3"/>
  <c r="B203" i="3"/>
  <c r="B245" i="3" s="1"/>
  <c r="J202" i="3"/>
  <c r="J244" i="3" s="1"/>
  <c r="I202" i="3"/>
  <c r="I244" i="3" s="1"/>
  <c r="H202" i="3"/>
  <c r="C202" i="3"/>
  <c r="C244" i="3" s="1"/>
  <c r="B202" i="3"/>
  <c r="B244" i="3" s="1"/>
  <c r="J201" i="3"/>
  <c r="J243" i="3" s="1"/>
  <c r="I201" i="3"/>
  <c r="H201" i="3"/>
  <c r="H243" i="3" s="1"/>
  <c r="C201" i="3"/>
  <c r="C243" i="3" s="1"/>
  <c r="B201" i="3"/>
  <c r="B243" i="3" s="1"/>
  <c r="J200" i="3"/>
  <c r="I200" i="3"/>
  <c r="I242" i="3" s="1"/>
  <c r="H200" i="3"/>
  <c r="H242" i="3" s="1"/>
  <c r="C200" i="3"/>
  <c r="C242" i="3" s="1"/>
  <c r="B200" i="3"/>
  <c r="J199" i="3"/>
  <c r="J241" i="3" s="1"/>
  <c r="I199" i="3"/>
  <c r="I241" i="3" s="1"/>
  <c r="H199" i="3"/>
  <c r="H241" i="3" s="1"/>
  <c r="C199" i="3"/>
  <c r="B199" i="3"/>
  <c r="B241" i="3" s="1"/>
  <c r="J198" i="3"/>
  <c r="J240" i="3" s="1"/>
  <c r="I198" i="3"/>
  <c r="I240" i="3" s="1"/>
  <c r="H198" i="3"/>
  <c r="C198" i="3"/>
  <c r="C240" i="3" s="1"/>
  <c r="B198" i="3"/>
  <c r="B240" i="3" s="1"/>
  <c r="J197" i="3"/>
  <c r="J239" i="3" s="1"/>
  <c r="I197" i="3"/>
  <c r="H197" i="3"/>
  <c r="H239" i="3" s="1"/>
  <c r="C197" i="3"/>
  <c r="C239" i="3" s="1"/>
  <c r="B197" i="3"/>
  <c r="B239" i="3" s="1"/>
  <c r="J196" i="3"/>
  <c r="I196" i="3"/>
  <c r="I238" i="3" s="1"/>
  <c r="H196" i="3"/>
  <c r="H238" i="3" s="1"/>
  <c r="C196" i="3"/>
  <c r="C238" i="3" s="1"/>
  <c r="B196" i="3"/>
  <c r="J195" i="3"/>
  <c r="J237" i="3" s="1"/>
  <c r="I195" i="3"/>
  <c r="I237" i="3" s="1"/>
  <c r="H195" i="3"/>
  <c r="H237" i="3" s="1"/>
  <c r="C195" i="3"/>
  <c r="B195" i="3"/>
  <c r="B237" i="3" s="1"/>
  <c r="J194" i="3"/>
  <c r="J236" i="3" s="1"/>
  <c r="I194" i="3"/>
  <c r="I236" i="3" s="1"/>
  <c r="H194" i="3"/>
  <c r="C194" i="3"/>
  <c r="C236" i="3" s="1"/>
  <c r="B194" i="3"/>
  <c r="B236" i="3" s="1"/>
  <c r="J193" i="3"/>
  <c r="J235" i="3" s="1"/>
  <c r="I193" i="3"/>
  <c r="H193" i="3"/>
  <c r="H235" i="3" s="1"/>
  <c r="C193" i="3"/>
  <c r="C235" i="3" s="1"/>
  <c r="B193" i="3"/>
  <c r="B235" i="3" s="1"/>
  <c r="J192" i="3"/>
  <c r="I192" i="3"/>
  <c r="I234" i="3" s="1"/>
  <c r="H192" i="3"/>
  <c r="H234" i="3" s="1"/>
  <c r="C192" i="3"/>
  <c r="C234" i="3" s="1"/>
  <c r="B192" i="3"/>
  <c r="J191" i="3"/>
  <c r="J233" i="3" s="1"/>
  <c r="I191" i="3"/>
  <c r="I233" i="3" s="1"/>
  <c r="H191" i="3"/>
  <c r="H233" i="3" s="1"/>
  <c r="C191" i="3"/>
  <c r="B191" i="3"/>
  <c r="B233" i="3" s="1"/>
  <c r="J190" i="3"/>
  <c r="J232" i="3" s="1"/>
  <c r="I190" i="3"/>
  <c r="I232" i="3" s="1"/>
  <c r="H190" i="3"/>
  <c r="C190" i="3"/>
  <c r="C232" i="3" s="1"/>
  <c r="B190" i="3"/>
  <c r="B232" i="3" s="1"/>
  <c r="J189" i="3"/>
  <c r="J231" i="3" s="1"/>
  <c r="I189" i="3"/>
  <c r="H189" i="3"/>
  <c r="H231" i="3" s="1"/>
  <c r="C189" i="3"/>
  <c r="C231" i="3" s="1"/>
  <c r="B189" i="3"/>
  <c r="B231" i="3" s="1"/>
  <c r="J188" i="3"/>
  <c r="I188" i="3"/>
  <c r="I230" i="3" s="1"/>
  <c r="H188" i="3"/>
  <c r="H230" i="3" s="1"/>
  <c r="C188" i="3"/>
  <c r="C230" i="3" s="1"/>
  <c r="B188" i="3"/>
  <c r="J187" i="3"/>
  <c r="J229" i="3" s="1"/>
  <c r="I187" i="3"/>
  <c r="I229" i="3" s="1"/>
  <c r="H187" i="3"/>
  <c r="H229" i="3" s="1"/>
  <c r="C187" i="3"/>
  <c r="B187" i="3"/>
  <c r="B229" i="3" s="1"/>
  <c r="J186" i="3"/>
  <c r="J228" i="3" s="1"/>
  <c r="I186" i="3"/>
  <c r="I228" i="3" s="1"/>
  <c r="H186" i="3"/>
  <c r="C186" i="3"/>
  <c r="C228" i="3" s="1"/>
  <c r="B186" i="3"/>
  <c r="B228" i="3" s="1"/>
  <c r="J185" i="3"/>
  <c r="J227" i="3" s="1"/>
  <c r="I185" i="3"/>
  <c r="H185" i="3"/>
  <c r="H227" i="3" s="1"/>
  <c r="C185" i="3"/>
  <c r="C227" i="3" s="1"/>
  <c r="B185" i="3"/>
  <c r="B227" i="3" s="1"/>
  <c r="J184" i="3"/>
  <c r="I184" i="3"/>
  <c r="I226" i="3" s="1"/>
  <c r="H184" i="3"/>
  <c r="H226" i="3" s="1"/>
  <c r="C184" i="3"/>
  <c r="C226" i="3" s="1"/>
  <c r="B184" i="3"/>
  <c r="J183" i="3"/>
  <c r="J225" i="3" s="1"/>
  <c r="I183" i="3"/>
  <c r="I225" i="3" s="1"/>
  <c r="H183" i="3"/>
  <c r="H225" i="3" s="1"/>
  <c r="C183" i="3"/>
  <c r="B183" i="3"/>
  <c r="B225" i="3" s="1"/>
  <c r="J182" i="3"/>
  <c r="J224" i="3" s="1"/>
  <c r="I182" i="3"/>
  <c r="I224" i="3" s="1"/>
  <c r="H182" i="3"/>
  <c r="C182" i="3"/>
  <c r="C224" i="3" s="1"/>
  <c r="B182" i="3"/>
  <c r="B224" i="3" s="1"/>
  <c r="J181" i="3"/>
  <c r="J223" i="3" s="1"/>
  <c r="I181" i="3"/>
  <c r="H181" i="3"/>
  <c r="H223" i="3" s="1"/>
  <c r="C181" i="3"/>
  <c r="C223" i="3" s="1"/>
  <c r="B181" i="3"/>
  <c r="B223" i="3" s="1"/>
  <c r="J180" i="3"/>
  <c r="I180" i="3"/>
  <c r="I222" i="3" s="1"/>
  <c r="H180" i="3"/>
  <c r="H222" i="3" s="1"/>
  <c r="C180" i="3"/>
  <c r="C222" i="3" s="1"/>
  <c r="B180" i="3"/>
  <c r="J179" i="3"/>
  <c r="J221" i="3" s="1"/>
  <c r="I179" i="3"/>
  <c r="I221" i="3" s="1"/>
  <c r="H179" i="3"/>
  <c r="H221" i="3" s="1"/>
  <c r="C179" i="3"/>
  <c r="B179" i="3"/>
  <c r="B221" i="3" s="1"/>
  <c r="J178" i="3"/>
  <c r="J220" i="3" s="1"/>
  <c r="I178" i="3"/>
  <c r="I220" i="3" s="1"/>
  <c r="H178" i="3"/>
  <c r="C178" i="3"/>
  <c r="C220" i="3" s="1"/>
  <c r="B178" i="3"/>
  <c r="B220" i="3" s="1"/>
  <c r="J177" i="3"/>
  <c r="J219" i="3" s="1"/>
  <c r="I177" i="3"/>
  <c r="H177" i="3"/>
  <c r="H219" i="3" s="1"/>
  <c r="C177" i="3"/>
  <c r="C219" i="3" s="1"/>
  <c r="B177" i="3"/>
  <c r="B219" i="3" s="1"/>
  <c r="B74" i="3"/>
  <c r="J83" i="3" s="1"/>
  <c r="B70" i="3"/>
  <c r="F83" i="3" s="1"/>
  <c r="I46" i="3"/>
  <c r="I42" i="3"/>
  <c r="I38" i="3"/>
  <c r="I34" i="3"/>
  <c r="I30" i="3"/>
  <c r="I26" i="3"/>
  <c r="I22" i="3"/>
  <c r="I18" i="3"/>
  <c r="I14" i="3"/>
  <c r="A1" i="3"/>
  <c r="B43" i="24"/>
  <c r="B42" i="24"/>
  <c r="B31" i="25" s="1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H90" i="24"/>
  <c r="D90" i="24"/>
  <c r="C90" i="24"/>
  <c r="C149" i="21"/>
  <c r="B149" i="21"/>
  <c r="H88" i="24"/>
  <c r="D87" i="24"/>
  <c r="C87" i="24"/>
  <c r="C144" i="21"/>
  <c r="K144" i="21" s="1"/>
  <c r="H86" i="24"/>
  <c r="D86" i="24"/>
  <c r="C86" i="24"/>
  <c r="C139" i="21"/>
  <c r="K139" i="21" s="1"/>
  <c r="B139" i="21"/>
  <c r="H84" i="24"/>
  <c r="D83" i="24"/>
  <c r="C83" i="24"/>
  <c r="C134" i="21"/>
  <c r="K134" i="21" s="1"/>
  <c r="C133" i="21"/>
  <c r="K133" i="21" s="1"/>
  <c r="H82" i="24"/>
  <c r="D82" i="24"/>
  <c r="C82" i="24"/>
  <c r="C128" i="21"/>
  <c r="B128" i="21"/>
  <c r="C127" i="21"/>
  <c r="K127" i="21" s="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B117" i="21"/>
  <c r="C116" i="21"/>
  <c r="K116" i="21" s="1"/>
  <c r="B116" i="2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K100" i="21" s="1"/>
  <c r="B100" i="21"/>
  <c r="C97" i="21"/>
  <c r="H72" i="24"/>
  <c r="G72" i="24"/>
  <c r="F72" i="24"/>
  <c r="D72" i="24"/>
  <c r="C72" i="24"/>
  <c r="C94" i="21"/>
  <c r="H71" i="24"/>
  <c r="G71" i="24"/>
  <c r="F71" i="24"/>
  <c r="D71" i="24"/>
  <c r="C71" i="24"/>
  <c r="C91" i="21"/>
  <c r="C90" i="21"/>
  <c r="H70" i="24"/>
  <c r="G70" i="24"/>
  <c r="F70" i="24"/>
  <c r="D70" i="24"/>
  <c r="C70" i="24"/>
  <c r="C87" i="21"/>
  <c r="C86" i="21"/>
  <c r="D69" i="24"/>
  <c r="C69" i="24"/>
  <c r="C83" i="21"/>
  <c r="K83" i="21" s="1"/>
  <c r="C82" i="21"/>
  <c r="K82" i="21" s="1"/>
  <c r="D68" i="24"/>
  <c r="C68" i="24"/>
  <c r="C67" i="24"/>
  <c r="C66" i="24"/>
  <c r="C75" i="21"/>
  <c r="K75" i="21" s="1"/>
  <c r="B75" i="21"/>
  <c r="C74" i="21"/>
  <c r="K74" i="21" s="1"/>
  <c r="C65" i="24"/>
  <c r="C71" i="21"/>
  <c r="K71" i="21" s="1"/>
  <c r="B71" i="21"/>
  <c r="C70" i="21"/>
  <c r="K70" i="21" s="1"/>
  <c r="B70" i="21"/>
  <c r="C67" i="21"/>
  <c r="C66" i="21"/>
  <c r="B66" i="2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B55" i="21"/>
  <c r="C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0" i="6"/>
  <c r="B47" i="6" s="1"/>
  <c r="B19" i="6"/>
  <c r="B46" i="6" s="1"/>
  <c r="B316" i="6"/>
  <c r="I21" i="4"/>
  <c r="B38" i="4" s="1"/>
  <c r="H21" i="4"/>
  <c r="B37" i="4" s="1"/>
  <c r="C38" i="4" s="1"/>
  <c r="G21" i="4"/>
  <c r="B36" i="4" s="1"/>
  <c r="C37" i="4" s="1"/>
  <c r="E21" i="4"/>
  <c r="B34" i="4" s="1"/>
  <c r="C35" i="4" s="1"/>
  <c r="D21" i="4"/>
  <c r="B33" i="4" s="1"/>
  <c r="C34" i="4" s="1"/>
  <c r="B73" i="3"/>
  <c r="I83" i="3" s="1"/>
  <c r="B63" i="5"/>
  <c r="C104" i="5" s="1"/>
  <c r="B62" i="5"/>
  <c r="C103" i="5" s="1"/>
  <c r="C149" i="5" s="1"/>
  <c r="B61" i="5"/>
  <c r="C102" i="5" s="1"/>
  <c r="B59" i="5"/>
  <c r="C85" i="5" s="1"/>
  <c r="B58" i="5"/>
  <c r="C80" i="5" s="1"/>
  <c r="B30" i="5"/>
  <c r="B100" i="5" s="1"/>
  <c r="B29" i="5"/>
  <c r="B99" i="5" s="1"/>
  <c r="B28" i="5"/>
  <c r="B98" i="5" s="1"/>
  <c r="B144" i="5" s="1"/>
  <c r="B26" i="5"/>
  <c r="B96" i="5" s="1"/>
  <c r="B25" i="5"/>
  <c r="B95" i="5" s="1"/>
  <c r="B24" i="5"/>
  <c r="B94" i="5" s="1"/>
  <c r="B140" i="5" s="1"/>
  <c r="B22" i="5"/>
  <c r="B92" i="5" s="1"/>
  <c r="B21" i="5"/>
  <c r="B91" i="5" s="1"/>
  <c r="B20" i="5"/>
  <c r="B84" i="5" s="1"/>
  <c r="B18" i="5"/>
  <c r="B82" i="5" s="1"/>
  <c r="B128" i="5" s="1"/>
  <c r="B17" i="5"/>
  <c r="B81" i="5" s="1"/>
  <c r="B16" i="5"/>
  <c r="B79" i="5" s="1"/>
  <c r="B14" i="5"/>
  <c r="B76" i="5" s="1"/>
  <c r="B13" i="5"/>
  <c r="B75" i="5" s="1"/>
  <c r="B12" i="5"/>
  <c r="B73" i="5" s="1"/>
  <c r="B131" i="3"/>
  <c r="B49" i="4"/>
  <c r="B50" i="4" s="1"/>
  <c r="B51" i="4" s="1"/>
  <c r="B52" i="4" s="1"/>
  <c r="C48" i="4"/>
  <c r="F50" i="2"/>
  <c r="F44" i="2"/>
  <c r="F36" i="2"/>
  <c r="F24" i="2"/>
  <c r="A1" i="2"/>
  <c r="A1" i="1"/>
  <c r="B261" i="3" l="1"/>
  <c r="B265" i="3"/>
  <c r="B269" i="3"/>
  <c r="B273" i="3"/>
  <c r="B277" i="3"/>
  <c r="B281" i="3"/>
  <c r="B43" i="12" s="1"/>
  <c r="B35" i="16" s="1"/>
  <c r="B285" i="3"/>
  <c r="B47" i="12" s="1"/>
  <c r="B289" i="3"/>
  <c r="B51" i="12" s="1"/>
  <c r="B293" i="3"/>
  <c r="B55" i="12" s="1"/>
  <c r="B124" i="5"/>
  <c r="B49" i="5"/>
  <c r="I293" i="3"/>
  <c r="I289" i="3"/>
  <c r="I285" i="3"/>
  <c r="I281" i="3"/>
  <c r="I277" i="3"/>
  <c r="I273" i="3"/>
  <c r="I269" i="3"/>
  <c r="I265" i="3"/>
  <c r="I261" i="3"/>
  <c r="C238" i="7"/>
  <c r="D29" i="7"/>
  <c r="C46" i="7" s="1"/>
  <c r="C338" i="7" s="1"/>
  <c r="C29" i="7"/>
  <c r="B46" i="7" s="1"/>
  <c r="B338" i="7" s="1"/>
  <c r="E29" i="7"/>
  <c r="D46" i="7" s="1"/>
  <c r="D338" i="7" s="1"/>
  <c r="D33" i="7"/>
  <c r="C50" i="7" s="1"/>
  <c r="C33" i="7"/>
  <c r="B50" i="7" s="1"/>
  <c r="E33" i="7"/>
  <c r="D50" i="7" s="1"/>
  <c r="E77" i="7"/>
  <c r="D90" i="7" s="1"/>
  <c r="D77" i="7"/>
  <c r="C90" i="7" s="1"/>
  <c r="C77" i="7"/>
  <c r="B90" i="7" s="1"/>
  <c r="E693" i="7"/>
  <c r="D705" i="7" s="1"/>
  <c r="D693" i="7"/>
  <c r="C705" i="7" s="1"/>
  <c r="C693" i="7"/>
  <c r="B705" i="7" s="1"/>
  <c r="D237" i="22"/>
  <c r="K153" i="16"/>
  <c r="D124" i="5"/>
  <c r="B31" i="12"/>
  <c r="B60" i="13" s="1"/>
  <c r="B35" i="12"/>
  <c r="B39" i="12"/>
  <c r="D28" i="7"/>
  <c r="C45" i="7" s="1"/>
  <c r="C411" i="7" s="1"/>
  <c r="C28" i="7"/>
  <c r="B45" i="7" s="1"/>
  <c r="B411" i="7" s="1"/>
  <c r="E28" i="7"/>
  <c r="D45" i="7" s="1"/>
  <c r="D411" i="7" s="1"/>
  <c r="D32" i="7"/>
  <c r="C49" i="7" s="1"/>
  <c r="C32" i="7"/>
  <c r="B49" i="7" s="1"/>
  <c r="E32" i="7"/>
  <c r="D49" i="7" s="1"/>
  <c r="E76" i="7"/>
  <c r="D89" i="7" s="1"/>
  <c r="D76" i="7"/>
  <c r="C89" i="7" s="1"/>
  <c r="C76" i="7"/>
  <c r="B89" i="7" s="1"/>
  <c r="E692" i="7"/>
  <c r="D704" i="7" s="1"/>
  <c r="D692" i="7"/>
  <c r="C704" i="7" s="1"/>
  <c r="C692" i="7"/>
  <c r="B704" i="7" s="1"/>
  <c r="B67" i="4"/>
  <c r="B53" i="4"/>
  <c r="B54" i="4" s="1"/>
  <c r="B55" i="4" s="1"/>
  <c r="C739" i="22"/>
  <c r="K169" i="16"/>
  <c r="D140" i="5"/>
  <c r="C867" i="22"/>
  <c r="K173" i="16"/>
  <c r="D144" i="5"/>
  <c r="E1028" i="22"/>
  <c r="L178" i="16"/>
  <c r="B27" i="12"/>
  <c r="B56" i="13" s="1"/>
  <c r="D27" i="7"/>
  <c r="C44" i="7" s="1"/>
  <c r="C27" i="7"/>
  <c r="B44" i="7" s="1"/>
  <c r="E27" i="7"/>
  <c r="D44" i="7" s="1"/>
  <c r="D31" i="7"/>
  <c r="C48" i="7" s="1"/>
  <c r="C412" i="7" s="1"/>
  <c r="C31" i="7"/>
  <c r="B48" i="7" s="1"/>
  <c r="B412" i="7" s="1"/>
  <c r="E31" i="7"/>
  <c r="D48" i="7" s="1"/>
  <c r="D412" i="7" s="1"/>
  <c r="E75" i="7"/>
  <c r="D88" i="7" s="1"/>
  <c r="D75" i="7"/>
  <c r="C88" i="7" s="1"/>
  <c r="C75" i="7"/>
  <c r="B88" i="7" s="1"/>
  <c r="E79" i="7"/>
  <c r="D92" i="7" s="1"/>
  <c r="D79" i="7"/>
  <c r="C92" i="7" s="1"/>
  <c r="C79" i="7"/>
  <c r="B92" i="7" s="1"/>
  <c r="E695" i="7"/>
  <c r="D707" i="7" s="1"/>
  <c r="D695" i="7"/>
  <c r="C707" i="7" s="1"/>
  <c r="C695" i="7"/>
  <c r="B707" i="7" s="1"/>
  <c r="F293" i="3"/>
  <c r="F289" i="3"/>
  <c r="F285" i="3"/>
  <c r="F281" i="3"/>
  <c r="F277" i="3"/>
  <c r="F273" i="3"/>
  <c r="F269" i="3"/>
  <c r="F265" i="3"/>
  <c r="F261" i="3"/>
  <c r="B70" i="4"/>
  <c r="E365" i="22"/>
  <c r="K157" i="16"/>
  <c r="D128" i="5"/>
  <c r="D48" i="4"/>
  <c r="C49" i="4"/>
  <c r="C99" i="4"/>
  <c r="D162" i="3"/>
  <c r="F356" i="19"/>
  <c r="G356" i="19"/>
  <c r="I316" i="6"/>
  <c r="H316" i="6"/>
  <c r="C316" i="6"/>
  <c r="G316" i="6" s="1"/>
  <c r="E365" i="6" s="1"/>
  <c r="E1016" i="22" s="1"/>
  <c r="B23" i="12"/>
  <c r="B52" i="13" s="1"/>
  <c r="D316" i="6"/>
  <c r="D26" i="7"/>
  <c r="C43" i="7" s="1"/>
  <c r="C337" i="7" s="1"/>
  <c r="C26" i="7"/>
  <c r="B43" i="7" s="1"/>
  <c r="B337" i="7" s="1"/>
  <c r="E26" i="7"/>
  <c r="D43" i="7" s="1"/>
  <c r="D337" i="7" s="1"/>
  <c r="D30" i="7"/>
  <c r="C47" i="7" s="1"/>
  <c r="C30" i="7"/>
  <c r="B47" i="7" s="1"/>
  <c r="E30" i="7"/>
  <c r="D47" i="7" s="1"/>
  <c r="D34" i="7"/>
  <c r="C51" i="7" s="1"/>
  <c r="C34" i="7"/>
  <c r="B51" i="7" s="1"/>
  <c r="E34" i="7"/>
  <c r="D51" i="7" s="1"/>
  <c r="E78" i="7"/>
  <c r="D91" i="7" s="1"/>
  <c r="D78" i="7"/>
  <c r="C91" i="7" s="1"/>
  <c r="C78" i="7"/>
  <c r="B91" i="7" s="1"/>
  <c r="E694" i="7"/>
  <c r="D706" i="7" s="1"/>
  <c r="D694" i="7"/>
  <c r="C706" i="7" s="1"/>
  <c r="C694" i="7"/>
  <c r="B706" i="7" s="1"/>
  <c r="E265" i="7"/>
  <c r="D265" i="7"/>
  <c r="C265" i="7"/>
  <c r="E266" i="7"/>
  <c r="D266" i="7"/>
  <c r="C266" i="7"/>
  <c r="E267" i="7"/>
  <c r="D267" i="7"/>
  <c r="C267" i="7"/>
  <c r="E268" i="7"/>
  <c r="D268" i="7"/>
  <c r="C268" i="7"/>
  <c r="E269" i="7"/>
  <c r="D269" i="7"/>
  <c r="C269" i="7"/>
  <c r="E270" i="7"/>
  <c r="D270" i="7"/>
  <c r="C270" i="7"/>
  <c r="E271" i="7"/>
  <c r="D271" i="7"/>
  <c r="C271" i="7"/>
  <c r="E272" i="7"/>
  <c r="D272" i="7"/>
  <c r="C272" i="7"/>
  <c r="E273" i="7"/>
  <c r="D273" i="7"/>
  <c r="C273" i="7"/>
  <c r="J293" i="3"/>
  <c r="J289" i="3"/>
  <c r="J285" i="3"/>
  <c r="J281" i="3"/>
  <c r="J277" i="3"/>
  <c r="J273" i="3"/>
  <c r="J269" i="3"/>
  <c r="J265" i="3"/>
  <c r="J261" i="3"/>
  <c r="C995" i="22"/>
  <c r="K177" i="16"/>
  <c r="C235" i="7"/>
  <c r="B212" i="6"/>
  <c r="B217" i="6"/>
  <c r="B222" i="6"/>
  <c r="B228" i="6"/>
  <c r="B233" i="6"/>
  <c r="B238" i="6"/>
  <c r="E238" i="6" s="1"/>
  <c r="B245" i="6"/>
  <c r="D245" i="6" s="1"/>
  <c r="B250" i="6"/>
  <c r="F250" i="6" s="1"/>
  <c r="B256" i="6"/>
  <c r="C256" i="6" s="1"/>
  <c r="G256" i="6" s="1"/>
  <c r="B262" i="6"/>
  <c r="B267" i="6"/>
  <c r="B272" i="6"/>
  <c r="B278" i="6"/>
  <c r="F278" i="6" s="1"/>
  <c r="B283" i="6"/>
  <c r="G283" i="6"/>
  <c r="B284" i="6"/>
  <c r="G284" i="6"/>
  <c r="B286" i="6"/>
  <c r="B296" i="6"/>
  <c r="D296" i="6" s="1"/>
  <c r="G296" i="6"/>
  <c r="B297" i="6"/>
  <c r="J297" i="6" s="1"/>
  <c r="G297" i="6"/>
  <c r="B299" i="6"/>
  <c r="F299" i="6" s="1"/>
  <c r="D358" i="6" s="1"/>
  <c r="B307" i="6"/>
  <c r="F307" i="6" s="1"/>
  <c r="G307" i="6"/>
  <c r="B309" i="6"/>
  <c r="F309" i="6" s="1"/>
  <c r="D362" i="6" s="1"/>
  <c r="B317" i="6"/>
  <c r="G317" i="6"/>
  <c r="B319" i="6"/>
  <c r="F319" i="6" s="1"/>
  <c r="D366" i="6" s="1"/>
  <c r="B679" i="7"/>
  <c r="C679" i="7" s="1"/>
  <c r="E62" i="24"/>
  <c r="D17" i="25"/>
  <c r="C61" i="21"/>
  <c r="J70" i="21"/>
  <c r="L70" i="21"/>
  <c r="B67" i="24"/>
  <c r="B79" i="21"/>
  <c r="C202" i="24"/>
  <c r="C203" i="24"/>
  <c r="C201" i="24"/>
  <c r="F206" i="24"/>
  <c r="F205" i="24"/>
  <c r="H208" i="24"/>
  <c r="H209" i="24"/>
  <c r="B73" i="24"/>
  <c r="B99" i="21"/>
  <c r="L124" i="21"/>
  <c r="J124" i="21"/>
  <c r="E81" i="24"/>
  <c r="C130" i="21"/>
  <c r="K130" i="21" s="1"/>
  <c r="B86" i="24"/>
  <c r="B143" i="2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B120" i="5"/>
  <c r="C121" i="5"/>
  <c r="C125" i="5"/>
  <c r="C129" i="5"/>
  <c r="B132" i="5"/>
  <c r="C133" i="5"/>
  <c r="B136" i="5"/>
  <c r="C137" i="5"/>
  <c r="C141" i="5"/>
  <c r="C145" i="5"/>
  <c r="C167" i="24"/>
  <c r="B61" i="24"/>
  <c r="B57" i="21"/>
  <c r="J59" i="21"/>
  <c r="L59" i="21"/>
  <c r="B63" i="24"/>
  <c r="B65" i="21"/>
  <c r="B66" i="24"/>
  <c r="B77" i="21"/>
  <c r="D203" i="24"/>
  <c r="D201" i="24"/>
  <c r="D202" i="24"/>
  <c r="H202" i="24"/>
  <c r="H201" i="24"/>
  <c r="H203" i="24"/>
  <c r="B91" i="21"/>
  <c r="C205" i="24"/>
  <c r="C206" i="24"/>
  <c r="G205" i="24"/>
  <c r="G206" i="24"/>
  <c r="D27" i="25"/>
  <c r="E72" i="24"/>
  <c r="C96" i="21"/>
  <c r="B97" i="21"/>
  <c r="D28" i="25"/>
  <c r="E73" i="24"/>
  <c r="C99" i="21"/>
  <c r="D30" i="25"/>
  <c r="E75" i="24"/>
  <c r="C107" i="21"/>
  <c r="E78" i="24"/>
  <c r="C119" i="21"/>
  <c r="L127" i="21"/>
  <c r="J127" i="21"/>
  <c r="B82" i="24"/>
  <c r="B132" i="21"/>
  <c r="E84" i="24"/>
  <c r="C138" i="21"/>
  <c r="B144" i="21"/>
  <c r="E87" i="24"/>
  <c r="C146" i="21"/>
  <c r="K146" i="21" s="1"/>
  <c r="E89" i="24"/>
  <c r="C151" i="21"/>
  <c r="K151" i="21" s="1"/>
  <c r="E90" i="24"/>
  <c r="C153" i="21"/>
  <c r="B79" i="10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I15" i="3"/>
  <c r="B262" i="3" s="1"/>
  <c r="I19" i="3"/>
  <c r="B266" i="3" s="1"/>
  <c r="I23" i="3"/>
  <c r="B270" i="3" s="1"/>
  <c r="I27" i="3"/>
  <c r="B274" i="3" s="1"/>
  <c r="I31" i="3"/>
  <c r="B278" i="3" s="1"/>
  <c r="I35" i="3"/>
  <c r="B62" i="15" s="1"/>
  <c r="B77" i="15" s="1"/>
  <c r="B289" i="16" s="1"/>
  <c r="I39" i="3"/>
  <c r="B286" i="3" s="1"/>
  <c r="B48" i="12" s="1"/>
  <c r="B40" i="16" s="1"/>
  <c r="I43" i="3"/>
  <c r="B290" i="3" s="1"/>
  <c r="B52" i="12" s="1"/>
  <c r="B44" i="16" s="1"/>
  <c r="B67" i="3"/>
  <c r="C83" i="3" s="1"/>
  <c r="B71" i="3"/>
  <c r="G83" i="3" s="1"/>
  <c r="C21" i="4"/>
  <c r="B32" i="4" s="1"/>
  <c r="C33" i="4" s="1"/>
  <c r="B64" i="4"/>
  <c r="B68" i="4"/>
  <c r="B119" i="5"/>
  <c r="C120" i="5"/>
  <c r="B123" i="5"/>
  <c r="C124" i="5"/>
  <c r="B127" i="5"/>
  <c r="C128" i="5"/>
  <c r="B131" i="5"/>
  <c r="C132" i="5"/>
  <c r="B135" i="5"/>
  <c r="C136" i="5"/>
  <c r="B139" i="5"/>
  <c r="C140" i="5"/>
  <c r="B143" i="5"/>
  <c r="C144" i="5"/>
  <c r="B147" i="5"/>
  <c r="C148" i="5"/>
  <c r="D148" i="5" s="1"/>
  <c r="B213" i="6"/>
  <c r="B218" i="6"/>
  <c r="B224" i="6"/>
  <c r="B229" i="6"/>
  <c r="E229" i="6" s="1"/>
  <c r="B234" i="6"/>
  <c r="B240" i="6"/>
  <c r="E240" i="6" s="1"/>
  <c r="C341" i="6" s="1"/>
  <c r="C258" i="22" s="1"/>
  <c r="B246" i="6"/>
  <c r="B252" i="6"/>
  <c r="C252" i="6" s="1"/>
  <c r="B257" i="6"/>
  <c r="C257" i="6" s="1"/>
  <c r="G257" i="6" s="1"/>
  <c r="B263" i="6"/>
  <c r="B268" i="6"/>
  <c r="B274" i="6"/>
  <c r="B279" i="6"/>
  <c r="E279" i="6" s="1"/>
  <c r="D283" i="6"/>
  <c r="D284" i="6"/>
  <c r="B287" i="6"/>
  <c r="D287" i="6" s="1"/>
  <c r="G287" i="6"/>
  <c r="B289" i="6"/>
  <c r="B301" i="6"/>
  <c r="J301" i="6" s="1"/>
  <c r="B311" i="6"/>
  <c r="B13" i="7"/>
  <c r="D13" i="7" s="1"/>
  <c r="B65" i="24"/>
  <c r="B73" i="21"/>
  <c r="D209" i="24"/>
  <c r="D208" i="24"/>
  <c r="L112" i="21"/>
  <c r="J112" i="21"/>
  <c r="B77" i="24"/>
  <c r="B115" i="21"/>
  <c r="L121" i="21"/>
  <c r="J121" i="21"/>
  <c r="B83" i="24"/>
  <c r="B136" i="21"/>
  <c r="B89" i="24"/>
  <c r="B151" i="2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B66" i="17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B59" i="24"/>
  <c r="B49" i="21"/>
  <c r="D15" i="25"/>
  <c r="E60" i="24"/>
  <c r="C166" i="24" s="1"/>
  <c r="C53" i="21"/>
  <c r="D16" i="25"/>
  <c r="E61" i="24"/>
  <c r="C57" i="21"/>
  <c r="B64" i="24"/>
  <c r="B69" i="21"/>
  <c r="L71" i="21"/>
  <c r="J71" i="21"/>
  <c r="D20" i="25"/>
  <c r="E65" i="24"/>
  <c r="C186" i="24" s="1"/>
  <c r="C73" i="21"/>
  <c r="D22" i="25"/>
  <c r="E67" i="24"/>
  <c r="E191" i="24" s="1"/>
  <c r="C79" i="21"/>
  <c r="D23" i="25"/>
  <c r="E68" i="24"/>
  <c r="D195" i="24" s="1"/>
  <c r="C81" i="21"/>
  <c r="D24" i="25"/>
  <c r="E69" i="24"/>
  <c r="C85" i="21"/>
  <c r="D25" i="25"/>
  <c r="E70" i="24"/>
  <c r="C89" i="21"/>
  <c r="B90" i="21"/>
  <c r="D206" i="24"/>
  <c r="D205" i="24"/>
  <c r="H205" i="24"/>
  <c r="H206" i="24"/>
  <c r="B72" i="24"/>
  <c r="B96" i="21"/>
  <c r="F209" i="24"/>
  <c r="F208" i="24"/>
  <c r="L100" i="21"/>
  <c r="J100" i="21"/>
  <c r="B74" i="24"/>
  <c r="B103" i="21"/>
  <c r="B76" i="24"/>
  <c r="B111" i="21"/>
  <c r="J113" i="21"/>
  <c r="L113" i="21"/>
  <c r="B79" i="24"/>
  <c r="B123" i="21"/>
  <c r="B80" i="24"/>
  <c r="B126" i="21"/>
  <c r="B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I16" i="3"/>
  <c r="B263" i="3" s="1"/>
  <c r="I20" i="3"/>
  <c r="B267" i="3" s="1"/>
  <c r="I24" i="3"/>
  <c r="I271" i="3" s="1"/>
  <c r="I28" i="3"/>
  <c r="B275" i="3" s="1"/>
  <c r="I32" i="3"/>
  <c r="B279" i="3" s="1"/>
  <c r="I36" i="3"/>
  <c r="B283" i="3" s="1"/>
  <c r="B45" i="12" s="1"/>
  <c r="B37" i="16" s="1"/>
  <c r="I40" i="3"/>
  <c r="I287" i="3" s="1"/>
  <c r="I44" i="3"/>
  <c r="B291" i="3" s="1"/>
  <c r="B53" i="12" s="1"/>
  <c r="B45" i="16" s="1"/>
  <c r="B68" i="3"/>
  <c r="D83" i="3" s="1"/>
  <c r="B72" i="3"/>
  <c r="H83" i="3" s="1"/>
  <c r="B139" i="3"/>
  <c r="B65" i="4"/>
  <c r="B69" i="4"/>
  <c r="F101" i="4"/>
  <c r="B118" i="5"/>
  <c r="C119" i="5"/>
  <c r="B122" i="5"/>
  <c r="C123" i="5"/>
  <c r="B126" i="5"/>
  <c r="C127" i="5"/>
  <c r="B130" i="5"/>
  <c r="C131" i="5"/>
  <c r="B134" i="5"/>
  <c r="C135" i="5"/>
  <c r="B138" i="5"/>
  <c r="C139" i="5"/>
  <c r="B142" i="5"/>
  <c r="C143" i="5"/>
  <c r="B146" i="5"/>
  <c r="C147" i="5"/>
  <c r="B150" i="5"/>
  <c r="D212" i="6"/>
  <c r="B214" i="6"/>
  <c r="B220" i="6"/>
  <c r="D220" i="6" s="1"/>
  <c r="B225" i="6"/>
  <c r="D228" i="6"/>
  <c r="B230" i="6"/>
  <c r="D230" i="6" s="1"/>
  <c r="D233" i="6"/>
  <c r="B236" i="6"/>
  <c r="D236" i="6" s="1"/>
  <c r="D238" i="6"/>
  <c r="B242" i="6"/>
  <c r="B248" i="6"/>
  <c r="F248" i="6" s="1"/>
  <c r="G252" i="6"/>
  <c r="B253" i="6"/>
  <c r="C253" i="6" s="1"/>
  <c r="H256" i="6"/>
  <c r="B259" i="6"/>
  <c r="C259" i="6" s="1"/>
  <c r="D262" i="6"/>
  <c r="B264" i="6"/>
  <c r="D264" i="6" s="1"/>
  <c r="D267" i="6"/>
  <c r="B270" i="6"/>
  <c r="D270" i="6" s="1"/>
  <c r="D272" i="6"/>
  <c r="B275" i="6"/>
  <c r="D275" i="6" s="1"/>
  <c r="D278" i="6"/>
  <c r="B280" i="6"/>
  <c r="D280" i="6" s="1"/>
  <c r="D286" i="6"/>
  <c r="B354" i="6" s="1"/>
  <c r="B290" i="6"/>
  <c r="J290" i="6" s="1"/>
  <c r="G290" i="6"/>
  <c r="B291" i="6"/>
  <c r="G291" i="6"/>
  <c r="B293" i="6"/>
  <c r="D293" i="6" s="1"/>
  <c r="B356" i="6" s="1"/>
  <c r="D299" i="6"/>
  <c r="B358" i="6" s="1"/>
  <c r="B302" i="6"/>
  <c r="D302" i="6" s="1"/>
  <c r="G302" i="6"/>
  <c r="B304" i="6"/>
  <c r="D309" i="6"/>
  <c r="B362" i="6" s="1"/>
  <c r="B312" i="6"/>
  <c r="J312" i="6" s="1"/>
  <c r="G312" i="6"/>
  <c r="B314" i="6"/>
  <c r="E316" i="6"/>
  <c r="D319" i="6"/>
  <c r="B366" i="6" s="1"/>
  <c r="B60" i="24"/>
  <c r="B53" i="21"/>
  <c r="G202" i="24"/>
  <c r="G203" i="24"/>
  <c r="G201" i="24"/>
  <c r="B71" i="24"/>
  <c r="B93" i="21"/>
  <c r="B75" i="24"/>
  <c r="B107" i="21"/>
  <c r="J116" i="21"/>
  <c r="L116" i="21"/>
  <c r="B78" i="24"/>
  <c r="B119" i="21"/>
  <c r="E82" i="24"/>
  <c r="C132" i="21"/>
  <c r="B84" i="24"/>
  <c r="B138" i="21"/>
  <c r="F16" i="2"/>
  <c r="F38" i="2" s="1"/>
  <c r="F45" i="2" s="1"/>
  <c r="F51" i="2" s="1"/>
  <c r="D14" i="25"/>
  <c r="E59" i="24"/>
  <c r="C49" i="21"/>
  <c r="B54" i="21"/>
  <c r="J58" i="21"/>
  <c r="L58" i="21"/>
  <c r="B62" i="24"/>
  <c r="B61" i="21"/>
  <c r="D18" i="25"/>
  <c r="E63" i="24"/>
  <c r="C179" i="24" s="1"/>
  <c r="C65" i="21"/>
  <c r="B67" i="21"/>
  <c r="D19" i="25"/>
  <c r="E64" i="24"/>
  <c r="D181" i="24" s="1"/>
  <c r="C69" i="21"/>
  <c r="B74" i="21"/>
  <c r="D21" i="25"/>
  <c r="E66" i="24"/>
  <c r="E189" i="24" s="1"/>
  <c r="C77" i="21"/>
  <c r="B68" i="24"/>
  <c r="B81" i="21"/>
  <c r="B82" i="21"/>
  <c r="B83" i="21"/>
  <c r="B69" i="24"/>
  <c r="B85" i="21"/>
  <c r="B86" i="21"/>
  <c r="B87" i="21"/>
  <c r="B70" i="24"/>
  <c r="B89" i="21"/>
  <c r="F203" i="24"/>
  <c r="F201" i="24"/>
  <c r="F202" i="24"/>
  <c r="D26" i="25"/>
  <c r="E71" i="24"/>
  <c r="C93" i="21"/>
  <c r="B94" i="21"/>
  <c r="C208" i="24"/>
  <c r="C209" i="24"/>
  <c r="G208" i="24"/>
  <c r="G209" i="24"/>
  <c r="D29" i="25"/>
  <c r="E74" i="24"/>
  <c r="C103" i="21"/>
  <c r="D31" i="25"/>
  <c r="E76" i="24"/>
  <c r="C111" i="21"/>
  <c r="K111" i="21" s="1"/>
  <c r="D32" i="25"/>
  <c r="E77" i="24"/>
  <c r="C115" i="21"/>
  <c r="E79" i="24"/>
  <c r="C123" i="21"/>
  <c r="K123" i="21" s="1"/>
  <c r="E80" i="24"/>
  <c r="C126" i="21"/>
  <c r="B81" i="24"/>
  <c r="B130" i="21"/>
  <c r="B134" i="21"/>
  <c r="E83" i="24"/>
  <c r="C136" i="21"/>
  <c r="K136" i="21" s="1"/>
  <c r="L139" i="21"/>
  <c r="J139" i="21"/>
  <c r="E85" i="24"/>
  <c r="C141" i="21"/>
  <c r="K141" i="21" s="1"/>
  <c r="E86" i="24"/>
  <c r="C143" i="21"/>
  <c r="E88" i="24"/>
  <c r="C148" i="21"/>
  <c r="B154" i="21"/>
  <c r="E91" i="24"/>
  <c r="C156" i="21"/>
  <c r="K156" i="2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70" i="11"/>
  <c r="E112" i="11" s="1"/>
  <c r="D69" i="11"/>
  <c r="E111" i="11" s="1"/>
  <c r="D68" i="11"/>
  <c r="E110" i="11" s="1"/>
  <c r="D67" i="11"/>
  <c r="E109" i="11" s="1"/>
  <c r="D66" i="11"/>
  <c r="E108" i="11" s="1"/>
  <c r="D65" i="11"/>
  <c r="E107" i="11" s="1"/>
  <c r="D64" i="11"/>
  <c r="E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9" i="11"/>
  <c r="I111" i="11" s="1"/>
  <c r="H68" i="11"/>
  <c r="I110" i="11" s="1"/>
  <c r="H67" i="11"/>
  <c r="I109" i="11" s="1"/>
  <c r="H66" i="11"/>
  <c r="I108" i="11" s="1"/>
  <c r="H65" i="11"/>
  <c r="I107" i="11" s="1"/>
  <c r="H64" i="11"/>
  <c r="I106" i="11" s="1"/>
  <c r="I17" i="3"/>
  <c r="B264" i="3" s="1"/>
  <c r="I21" i="3"/>
  <c r="B268" i="3" s="1"/>
  <c r="I25" i="3"/>
  <c r="B272" i="3" s="1"/>
  <c r="I29" i="3"/>
  <c r="B276" i="3" s="1"/>
  <c r="I33" i="3"/>
  <c r="B280" i="3" s="1"/>
  <c r="B42" i="12" s="1"/>
  <c r="B34" i="16" s="1"/>
  <c r="I37" i="3"/>
  <c r="B63" i="15" s="1"/>
  <c r="B78" i="15" s="1"/>
  <c r="B291" i="16" s="1"/>
  <c r="I41" i="3"/>
  <c r="B65" i="15" s="1"/>
  <c r="B80" i="15" s="1"/>
  <c r="B295" i="16" s="1"/>
  <c r="I45" i="3"/>
  <c r="B67" i="15" s="1"/>
  <c r="B82" i="15" s="1"/>
  <c r="B299" i="16" s="1"/>
  <c r="B69" i="3"/>
  <c r="E83" i="3" s="1"/>
  <c r="B147" i="3"/>
  <c r="F165" i="3"/>
  <c r="B66" i="4"/>
  <c r="C118" i="5"/>
  <c r="B121" i="5"/>
  <c r="C122" i="5"/>
  <c r="B125" i="5"/>
  <c r="C126" i="5"/>
  <c r="B129" i="5"/>
  <c r="C130" i="5"/>
  <c r="B133" i="5"/>
  <c r="D133" i="5" s="1"/>
  <c r="C134" i="5"/>
  <c r="B137" i="5"/>
  <c r="C138" i="5"/>
  <c r="B141" i="5"/>
  <c r="C142" i="5"/>
  <c r="B145" i="5"/>
  <c r="C146" i="5"/>
  <c r="B149" i="5"/>
  <c r="C150" i="5"/>
  <c r="D213" i="6"/>
  <c r="B216" i="6"/>
  <c r="E216" i="6" s="1"/>
  <c r="D218" i="6"/>
  <c r="B221" i="6"/>
  <c r="D221" i="6" s="1"/>
  <c r="D224" i="6"/>
  <c r="B226" i="6"/>
  <c r="D226" i="6" s="1"/>
  <c r="E228" i="6"/>
  <c r="B232" i="6"/>
  <c r="D234" i="6"/>
  <c r="B237" i="6"/>
  <c r="E237" i="6" s="1"/>
  <c r="D240" i="6"/>
  <c r="B341" i="6" s="1"/>
  <c r="B63" i="18" s="1"/>
  <c r="C147" i="18" s="1"/>
  <c r="B244" i="6"/>
  <c r="F244" i="6" s="1"/>
  <c r="D246" i="6"/>
  <c r="B249" i="6"/>
  <c r="E249" i="6" s="1"/>
  <c r="D252" i="6"/>
  <c r="H252" i="6"/>
  <c r="G253" i="6"/>
  <c r="B254" i="6"/>
  <c r="C254" i="6" s="1"/>
  <c r="G254" i="6" s="1"/>
  <c r="E256" i="6"/>
  <c r="I256" i="6"/>
  <c r="D257" i="6"/>
  <c r="G259" i="6"/>
  <c r="E347" i="6" s="1"/>
  <c r="E450" i="22" s="1"/>
  <c r="B260" i="6"/>
  <c r="C260" i="6" s="1"/>
  <c r="G260" i="6" s="1"/>
  <c r="D263" i="6"/>
  <c r="B266" i="6"/>
  <c r="D266" i="6" s="1"/>
  <c r="D268" i="6"/>
  <c r="B271" i="6"/>
  <c r="D271" i="6" s="1"/>
  <c r="D274" i="6"/>
  <c r="B351" i="6" s="1"/>
  <c r="B73" i="18" s="1"/>
  <c r="C157" i="18" s="1"/>
  <c r="B276" i="6"/>
  <c r="D276" i="6" s="1"/>
  <c r="E278" i="6"/>
  <c r="D279" i="6"/>
  <c r="B282" i="6"/>
  <c r="D290" i="6"/>
  <c r="D291" i="6"/>
  <c r="B295" i="6"/>
  <c r="D295" i="6" s="1"/>
  <c r="F295" i="6"/>
  <c r="E299" i="6"/>
  <c r="C358" i="6" s="1"/>
  <c r="C792" i="22" s="1"/>
  <c r="D301" i="6"/>
  <c r="B359" i="6" s="1"/>
  <c r="B306" i="6"/>
  <c r="E309" i="6"/>
  <c r="C362" i="6" s="1"/>
  <c r="C920" i="22" s="1"/>
  <c r="D311" i="6"/>
  <c r="F316" i="6"/>
  <c r="J316" i="6"/>
  <c r="E319" i="6"/>
  <c r="C366" i="6" s="1"/>
  <c r="C1048" i="22" s="1"/>
  <c r="B64" i="13"/>
  <c r="B22" i="15" s="1"/>
  <c r="B34" i="15" s="1"/>
  <c r="B280" i="16" s="1"/>
  <c r="B68" i="13"/>
  <c r="B66" i="15"/>
  <c r="B81" i="15" s="1"/>
  <c r="B297" i="16" s="1"/>
  <c r="B64" i="15"/>
  <c r="B79" i="15" s="1"/>
  <c r="B293" i="16" s="1"/>
  <c r="D173" i="18"/>
  <c r="D175" i="18"/>
  <c r="D176" i="18"/>
  <c r="D178" i="18"/>
  <c r="D187" i="18"/>
  <c r="D188" i="18"/>
  <c r="D189" i="18"/>
  <c r="D190" i="18"/>
  <c r="D192" i="18"/>
  <c r="D193" i="18"/>
  <c r="D194" i="18"/>
  <c r="D195" i="18"/>
  <c r="D198" i="18"/>
  <c r="D199" i="18"/>
  <c r="D202" i="18"/>
  <c r="D203" i="18"/>
  <c r="D206" i="18"/>
  <c r="D207" i="18"/>
  <c r="D208" i="18"/>
  <c r="D209" i="18"/>
  <c r="D210" i="18"/>
  <c r="D211" i="18"/>
  <c r="D212" i="18"/>
  <c r="D213" i="18"/>
  <c r="D214" i="18"/>
  <c r="D220" i="18"/>
  <c r="D221" i="18"/>
  <c r="D222" i="18"/>
  <c r="D223" i="18"/>
  <c r="D225" i="18"/>
  <c r="D226" i="18"/>
  <c r="D227" i="18"/>
  <c r="D228" i="18"/>
  <c r="D231" i="18"/>
  <c r="D232" i="18"/>
  <c r="D235" i="18"/>
  <c r="D236" i="18"/>
  <c r="H165" i="24"/>
  <c r="F174" i="24"/>
  <c r="H170" i="24"/>
  <c r="F185" i="24"/>
  <c r="F191" i="24"/>
  <c r="G163" i="24"/>
  <c r="H174" i="24"/>
  <c r="G179" i="24"/>
  <c r="D182" i="24"/>
  <c r="G189" i="24"/>
  <c r="F195" i="24"/>
  <c r="F193" i="24"/>
  <c r="F194" i="24"/>
  <c r="H163" i="24"/>
  <c r="H161" i="24"/>
  <c r="G171" i="24"/>
  <c r="D175" i="24"/>
  <c r="D173" i="24"/>
  <c r="D174" i="24"/>
  <c r="H179" i="24"/>
  <c r="H177" i="24"/>
  <c r="H178" i="24"/>
  <c r="F182" i="24"/>
  <c r="D185" i="24"/>
  <c r="H189" i="24"/>
  <c r="G191" i="24"/>
  <c r="G194" i="24"/>
  <c r="F198" i="24"/>
  <c r="H175" i="24"/>
  <c r="D162" i="24"/>
  <c r="D163" i="24"/>
  <c r="D161" i="24"/>
  <c r="G166" i="24"/>
  <c r="D170" i="24"/>
  <c r="D171" i="24"/>
  <c r="D169" i="24"/>
  <c r="H171" i="24"/>
  <c r="H169" i="24"/>
  <c r="F175" i="24"/>
  <c r="F173" i="24"/>
  <c r="D178" i="24"/>
  <c r="D179" i="24"/>
  <c r="D177" i="24"/>
  <c r="D189" i="24"/>
  <c r="H191" i="24"/>
  <c r="F162" i="24"/>
  <c r="F161" i="24"/>
  <c r="D167" i="24"/>
  <c r="D165" i="24"/>
  <c r="D166" i="24"/>
  <c r="H166" i="24"/>
  <c r="H167" i="24"/>
  <c r="H197" i="24"/>
  <c r="F163" i="24"/>
  <c r="H173" i="24"/>
  <c r="H198" i="24"/>
  <c r="F167" i="24"/>
  <c r="F165" i="24"/>
  <c r="F170" i="24"/>
  <c r="G174" i="24"/>
  <c r="F178" i="24"/>
  <c r="H182" i="24"/>
  <c r="G187" i="24"/>
  <c r="F189" i="24"/>
  <c r="D191" i="24"/>
  <c r="H194" i="24"/>
  <c r="G199" i="24"/>
  <c r="F171" i="24"/>
  <c r="G162" i="24"/>
  <c r="G165" i="24"/>
  <c r="G167" i="24"/>
  <c r="G170" i="24"/>
  <c r="G173" i="24"/>
  <c r="G175" i="24"/>
  <c r="G178" i="24"/>
  <c r="G193" i="24"/>
  <c r="G195" i="24"/>
  <c r="G198" i="24"/>
  <c r="G161" i="24"/>
  <c r="G169" i="24"/>
  <c r="G177" i="24"/>
  <c r="J256" i="6" l="1"/>
  <c r="B350" i="6"/>
  <c r="B72" i="18" s="1"/>
  <c r="C156" i="18" s="1"/>
  <c r="E346" i="6"/>
  <c r="E418" i="22" s="1"/>
  <c r="B349" i="6"/>
  <c r="B71" i="18" s="1"/>
  <c r="C155" i="18" s="1"/>
  <c r="B352" i="6"/>
  <c r="B74" i="18" s="1"/>
  <c r="C158" i="18" s="1"/>
  <c r="B348" i="6"/>
  <c r="B70" i="18" s="1"/>
  <c r="C154" i="18" s="1"/>
  <c r="E345" i="6"/>
  <c r="E386" i="22" s="1"/>
  <c r="F252" i="6"/>
  <c r="I254" i="6"/>
  <c r="J302" i="6"/>
  <c r="H359" i="6" s="1"/>
  <c r="D824" i="22" s="1"/>
  <c r="F254" i="6"/>
  <c r="D312" i="6"/>
  <c r="B363" i="6" s="1"/>
  <c r="E259" i="6"/>
  <c r="D216" i="6"/>
  <c r="D249" i="6"/>
  <c r="I252" i="6"/>
  <c r="H254" i="6"/>
  <c r="D256" i="6"/>
  <c r="B346" i="6" s="1"/>
  <c r="B68" i="18" s="1"/>
  <c r="C152" i="18" s="1"/>
  <c r="F259" i="6"/>
  <c r="D347" i="6" s="1"/>
  <c r="D450" i="22" s="1"/>
  <c r="J252" i="6"/>
  <c r="F260" i="6"/>
  <c r="G181" i="24"/>
  <c r="F183" i="24"/>
  <c r="D183" i="24"/>
  <c r="G182" i="24"/>
  <c r="G183" i="24"/>
  <c r="F181" i="24"/>
  <c r="D193" i="24"/>
  <c r="C63" i="18"/>
  <c r="C180" i="18" s="1"/>
  <c r="B189" i="24"/>
  <c r="C189" i="24"/>
  <c r="C193" i="24"/>
  <c r="C13" i="7"/>
  <c r="E13" i="7"/>
  <c r="J283" i="3"/>
  <c r="J276" i="3"/>
  <c r="J292" i="3"/>
  <c r="J266" i="3"/>
  <c r="J282" i="3"/>
  <c r="F263" i="3"/>
  <c r="F291" i="3"/>
  <c r="F276" i="3"/>
  <c r="F292" i="3"/>
  <c r="F279" i="3"/>
  <c r="F274" i="3"/>
  <c r="F290" i="3"/>
  <c r="I268" i="3"/>
  <c r="I264" i="3"/>
  <c r="I266" i="3"/>
  <c r="I282" i="3"/>
  <c r="I280" i="3"/>
  <c r="I275" i="3"/>
  <c r="I291" i="3"/>
  <c r="J264" i="3"/>
  <c r="J280" i="3"/>
  <c r="J279" i="3"/>
  <c r="J267" i="3"/>
  <c r="J270" i="3"/>
  <c r="J286" i="3"/>
  <c r="F267" i="3"/>
  <c r="F264" i="3"/>
  <c r="F280" i="3"/>
  <c r="F271" i="3"/>
  <c r="F262" i="3"/>
  <c r="F278" i="3"/>
  <c r="I272" i="3"/>
  <c r="I288" i="3"/>
  <c r="I270" i="3"/>
  <c r="I286" i="3"/>
  <c r="I263" i="3"/>
  <c r="I279" i="3"/>
  <c r="J263" i="3"/>
  <c r="J268" i="3"/>
  <c r="J284" i="3"/>
  <c r="J287" i="3"/>
  <c r="J275" i="3"/>
  <c r="J274" i="3"/>
  <c r="J290" i="3"/>
  <c r="B287" i="3"/>
  <c r="B49" i="12" s="1"/>
  <c r="B41" i="16" s="1"/>
  <c r="F275" i="3"/>
  <c r="F268" i="3"/>
  <c r="F284" i="3"/>
  <c r="F283" i="3"/>
  <c r="F266" i="3"/>
  <c r="F282" i="3"/>
  <c r="I284" i="3"/>
  <c r="I292" i="3"/>
  <c r="I274" i="3"/>
  <c r="I290" i="3"/>
  <c r="I267" i="3"/>
  <c r="I283" i="3"/>
  <c r="J271" i="3"/>
  <c r="J272" i="3"/>
  <c r="J288" i="3"/>
  <c r="J291" i="3"/>
  <c r="J262" i="3"/>
  <c r="J278" i="3"/>
  <c r="B271" i="3"/>
  <c r="F287" i="3"/>
  <c r="F272" i="3"/>
  <c r="F288" i="3"/>
  <c r="F270" i="3"/>
  <c r="F286" i="3"/>
  <c r="I262" i="3"/>
  <c r="I278" i="3"/>
  <c r="I276" i="3"/>
  <c r="D123" i="5"/>
  <c r="D132" i="5"/>
  <c r="D120" i="5"/>
  <c r="D135" i="5"/>
  <c r="D136" i="5"/>
  <c r="D134" i="5"/>
  <c r="B34" i="12"/>
  <c r="B63" i="13" s="1"/>
  <c r="B21" i="15" s="1"/>
  <c r="B33" i="15" s="1"/>
  <c r="B279" i="16" s="1"/>
  <c r="B29" i="12"/>
  <c r="B58" i="13" s="1"/>
  <c r="B30" i="12"/>
  <c r="B59" i="13" s="1"/>
  <c r="B542" i="22"/>
  <c r="C553" i="22" s="1"/>
  <c r="J24" i="23" s="1"/>
  <c r="B41" i="12"/>
  <c r="B70" i="13" s="1"/>
  <c r="B25" i="12"/>
  <c r="B54" i="13" s="1"/>
  <c r="B32" i="12"/>
  <c r="B61" i="13" s="1"/>
  <c r="D1048" i="22"/>
  <c r="E297" i="18"/>
  <c r="B26" i="12"/>
  <c r="B55" i="13" s="1"/>
  <c r="B37" i="12"/>
  <c r="B66" i="13" s="1"/>
  <c r="B28" i="12"/>
  <c r="B57" i="13" s="1"/>
  <c r="B38" i="12"/>
  <c r="B67" i="13" s="1"/>
  <c r="B40" i="12"/>
  <c r="B69" i="13" s="1"/>
  <c r="B24" i="12"/>
  <c r="B53" i="13" s="1"/>
  <c r="D792" i="22"/>
  <c r="E289" i="18"/>
  <c r="B36" i="12"/>
  <c r="B65" i="13" s="1"/>
  <c r="B23" i="15" s="1"/>
  <c r="B35" i="15" s="1"/>
  <c r="B281" i="16" s="1"/>
  <c r="D920" i="22"/>
  <c r="E293" i="18"/>
  <c r="G346" i="19"/>
  <c r="F346" i="19"/>
  <c r="I306" i="6"/>
  <c r="H306" i="6"/>
  <c r="C306" i="6"/>
  <c r="G306" i="6" s="1"/>
  <c r="E361" i="6" s="1"/>
  <c r="E888" i="22" s="1"/>
  <c r="H322" i="19"/>
  <c r="D322" i="19"/>
  <c r="C322" i="19"/>
  <c r="G322" i="19"/>
  <c r="F322" i="19"/>
  <c r="J282" i="6"/>
  <c r="F282" i="6"/>
  <c r="I282" i="6"/>
  <c r="E282" i="6"/>
  <c r="H282" i="6"/>
  <c r="C282" i="6"/>
  <c r="G282" i="6" s="1"/>
  <c r="E353" i="6" s="1"/>
  <c r="C632" i="22" s="1"/>
  <c r="F272" i="19"/>
  <c r="H272" i="19"/>
  <c r="D272" i="19"/>
  <c r="G272" i="19"/>
  <c r="C272" i="19"/>
  <c r="J232" i="6"/>
  <c r="F232" i="6"/>
  <c r="I232" i="6"/>
  <c r="E232" i="6"/>
  <c r="H232" i="6"/>
  <c r="C232" i="6"/>
  <c r="C643" i="22"/>
  <c r="K166" i="16"/>
  <c r="D137" i="5"/>
  <c r="C145" i="22"/>
  <c r="K150" i="16"/>
  <c r="D121" i="5"/>
  <c r="F164" i="3"/>
  <c r="E101" i="4"/>
  <c r="G354" i="19"/>
  <c r="F354" i="19"/>
  <c r="D354" i="19"/>
  <c r="H354" i="19"/>
  <c r="C354" i="19"/>
  <c r="C314" i="6"/>
  <c r="G314" i="6" s="1"/>
  <c r="E364" i="6" s="1"/>
  <c r="C984" i="22" s="1"/>
  <c r="J314" i="6"/>
  <c r="H364" i="6" s="1"/>
  <c r="F314" i="6"/>
  <c r="D364" i="6" s="1"/>
  <c r="I314" i="6"/>
  <c r="G364" i="6" s="1"/>
  <c r="E314" i="6"/>
  <c r="C364" i="6" s="1"/>
  <c r="H314" i="6"/>
  <c r="F364" i="6" s="1"/>
  <c r="B482" i="22"/>
  <c r="C493" i="22" s="1"/>
  <c r="J22" i="23" s="1"/>
  <c r="H265" i="19"/>
  <c r="D265" i="19"/>
  <c r="G265" i="19"/>
  <c r="C265" i="19"/>
  <c r="F265" i="19"/>
  <c r="C225" i="6"/>
  <c r="G225" i="6" s="1"/>
  <c r="J225" i="6"/>
  <c r="F225" i="6"/>
  <c r="I225" i="6"/>
  <c r="E225" i="6"/>
  <c r="H225" i="6"/>
  <c r="D86" i="22"/>
  <c r="L148" i="16"/>
  <c r="E199" i="24"/>
  <c r="E198" i="24"/>
  <c r="E197" i="24"/>
  <c r="F197" i="24"/>
  <c r="F199" i="24"/>
  <c r="I64" i="24"/>
  <c r="B163" i="24"/>
  <c r="B161" i="24"/>
  <c r="B162" i="24"/>
  <c r="G351" i="19"/>
  <c r="C351" i="19"/>
  <c r="D351" i="19"/>
  <c r="F351" i="19"/>
  <c r="H311" i="6"/>
  <c r="C311" i="6"/>
  <c r="G311" i="6" s="1"/>
  <c r="E363" i="6" s="1"/>
  <c r="C952" i="22" s="1"/>
  <c r="F311" i="6"/>
  <c r="I311" i="6"/>
  <c r="E311" i="6"/>
  <c r="G329" i="19"/>
  <c r="F329" i="19"/>
  <c r="D329" i="19"/>
  <c r="C329" i="19"/>
  <c r="H289" i="6"/>
  <c r="C289" i="6"/>
  <c r="G289" i="6" s="1"/>
  <c r="E355" i="6" s="1"/>
  <c r="C696" i="22" s="1"/>
  <c r="F289" i="6"/>
  <c r="I289" i="6"/>
  <c r="E289" i="6"/>
  <c r="F286" i="19"/>
  <c r="H286" i="19"/>
  <c r="G286" i="19"/>
  <c r="H246" i="6"/>
  <c r="C246" i="6"/>
  <c r="G246" i="6" s="1"/>
  <c r="J246" i="6"/>
  <c r="I246" i="6"/>
  <c r="C996" i="22"/>
  <c r="L177" i="16"/>
  <c r="C293" i="3"/>
  <c r="C289" i="3"/>
  <c r="C285" i="3"/>
  <c r="C281" i="3"/>
  <c r="C277" i="3"/>
  <c r="C273" i="3"/>
  <c r="C269" i="3"/>
  <c r="C265" i="3"/>
  <c r="C261" i="3"/>
  <c r="C282" i="3"/>
  <c r="C278" i="3"/>
  <c r="C292" i="3"/>
  <c r="C288" i="3"/>
  <c r="C284" i="3"/>
  <c r="C280" i="3"/>
  <c r="C276" i="3"/>
  <c r="C272" i="3"/>
  <c r="C268" i="3"/>
  <c r="C264" i="3"/>
  <c r="C270" i="3"/>
  <c r="C291" i="3"/>
  <c r="C287" i="3"/>
  <c r="C283" i="3"/>
  <c r="C279" i="3"/>
  <c r="C275" i="3"/>
  <c r="C271" i="3"/>
  <c r="C267" i="3"/>
  <c r="C263" i="3"/>
  <c r="C290" i="3"/>
  <c r="C286" i="3"/>
  <c r="C274" i="3"/>
  <c r="C266" i="3"/>
  <c r="C262" i="3"/>
  <c r="I73" i="24"/>
  <c r="I67" i="24"/>
  <c r="G357" i="19"/>
  <c r="F357" i="19"/>
  <c r="I317" i="6"/>
  <c r="G365" i="6" s="1"/>
  <c r="H317" i="6"/>
  <c r="F365" i="6" s="1"/>
  <c r="G262" i="19"/>
  <c r="C262" i="19"/>
  <c r="F262" i="19"/>
  <c r="H262" i="19"/>
  <c r="D262" i="19"/>
  <c r="I222" i="6"/>
  <c r="E222" i="6"/>
  <c r="H222" i="6"/>
  <c r="C222" i="6"/>
  <c r="J222" i="6"/>
  <c r="F222" i="6"/>
  <c r="B804" i="7"/>
  <c r="AE281" i="7"/>
  <c r="AE310" i="7" s="1"/>
  <c r="AE595" i="7" s="1"/>
  <c r="B800" i="7"/>
  <c r="O281" i="7"/>
  <c r="E679" i="7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D179" i="3"/>
  <c r="D221" i="3" s="1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195" i="3"/>
  <c r="D237" i="3" s="1"/>
  <c r="D191" i="3"/>
  <c r="D233" i="3" s="1"/>
  <c r="D187" i="3"/>
  <c r="D229" i="3" s="1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D207" i="3"/>
  <c r="D249" i="3" s="1"/>
  <c r="D203" i="3"/>
  <c r="D245" i="3" s="1"/>
  <c r="D199" i="3"/>
  <c r="D241" i="3" s="1"/>
  <c r="D183" i="3"/>
  <c r="D225" i="3" s="1"/>
  <c r="B418" i="22"/>
  <c r="B33" i="12"/>
  <c r="B62" i="13" s="1"/>
  <c r="AE309" i="7"/>
  <c r="AE594" i="7" s="1"/>
  <c r="O309" i="7"/>
  <c r="O594" i="7" s="1"/>
  <c r="O297" i="7"/>
  <c r="O403" i="7" s="1"/>
  <c r="O310" i="7"/>
  <c r="O595" i="7" s="1"/>
  <c r="O306" i="7"/>
  <c r="O591" i="7" s="1"/>
  <c r="AE294" i="7"/>
  <c r="AE402" i="7" s="1"/>
  <c r="O294" i="7"/>
  <c r="O402" i="7" s="1"/>
  <c r="AE311" i="7"/>
  <c r="AE596" i="7" s="1"/>
  <c r="O311" i="7"/>
  <c r="O596" i="7" s="1"/>
  <c r="AE307" i="7"/>
  <c r="AE592" i="7" s="1"/>
  <c r="O307" i="7"/>
  <c r="O592" i="7" s="1"/>
  <c r="AE308" i="7"/>
  <c r="AE593" i="7" s="1"/>
  <c r="O308" i="7"/>
  <c r="O593" i="7" s="1"/>
  <c r="B728" i="22"/>
  <c r="G197" i="24"/>
  <c r="F187" i="24"/>
  <c r="H199" i="24"/>
  <c r="D187" i="24"/>
  <c r="J295" i="6"/>
  <c r="F277" i="19"/>
  <c r="H277" i="19"/>
  <c r="D277" i="19"/>
  <c r="G277" i="19"/>
  <c r="J237" i="6"/>
  <c r="F237" i="6"/>
  <c r="I237" i="6"/>
  <c r="H237" i="6"/>
  <c r="C237" i="6"/>
  <c r="G237" i="6" s="1"/>
  <c r="E1060" i="22"/>
  <c r="L179" i="16"/>
  <c r="E804" i="22"/>
  <c r="L171" i="16"/>
  <c r="D302" i="22"/>
  <c r="L155" i="16"/>
  <c r="C54" i="22"/>
  <c r="L147" i="16"/>
  <c r="E291" i="3"/>
  <c r="E287" i="3"/>
  <c r="E283" i="3"/>
  <c r="E279" i="3"/>
  <c r="E275" i="3"/>
  <c r="E271" i="3"/>
  <c r="E267" i="3"/>
  <c r="E263" i="3"/>
  <c r="E272" i="3"/>
  <c r="E264" i="3"/>
  <c r="E290" i="3"/>
  <c r="E286" i="3"/>
  <c r="E282" i="3"/>
  <c r="E278" i="3"/>
  <c r="E274" i="3"/>
  <c r="E270" i="3"/>
  <c r="E266" i="3"/>
  <c r="E262" i="3"/>
  <c r="E284" i="3"/>
  <c r="E268" i="3"/>
  <c r="E293" i="3"/>
  <c r="E289" i="3"/>
  <c r="E285" i="3"/>
  <c r="E281" i="3"/>
  <c r="E277" i="3"/>
  <c r="E273" i="3"/>
  <c r="E269" i="3"/>
  <c r="E265" i="3"/>
  <c r="E261" i="3"/>
  <c r="E292" i="3"/>
  <c r="E288" i="3"/>
  <c r="E280" i="3"/>
  <c r="E276" i="3"/>
  <c r="E206" i="24"/>
  <c r="E205" i="24"/>
  <c r="J82" i="21"/>
  <c r="L82" i="21"/>
  <c r="E183" i="24"/>
  <c r="E182" i="24"/>
  <c r="E181" i="24"/>
  <c r="C182" i="24"/>
  <c r="C183" i="24"/>
  <c r="H181" i="24"/>
  <c r="C181" i="24"/>
  <c r="H183" i="24"/>
  <c r="E179" i="24"/>
  <c r="E178" i="24"/>
  <c r="E177" i="24"/>
  <c r="F177" i="24"/>
  <c r="F179" i="24"/>
  <c r="I62" i="24"/>
  <c r="I78" i="24"/>
  <c r="I75" i="24"/>
  <c r="I71" i="24"/>
  <c r="G344" i="19"/>
  <c r="C344" i="19"/>
  <c r="F344" i="19"/>
  <c r="D344" i="19"/>
  <c r="H344" i="19"/>
  <c r="C304" i="6"/>
  <c r="G304" i="6" s="1"/>
  <c r="E360" i="6" s="1"/>
  <c r="J304" i="6"/>
  <c r="H360" i="6" s="1"/>
  <c r="F304" i="6"/>
  <c r="D360" i="6" s="1"/>
  <c r="I304" i="6"/>
  <c r="G360" i="6" s="1"/>
  <c r="E304" i="6"/>
  <c r="C360" i="6" s="1"/>
  <c r="H304" i="6"/>
  <c r="F360" i="6" s="1"/>
  <c r="B792" i="22"/>
  <c r="B152" i="7"/>
  <c r="G331" i="19"/>
  <c r="C331" i="19"/>
  <c r="D331" i="19"/>
  <c r="F331" i="19"/>
  <c r="H291" i="6"/>
  <c r="F291" i="6"/>
  <c r="I291" i="6"/>
  <c r="E291" i="6"/>
  <c r="B664" i="22"/>
  <c r="G315" i="19"/>
  <c r="C315" i="19"/>
  <c r="H315" i="19"/>
  <c r="F315" i="19"/>
  <c r="D315" i="19"/>
  <c r="C275" i="6"/>
  <c r="J275" i="6"/>
  <c r="F275" i="6"/>
  <c r="I275" i="6"/>
  <c r="E275" i="6"/>
  <c r="H275" i="6"/>
  <c r="J259" i="6"/>
  <c r="G288" i="19"/>
  <c r="H288" i="19"/>
  <c r="F288" i="19"/>
  <c r="C248" i="6"/>
  <c r="G248" i="6" s="1"/>
  <c r="J248" i="6"/>
  <c r="I248" i="6"/>
  <c r="H248" i="6"/>
  <c r="H270" i="19"/>
  <c r="D270" i="19"/>
  <c r="G270" i="19"/>
  <c r="F270" i="19"/>
  <c r="C230" i="6"/>
  <c r="G230" i="6" s="1"/>
  <c r="J230" i="6"/>
  <c r="F230" i="6"/>
  <c r="I230" i="6"/>
  <c r="H230" i="6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D100" i="4"/>
  <c r="E163" i="3"/>
  <c r="I90" i="24"/>
  <c r="I87" i="24"/>
  <c r="L146" i="21"/>
  <c r="J146" i="21"/>
  <c r="I85" i="24"/>
  <c r="J141" i="21"/>
  <c r="L141" i="21"/>
  <c r="I76" i="24"/>
  <c r="J111" i="21"/>
  <c r="L111" i="21"/>
  <c r="I72" i="24"/>
  <c r="E203" i="24"/>
  <c r="E202" i="24"/>
  <c r="E201" i="24"/>
  <c r="B182" i="24"/>
  <c r="B183" i="24"/>
  <c r="B181" i="24"/>
  <c r="I89" i="24"/>
  <c r="L151" i="21"/>
  <c r="J151" i="21"/>
  <c r="C194" i="24"/>
  <c r="D341" i="19"/>
  <c r="C341" i="19"/>
  <c r="G341" i="19"/>
  <c r="F341" i="19"/>
  <c r="H301" i="6"/>
  <c r="C301" i="6"/>
  <c r="G301" i="6" s="1"/>
  <c r="E359" i="6" s="1"/>
  <c r="C824" i="22" s="1"/>
  <c r="F301" i="6"/>
  <c r="I301" i="6"/>
  <c r="E301" i="6"/>
  <c r="F319" i="19"/>
  <c r="H319" i="19"/>
  <c r="G319" i="19"/>
  <c r="H279" i="6"/>
  <c r="C279" i="6"/>
  <c r="J279" i="6"/>
  <c r="I279" i="6"/>
  <c r="E236" i="6"/>
  <c r="C340" i="6" s="1"/>
  <c r="H258" i="19"/>
  <c r="D258" i="19"/>
  <c r="G258" i="19"/>
  <c r="F258" i="19"/>
  <c r="H218" i="6"/>
  <c r="C218" i="6"/>
  <c r="G218" i="6" s="1"/>
  <c r="J218" i="6"/>
  <c r="F218" i="6"/>
  <c r="I218" i="6"/>
  <c r="C963" i="22"/>
  <c r="K176" i="16"/>
  <c r="D147" i="5"/>
  <c r="C707" i="22"/>
  <c r="K168" i="16"/>
  <c r="D139" i="5"/>
  <c r="E461" i="22"/>
  <c r="K160" i="16"/>
  <c r="D131" i="5"/>
  <c r="B80" i="4"/>
  <c r="L144" i="21"/>
  <c r="J144" i="21"/>
  <c r="D199" i="24"/>
  <c r="B179" i="24"/>
  <c r="B177" i="24"/>
  <c r="B178" i="24"/>
  <c r="C165" i="24"/>
  <c r="E900" i="22"/>
  <c r="L174" i="16"/>
  <c r="C146" i="22"/>
  <c r="L150" i="16"/>
  <c r="B213" i="24"/>
  <c r="B211" i="24"/>
  <c r="B212" i="24"/>
  <c r="C198" i="24"/>
  <c r="B191" i="24"/>
  <c r="F324" i="19"/>
  <c r="G324" i="19"/>
  <c r="D324" i="19"/>
  <c r="H324" i="19"/>
  <c r="C324" i="19"/>
  <c r="J284" i="6"/>
  <c r="F284" i="6"/>
  <c r="I284" i="6"/>
  <c r="E284" i="6"/>
  <c r="H284" i="6"/>
  <c r="F312" i="19"/>
  <c r="D312" i="19"/>
  <c r="H312" i="19"/>
  <c r="C312" i="19"/>
  <c r="G312" i="19"/>
  <c r="I272" i="6"/>
  <c r="E272" i="6"/>
  <c r="H272" i="6"/>
  <c r="C272" i="6"/>
  <c r="J272" i="6"/>
  <c r="F272" i="6"/>
  <c r="H302" i="19"/>
  <c r="C302" i="19"/>
  <c r="G302" i="19"/>
  <c r="F302" i="19"/>
  <c r="D302" i="19"/>
  <c r="I262" i="6"/>
  <c r="E262" i="6"/>
  <c r="H262" i="6"/>
  <c r="C262" i="6"/>
  <c r="J262" i="6"/>
  <c r="F262" i="6"/>
  <c r="F256" i="6"/>
  <c r="E252" i="6"/>
  <c r="G268" i="19"/>
  <c r="F268" i="19"/>
  <c r="H268" i="19"/>
  <c r="D268" i="19"/>
  <c r="I228" i="6"/>
  <c r="H228" i="6"/>
  <c r="C228" i="6"/>
  <c r="G228" i="6" s="1"/>
  <c r="J228" i="6"/>
  <c r="F228" i="6"/>
  <c r="B805" i="7"/>
  <c r="AI281" i="7"/>
  <c r="AI294" i="7" s="1"/>
  <c r="AI402" i="7" s="1"/>
  <c r="C804" i="7"/>
  <c r="E804" i="7" s="1"/>
  <c r="C822" i="7" s="1"/>
  <c r="AF831" i="7" s="1"/>
  <c r="AF281" i="7"/>
  <c r="D803" i="7"/>
  <c r="AC281" i="7"/>
  <c r="AC297" i="7" s="1"/>
  <c r="AC403" i="7" s="1"/>
  <c r="B801" i="7"/>
  <c r="S281" i="7"/>
  <c r="P281" i="7"/>
  <c r="C800" i="7"/>
  <c r="E800" i="7" s="1"/>
  <c r="C818" i="7" s="1"/>
  <c r="P831" i="7" s="1"/>
  <c r="D799" i="7"/>
  <c r="M281" i="7"/>
  <c r="B797" i="7"/>
  <c r="C281" i="7"/>
  <c r="E307" i="6"/>
  <c r="J291" i="6"/>
  <c r="I260" i="6"/>
  <c r="E254" i="6"/>
  <c r="D232" i="6"/>
  <c r="B339" i="6" s="1"/>
  <c r="B61" i="18" s="1"/>
  <c r="C145" i="18" s="1"/>
  <c r="B288" i="3"/>
  <c r="B50" i="12" s="1"/>
  <c r="D679" i="7"/>
  <c r="F317" i="6"/>
  <c r="D365" i="6" s="1"/>
  <c r="D1016" i="22" s="1"/>
  <c r="F297" i="6"/>
  <c r="H260" i="6"/>
  <c r="E297" i="6"/>
  <c r="J253" i="6"/>
  <c r="E246" i="6"/>
  <c r="H257" i="6"/>
  <c r="F346" i="6" s="1"/>
  <c r="I253" i="6"/>
  <c r="D248" i="6"/>
  <c r="B258" i="22"/>
  <c r="F266" i="19"/>
  <c r="H266" i="19"/>
  <c r="D266" i="19"/>
  <c r="G266" i="19"/>
  <c r="C266" i="19"/>
  <c r="J226" i="6"/>
  <c r="F226" i="6"/>
  <c r="I226" i="6"/>
  <c r="E226" i="6"/>
  <c r="H226" i="6"/>
  <c r="C226" i="6"/>
  <c r="G226" i="6" s="1"/>
  <c r="E899" i="22"/>
  <c r="K174" i="16"/>
  <c r="D145" i="5"/>
  <c r="E397" i="22"/>
  <c r="K158" i="16"/>
  <c r="D129" i="5"/>
  <c r="I81" i="24"/>
  <c r="E242" i="24" s="1"/>
  <c r="L130" i="21"/>
  <c r="J130" i="21"/>
  <c r="L83" i="21"/>
  <c r="J83" i="21"/>
  <c r="E306" i="6"/>
  <c r="C361" i="6" s="1"/>
  <c r="C888" i="22" s="1"/>
  <c r="G282" i="19"/>
  <c r="D282" i="19"/>
  <c r="H282" i="19"/>
  <c r="F282" i="19"/>
  <c r="C242" i="6"/>
  <c r="G242" i="6" s="1"/>
  <c r="E342" i="6" s="1"/>
  <c r="J242" i="6"/>
  <c r="H342" i="6" s="1"/>
  <c r="F242" i="6"/>
  <c r="D342" i="6" s="1"/>
  <c r="D64" i="18" s="1"/>
  <c r="C214" i="18" s="1"/>
  <c r="I242" i="6"/>
  <c r="G342" i="6" s="1"/>
  <c r="H242" i="6"/>
  <c r="F342" i="6" s="1"/>
  <c r="C836" i="22"/>
  <c r="L172" i="16"/>
  <c r="E334" i="22"/>
  <c r="L156" i="16"/>
  <c r="I79" i="24"/>
  <c r="L123" i="21"/>
  <c r="J123" i="21"/>
  <c r="E187" i="24"/>
  <c r="E186" i="24"/>
  <c r="E185" i="24"/>
  <c r="C66" i="17"/>
  <c r="I83" i="24"/>
  <c r="L136" i="21"/>
  <c r="J136" i="21"/>
  <c r="F303" i="19"/>
  <c r="G303" i="19"/>
  <c r="D303" i="19"/>
  <c r="H303" i="19"/>
  <c r="C303" i="19"/>
  <c r="H263" i="6"/>
  <c r="C263" i="6"/>
  <c r="J263" i="6"/>
  <c r="F263" i="6"/>
  <c r="I263" i="6"/>
  <c r="E263" i="6"/>
  <c r="H269" i="19"/>
  <c r="D269" i="19"/>
  <c r="G269" i="19"/>
  <c r="F269" i="19"/>
  <c r="H229" i="6"/>
  <c r="C229" i="6"/>
  <c r="G229" i="6" s="1"/>
  <c r="J229" i="6"/>
  <c r="F229" i="6"/>
  <c r="I229" i="6"/>
  <c r="C740" i="22"/>
  <c r="L169" i="16"/>
  <c r="D238" i="22"/>
  <c r="L153" i="16"/>
  <c r="E263" i="24"/>
  <c r="E221" i="24"/>
  <c r="E220" i="24"/>
  <c r="E219" i="24"/>
  <c r="D270" i="22"/>
  <c r="L154" i="16"/>
  <c r="G337" i="19"/>
  <c r="F337" i="19"/>
  <c r="I297" i="6"/>
  <c r="H297" i="6"/>
  <c r="G273" i="19"/>
  <c r="C273" i="19"/>
  <c r="F273" i="19"/>
  <c r="H273" i="19"/>
  <c r="D273" i="19"/>
  <c r="I233" i="6"/>
  <c r="E233" i="6"/>
  <c r="H233" i="6"/>
  <c r="C233" i="6"/>
  <c r="J233" i="6"/>
  <c r="F233" i="6"/>
  <c r="D802" i="7"/>
  <c r="Y281" i="7"/>
  <c r="Y309" i="7" s="1"/>
  <c r="Y594" i="7" s="1"/>
  <c r="D798" i="7"/>
  <c r="I281" i="7"/>
  <c r="I309" i="7"/>
  <c r="I594" i="7" s="1"/>
  <c r="M308" i="7"/>
  <c r="M593" i="7" s="1"/>
  <c r="I297" i="7"/>
  <c r="I403" i="7" s="1"/>
  <c r="Y310" i="7"/>
  <c r="Y595" i="7" s="1"/>
  <c r="I310" i="7"/>
  <c r="I595" i="7" s="1"/>
  <c r="AC309" i="7"/>
  <c r="AC594" i="7" s="1"/>
  <c r="M309" i="7"/>
  <c r="M594" i="7" s="1"/>
  <c r="Y306" i="7"/>
  <c r="Y591" i="7" s="1"/>
  <c r="I306" i="7"/>
  <c r="I591" i="7" s="1"/>
  <c r="M297" i="7"/>
  <c r="M403" i="7" s="1"/>
  <c r="Y294" i="7"/>
  <c r="Y402" i="7" s="1"/>
  <c r="I294" i="7"/>
  <c r="I402" i="7" s="1"/>
  <c r="Y311" i="7"/>
  <c r="Y596" i="7" s="1"/>
  <c r="I311" i="7"/>
  <c r="I596" i="7" s="1"/>
  <c r="M310" i="7"/>
  <c r="M595" i="7" s="1"/>
  <c r="Y307" i="7"/>
  <c r="Y592" i="7" s="1"/>
  <c r="I307" i="7"/>
  <c r="I592" i="7" s="1"/>
  <c r="M306" i="7"/>
  <c r="M591" i="7" s="1"/>
  <c r="M294" i="7"/>
  <c r="M402" i="7" s="1"/>
  <c r="M311" i="7"/>
  <c r="M596" i="7" s="1"/>
  <c r="Y308" i="7"/>
  <c r="Y593" i="7" s="1"/>
  <c r="I308" i="7"/>
  <c r="I593" i="7" s="1"/>
  <c r="M307" i="7"/>
  <c r="M592" i="7" s="1"/>
  <c r="D282" i="6"/>
  <c r="B353" i="6" s="1"/>
  <c r="G185" i="24"/>
  <c r="F186" i="24"/>
  <c r="D186" i="24"/>
  <c r="H185" i="24"/>
  <c r="J306" i="6"/>
  <c r="B572" i="22"/>
  <c r="C583" i="22" s="1"/>
  <c r="J25" i="23" s="1"/>
  <c r="H306" i="19"/>
  <c r="D306" i="19"/>
  <c r="C306" i="19"/>
  <c r="G306" i="19"/>
  <c r="F306" i="19"/>
  <c r="J266" i="6"/>
  <c r="F266" i="6"/>
  <c r="I266" i="6"/>
  <c r="E266" i="6"/>
  <c r="H266" i="6"/>
  <c r="C266" i="6"/>
  <c r="H289" i="19"/>
  <c r="G289" i="19"/>
  <c r="F289" i="19"/>
  <c r="J249" i="6"/>
  <c r="I249" i="6"/>
  <c r="H249" i="6"/>
  <c r="C249" i="6"/>
  <c r="G249" i="6" s="1"/>
  <c r="H284" i="19"/>
  <c r="G284" i="19"/>
  <c r="F284" i="19"/>
  <c r="J244" i="6"/>
  <c r="I244" i="6"/>
  <c r="H244" i="6"/>
  <c r="C244" i="6"/>
  <c r="G244" i="6" s="1"/>
  <c r="D229" i="6"/>
  <c r="B338" i="6" s="1"/>
  <c r="F256" i="19"/>
  <c r="H256" i="19"/>
  <c r="D256" i="19"/>
  <c r="G256" i="19"/>
  <c r="J216" i="6"/>
  <c r="F216" i="6"/>
  <c r="I216" i="6"/>
  <c r="H216" i="6"/>
  <c r="C216" i="6"/>
  <c r="G216" i="6" s="1"/>
  <c r="E1027" i="22"/>
  <c r="K178" i="16"/>
  <c r="D149" i="5"/>
  <c r="E771" i="22"/>
  <c r="K170" i="16"/>
  <c r="D141" i="5"/>
  <c r="D269" i="22"/>
  <c r="K154" i="16"/>
  <c r="D125" i="5"/>
  <c r="E223" i="24"/>
  <c r="E225" i="24"/>
  <c r="E224" i="24"/>
  <c r="I70" i="24"/>
  <c r="I69" i="24"/>
  <c r="I68" i="24"/>
  <c r="B174" i="24"/>
  <c r="B175" i="24"/>
  <c r="B173" i="24"/>
  <c r="C172" i="21"/>
  <c r="B233" i="24"/>
  <c r="B232" i="24"/>
  <c r="B231" i="24"/>
  <c r="B221" i="24"/>
  <c r="B220" i="24"/>
  <c r="B219" i="24"/>
  <c r="B205" i="24"/>
  <c r="B206" i="24"/>
  <c r="I60" i="24"/>
  <c r="B1048" i="22"/>
  <c r="B160" i="7"/>
  <c r="D352" i="19"/>
  <c r="C352" i="19"/>
  <c r="G352" i="19"/>
  <c r="F352" i="19"/>
  <c r="H312" i="6"/>
  <c r="F312" i="6"/>
  <c r="I312" i="6"/>
  <c r="E312" i="6"/>
  <c r="E295" i="6"/>
  <c r="G320" i="19"/>
  <c r="F320" i="19"/>
  <c r="H320" i="19"/>
  <c r="C280" i="6"/>
  <c r="J280" i="6"/>
  <c r="I280" i="6"/>
  <c r="H280" i="6"/>
  <c r="G304" i="19"/>
  <c r="C304" i="19"/>
  <c r="D304" i="19"/>
  <c r="H304" i="19"/>
  <c r="F304" i="19"/>
  <c r="C264" i="6"/>
  <c r="J264" i="6"/>
  <c r="F264" i="6"/>
  <c r="I264" i="6"/>
  <c r="E264" i="6"/>
  <c r="H264" i="6"/>
  <c r="H276" i="19"/>
  <c r="D276" i="19"/>
  <c r="G276" i="19"/>
  <c r="F276" i="19"/>
  <c r="C236" i="6"/>
  <c r="G236" i="6" s="1"/>
  <c r="J236" i="6"/>
  <c r="F236" i="6"/>
  <c r="I236" i="6"/>
  <c r="H236" i="6"/>
  <c r="D222" i="6"/>
  <c r="B336" i="6" s="1"/>
  <c r="H254" i="19"/>
  <c r="D254" i="19"/>
  <c r="G254" i="19"/>
  <c r="C254" i="19"/>
  <c r="F254" i="19"/>
  <c r="C214" i="6"/>
  <c r="G214" i="6" s="1"/>
  <c r="J214" i="6"/>
  <c r="F214" i="6"/>
  <c r="I214" i="6"/>
  <c r="E214" i="6"/>
  <c r="H214" i="6"/>
  <c r="C964" i="22"/>
  <c r="L176" i="16"/>
  <c r="C708" i="22"/>
  <c r="L168" i="16"/>
  <c r="E462" i="22"/>
  <c r="L160" i="16"/>
  <c r="H292" i="3"/>
  <c r="H288" i="3"/>
  <c r="H284" i="3"/>
  <c r="H280" i="3"/>
  <c r="H276" i="3"/>
  <c r="H272" i="3"/>
  <c r="H268" i="3"/>
  <c r="H264" i="3"/>
  <c r="H285" i="3"/>
  <c r="H265" i="3"/>
  <c r="H291" i="3"/>
  <c r="H287" i="3"/>
  <c r="H283" i="3"/>
  <c r="H279" i="3"/>
  <c r="H275" i="3"/>
  <c r="H271" i="3"/>
  <c r="H267" i="3"/>
  <c r="H263" i="3"/>
  <c r="H293" i="3"/>
  <c r="H281" i="3"/>
  <c r="H273" i="3"/>
  <c r="H290" i="3"/>
  <c r="H286" i="3"/>
  <c r="H282" i="3"/>
  <c r="H278" i="3"/>
  <c r="H274" i="3"/>
  <c r="H270" i="3"/>
  <c r="H266" i="3"/>
  <c r="H262" i="3"/>
  <c r="H289" i="3"/>
  <c r="H277" i="3"/>
  <c r="H269" i="3"/>
  <c r="H261" i="3"/>
  <c r="B266" i="24"/>
  <c r="B265" i="24"/>
  <c r="B258" i="24"/>
  <c r="B253" i="24"/>
  <c r="J133" i="21"/>
  <c r="L133" i="21"/>
  <c r="I80" i="24"/>
  <c r="B225" i="24"/>
  <c r="B224" i="24"/>
  <c r="B223" i="24"/>
  <c r="B208" i="24"/>
  <c r="B209" i="24"/>
  <c r="C178" i="24"/>
  <c r="E171" i="24"/>
  <c r="E170" i="24"/>
  <c r="E169" i="24"/>
  <c r="C171" i="24"/>
  <c r="C169" i="24"/>
  <c r="F169" i="24"/>
  <c r="C170" i="24"/>
  <c r="B263" i="24"/>
  <c r="I65" i="24"/>
  <c r="D307" i="6"/>
  <c r="H327" i="19"/>
  <c r="D327" i="19"/>
  <c r="C327" i="19"/>
  <c r="G327" i="19"/>
  <c r="F327" i="19"/>
  <c r="I287" i="6"/>
  <c r="E287" i="6"/>
  <c r="H287" i="6"/>
  <c r="J287" i="6"/>
  <c r="F287" i="6"/>
  <c r="F308" i="19"/>
  <c r="D308" i="19"/>
  <c r="H308" i="19"/>
  <c r="C308" i="19"/>
  <c r="G308" i="19"/>
  <c r="H268" i="6"/>
  <c r="C268" i="6"/>
  <c r="J268" i="6"/>
  <c r="F268" i="6"/>
  <c r="I268" i="6"/>
  <c r="E268" i="6"/>
  <c r="D260" i="6"/>
  <c r="D254" i="6"/>
  <c r="E242" i="6"/>
  <c r="C342" i="6" s="1"/>
  <c r="H274" i="19"/>
  <c r="D274" i="19"/>
  <c r="G274" i="19"/>
  <c r="C274" i="19"/>
  <c r="F274" i="19"/>
  <c r="H234" i="6"/>
  <c r="C234" i="6"/>
  <c r="J234" i="6"/>
  <c r="F234" i="6"/>
  <c r="I234" i="6"/>
  <c r="E234" i="6"/>
  <c r="H264" i="19"/>
  <c r="D264" i="19"/>
  <c r="G264" i="19"/>
  <c r="C264" i="19"/>
  <c r="F264" i="19"/>
  <c r="H224" i="6"/>
  <c r="F337" i="6" s="1"/>
  <c r="C224" i="6"/>
  <c r="G224" i="6" s="1"/>
  <c r="E337" i="6" s="1"/>
  <c r="J224" i="6"/>
  <c r="H337" i="6" s="1"/>
  <c r="F224" i="6"/>
  <c r="D337" i="6" s="1"/>
  <c r="I224" i="6"/>
  <c r="G337" i="6" s="1"/>
  <c r="E224" i="6"/>
  <c r="C337" i="6" s="1"/>
  <c r="C59" i="18" s="1"/>
  <c r="C176" i="18" s="1"/>
  <c r="C868" i="22"/>
  <c r="L173" i="16"/>
  <c r="E366" i="22"/>
  <c r="L157" i="16"/>
  <c r="E265" i="24"/>
  <c r="E266" i="24"/>
  <c r="I82" i="24"/>
  <c r="E245" i="24" s="1"/>
  <c r="D198" i="24"/>
  <c r="C191" i="24"/>
  <c r="C185" i="24"/>
  <c r="I61" i="24"/>
  <c r="E772" i="22"/>
  <c r="L170" i="16"/>
  <c r="I86" i="24"/>
  <c r="C197" i="24"/>
  <c r="E175" i="24"/>
  <c r="E174" i="24"/>
  <c r="E173" i="24"/>
  <c r="C174" i="24"/>
  <c r="C175" i="24"/>
  <c r="C173" i="24"/>
  <c r="H359" i="19"/>
  <c r="G359" i="19"/>
  <c r="F359" i="19"/>
  <c r="I319" i="6"/>
  <c r="G366" i="6" s="1"/>
  <c r="H319" i="6"/>
  <c r="F366" i="6" s="1"/>
  <c r="C319" i="6"/>
  <c r="G319" i="6" s="1"/>
  <c r="E366" i="6" s="1"/>
  <c r="E1048" i="22" s="1"/>
  <c r="J319" i="6"/>
  <c r="H366" i="6" s="1"/>
  <c r="F349" i="19"/>
  <c r="G349" i="19"/>
  <c r="H349" i="19"/>
  <c r="I309" i="6"/>
  <c r="G362" i="6" s="1"/>
  <c r="H309" i="6"/>
  <c r="F362" i="6" s="1"/>
  <c r="C309" i="6"/>
  <c r="G309" i="6" s="1"/>
  <c r="E362" i="6" s="1"/>
  <c r="E920" i="22" s="1"/>
  <c r="J309" i="6"/>
  <c r="H362" i="6" s="1"/>
  <c r="H339" i="19"/>
  <c r="F339" i="19"/>
  <c r="G339" i="19"/>
  <c r="I299" i="6"/>
  <c r="G358" i="6" s="1"/>
  <c r="H299" i="6"/>
  <c r="F358" i="6" s="1"/>
  <c r="C299" i="6"/>
  <c r="G299" i="6" s="1"/>
  <c r="E358" i="6" s="1"/>
  <c r="E792" i="22" s="1"/>
  <c r="J299" i="6"/>
  <c r="H358" i="6" s="1"/>
  <c r="F336" i="19"/>
  <c r="G336" i="19"/>
  <c r="I296" i="6"/>
  <c r="H296" i="6"/>
  <c r="H318" i="19"/>
  <c r="G318" i="19"/>
  <c r="F318" i="19"/>
  <c r="I278" i="6"/>
  <c r="G352" i="6" s="1"/>
  <c r="H278" i="6"/>
  <c r="F352" i="6" s="1"/>
  <c r="C278" i="6"/>
  <c r="J278" i="6"/>
  <c r="H352" i="6" s="1"/>
  <c r="F290" i="19"/>
  <c r="H290" i="19"/>
  <c r="G290" i="19"/>
  <c r="I250" i="6"/>
  <c r="H250" i="6"/>
  <c r="C250" i="6"/>
  <c r="G250" i="6" s="1"/>
  <c r="J250" i="6"/>
  <c r="G278" i="19"/>
  <c r="F278" i="19"/>
  <c r="H278" i="19"/>
  <c r="D278" i="19"/>
  <c r="I238" i="6"/>
  <c r="H238" i="6"/>
  <c r="C238" i="6"/>
  <c r="G238" i="6" s="1"/>
  <c r="J238" i="6"/>
  <c r="F238" i="6"/>
  <c r="G257" i="19"/>
  <c r="F257" i="19"/>
  <c r="H257" i="19"/>
  <c r="D257" i="19"/>
  <c r="I217" i="6"/>
  <c r="H217" i="6"/>
  <c r="C217" i="6"/>
  <c r="G217" i="6" s="1"/>
  <c r="J217" i="6"/>
  <c r="F217" i="6"/>
  <c r="B292" i="3"/>
  <c r="B54" i="12" s="1"/>
  <c r="C805" i="7"/>
  <c r="E805" i="7" s="1"/>
  <c r="C823" i="7" s="1"/>
  <c r="AJ831" i="7" s="1"/>
  <c r="AJ281" i="7"/>
  <c r="AG281" i="7"/>
  <c r="AG307" i="7" s="1"/>
  <c r="AG592" i="7" s="1"/>
  <c r="D804" i="7"/>
  <c r="W281" i="7"/>
  <c r="B802" i="7"/>
  <c r="C801" i="7"/>
  <c r="E801" i="7" s="1"/>
  <c r="C819" i="7" s="1"/>
  <c r="T831" i="7" s="1"/>
  <c r="T281" i="7"/>
  <c r="Q281" i="7"/>
  <c r="Q311" i="7" s="1"/>
  <c r="Q596" i="7" s="1"/>
  <c r="D800" i="7"/>
  <c r="G281" i="7"/>
  <c r="B798" i="7"/>
  <c r="C797" i="7"/>
  <c r="E797" i="7" s="1"/>
  <c r="C815" i="7" s="1"/>
  <c r="D831" i="7" s="1"/>
  <c r="D281" i="7"/>
  <c r="D304" i="6"/>
  <c r="B360" i="6" s="1"/>
  <c r="F280" i="6"/>
  <c r="E260" i="6"/>
  <c r="H253" i="6"/>
  <c r="F345" i="6" s="1"/>
  <c r="H153" i="21"/>
  <c r="I47" i="20"/>
  <c r="D49" i="4"/>
  <c r="C50" i="4"/>
  <c r="J257" i="6"/>
  <c r="H346" i="6" s="1"/>
  <c r="H418" i="22" s="1"/>
  <c r="F249" i="6"/>
  <c r="D344" i="6" s="1"/>
  <c r="F296" i="6"/>
  <c r="D357" i="6" s="1"/>
  <c r="D760" i="22" s="1"/>
  <c r="I257" i="6"/>
  <c r="G346" i="6" s="1"/>
  <c r="G418" i="22" s="1"/>
  <c r="F253" i="6"/>
  <c r="E245" i="6"/>
  <c r="E230" i="6"/>
  <c r="C338" i="6" s="1"/>
  <c r="J317" i="6"/>
  <c r="H365" i="6" s="1"/>
  <c r="F1016" i="22" s="1"/>
  <c r="D297" i="6"/>
  <c r="B357" i="6" s="1"/>
  <c r="B760" i="22" s="1"/>
  <c r="E253" i="6"/>
  <c r="D237" i="6"/>
  <c r="B340" i="6" s="1"/>
  <c r="E218" i="6"/>
  <c r="H316" i="19"/>
  <c r="D316" i="19"/>
  <c r="F316" i="19"/>
  <c r="C316" i="19"/>
  <c r="G316" i="19"/>
  <c r="J276" i="6"/>
  <c r="F276" i="6"/>
  <c r="I276" i="6"/>
  <c r="E276" i="6"/>
  <c r="H276" i="6"/>
  <c r="C276" i="6"/>
  <c r="J134" i="21"/>
  <c r="L134" i="21"/>
  <c r="B602" i="22"/>
  <c r="D197" i="24"/>
  <c r="I63" i="24"/>
  <c r="G347" i="19"/>
  <c r="F347" i="19"/>
  <c r="I307" i="6"/>
  <c r="H307" i="6"/>
  <c r="G285" i="19"/>
  <c r="F285" i="19"/>
  <c r="H285" i="19"/>
  <c r="I245" i="6"/>
  <c r="H245" i="6"/>
  <c r="C245" i="6"/>
  <c r="G245" i="6" s="1"/>
  <c r="J245" i="6"/>
  <c r="G252" i="19"/>
  <c r="C252" i="19"/>
  <c r="F252" i="19"/>
  <c r="H252" i="19"/>
  <c r="D252" i="19"/>
  <c r="I212" i="6"/>
  <c r="E212" i="6"/>
  <c r="H212" i="6"/>
  <c r="C212" i="6"/>
  <c r="G212" i="6" s="1"/>
  <c r="J212" i="6"/>
  <c r="F212" i="6"/>
  <c r="C803" i="7"/>
  <c r="AB281" i="7"/>
  <c r="C799" i="7"/>
  <c r="L281" i="7"/>
  <c r="B512" i="22"/>
  <c r="C523" i="22" s="1"/>
  <c r="J23" i="23" s="1"/>
  <c r="F245" i="6"/>
  <c r="D314" i="6"/>
  <c r="B364" i="6" s="1"/>
  <c r="G186" i="24"/>
  <c r="H186" i="24"/>
  <c r="H187" i="24"/>
  <c r="F306" i="6"/>
  <c r="D361" i="6" s="1"/>
  <c r="D888" i="22" s="1"/>
  <c r="B824" i="22"/>
  <c r="F335" i="19"/>
  <c r="G335" i="19"/>
  <c r="I295" i="6"/>
  <c r="G357" i="6" s="1"/>
  <c r="H295" i="6"/>
  <c r="F357" i="6" s="1"/>
  <c r="C295" i="6"/>
  <c r="G295" i="6" s="1"/>
  <c r="E357" i="6" s="1"/>
  <c r="E760" i="22" s="1"/>
  <c r="D289" i="6"/>
  <c r="B355" i="6" s="1"/>
  <c r="H311" i="19"/>
  <c r="D311" i="19"/>
  <c r="G311" i="19"/>
  <c r="F311" i="19"/>
  <c r="C311" i="19"/>
  <c r="J271" i="6"/>
  <c r="F271" i="6"/>
  <c r="I271" i="6"/>
  <c r="E271" i="6"/>
  <c r="H271" i="6"/>
  <c r="C271" i="6"/>
  <c r="F261" i="19"/>
  <c r="H261" i="19"/>
  <c r="D261" i="19"/>
  <c r="G261" i="19"/>
  <c r="C261" i="19"/>
  <c r="J221" i="6"/>
  <c r="F221" i="6"/>
  <c r="I221" i="6"/>
  <c r="E221" i="6"/>
  <c r="H221" i="6"/>
  <c r="C221" i="6"/>
  <c r="E932" i="22"/>
  <c r="L175" i="16"/>
  <c r="C676" i="22"/>
  <c r="L167" i="16"/>
  <c r="E430" i="22"/>
  <c r="L159" i="16"/>
  <c r="D178" i="22"/>
  <c r="L151" i="16"/>
  <c r="G207" i="3"/>
  <c r="G249" i="3" s="1"/>
  <c r="G203" i="3"/>
  <c r="G245" i="3" s="1"/>
  <c r="G199" i="3"/>
  <c r="G241" i="3" s="1"/>
  <c r="G195" i="3"/>
  <c r="G237" i="3" s="1"/>
  <c r="G191" i="3"/>
  <c r="G233" i="3" s="1"/>
  <c r="G187" i="3"/>
  <c r="G229" i="3" s="1"/>
  <c r="G183" i="3"/>
  <c r="G225" i="3" s="1"/>
  <c r="G179" i="3"/>
  <c r="G221" i="3" s="1"/>
  <c r="G180" i="3"/>
  <c r="G222" i="3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196" i="3"/>
  <c r="G238" i="3" s="1"/>
  <c r="G192" i="3"/>
  <c r="G234" i="3" s="1"/>
  <c r="G188" i="3"/>
  <c r="G230" i="3" s="1"/>
  <c r="G184" i="3"/>
  <c r="G226" i="3" s="1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G208" i="3"/>
  <c r="G250" i="3" s="1"/>
  <c r="G204" i="3"/>
  <c r="G246" i="3" s="1"/>
  <c r="G200" i="3"/>
  <c r="G242" i="3" s="1"/>
  <c r="E253" i="24"/>
  <c r="E248" i="24"/>
  <c r="E239" i="24"/>
  <c r="E240" i="24"/>
  <c r="E238" i="24"/>
  <c r="B202" i="24"/>
  <c r="B203" i="24"/>
  <c r="B201" i="24"/>
  <c r="B199" i="24"/>
  <c r="B197" i="24"/>
  <c r="B198" i="24"/>
  <c r="B194" i="24"/>
  <c r="B195" i="24"/>
  <c r="B193" i="24"/>
  <c r="J74" i="21"/>
  <c r="L74" i="21"/>
  <c r="E163" i="24"/>
  <c r="E162" i="24"/>
  <c r="E161" i="24"/>
  <c r="C163" i="24"/>
  <c r="C161" i="24"/>
  <c r="H162" i="24"/>
  <c r="C162" i="24"/>
  <c r="I84" i="24"/>
  <c r="E250" i="24" s="1"/>
  <c r="B166" i="24"/>
  <c r="B167" i="24"/>
  <c r="B165" i="24"/>
  <c r="B920" i="22"/>
  <c r="B156" i="7"/>
  <c r="F342" i="19"/>
  <c r="C342" i="19"/>
  <c r="G342" i="19"/>
  <c r="D342" i="19"/>
  <c r="H302" i="6"/>
  <c r="F302" i="6"/>
  <c r="I302" i="6"/>
  <c r="E302" i="6"/>
  <c r="H333" i="19"/>
  <c r="D333" i="19"/>
  <c r="G333" i="19"/>
  <c r="F333" i="19"/>
  <c r="C333" i="19"/>
  <c r="C293" i="6"/>
  <c r="G293" i="6" s="1"/>
  <c r="E356" i="6" s="1"/>
  <c r="J293" i="6"/>
  <c r="H356" i="6" s="1"/>
  <c r="F293" i="6"/>
  <c r="D356" i="6" s="1"/>
  <c r="I293" i="6"/>
  <c r="G356" i="6" s="1"/>
  <c r="E293" i="6"/>
  <c r="C356" i="6" s="1"/>
  <c r="H293" i="6"/>
  <c r="F356" i="6" s="1"/>
  <c r="F330" i="19"/>
  <c r="D330" i="19"/>
  <c r="C330" i="19"/>
  <c r="G330" i="19"/>
  <c r="H290" i="6"/>
  <c r="F290" i="6"/>
  <c r="I290" i="6"/>
  <c r="E290" i="6"/>
  <c r="G310" i="19"/>
  <c r="C310" i="19"/>
  <c r="D310" i="19"/>
  <c r="H310" i="19"/>
  <c r="F310" i="19"/>
  <c r="C270" i="6"/>
  <c r="J270" i="6"/>
  <c r="H350" i="6" s="1"/>
  <c r="F270" i="6"/>
  <c r="D350" i="6" s="1"/>
  <c r="D72" i="18" s="1"/>
  <c r="C222" i="18" s="1"/>
  <c r="I270" i="6"/>
  <c r="G350" i="6" s="1"/>
  <c r="E270" i="6"/>
  <c r="C350" i="6" s="1"/>
  <c r="H270" i="6"/>
  <c r="F350" i="6" s="1"/>
  <c r="E244" i="6"/>
  <c r="C343" i="6" s="1"/>
  <c r="H260" i="19"/>
  <c r="D260" i="19"/>
  <c r="G260" i="19"/>
  <c r="C260" i="19"/>
  <c r="F260" i="19"/>
  <c r="C220" i="6"/>
  <c r="J220" i="6"/>
  <c r="H336" i="6" s="1"/>
  <c r="F220" i="6"/>
  <c r="D336" i="6" s="1"/>
  <c r="D58" i="18" s="1"/>
  <c r="C208" i="18" s="1"/>
  <c r="I220" i="6"/>
  <c r="G336" i="6" s="1"/>
  <c r="E220" i="6"/>
  <c r="C336" i="6" s="1"/>
  <c r="H220" i="6"/>
  <c r="F336" i="6" s="1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D292" i="3"/>
  <c r="D288" i="3"/>
  <c r="D284" i="3"/>
  <c r="D280" i="3"/>
  <c r="D276" i="3"/>
  <c r="D272" i="3"/>
  <c r="D268" i="3"/>
  <c r="D264" i="3"/>
  <c r="D273" i="3"/>
  <c r="D261" i="3"/>
  <c r="D291" i="3"/>
  <c r="D287" i="3"/>
  <c r="D283" i="3"/>
  <c r="D279" i="3"/>
  <c r="D275" i="3"/>
  <c r="D271" i="3"/>
  <c r="D267" i="3"/>
  <c r="D263" i="3"/>
  <c r="D285" i="3"/>
  <c r="D281" i="3"/>
  <c r="D277" i="3"/>
  <c r="D269" i="3"/>
  <c r="D290" i="3"/>
  <c r="D286" i="3"/>
  <c r="D282" i="3"/>
  <c r="D278" i="3"/>
  <c r="D274" i="3"/>
  <c r="D270" i="3"/>
  <c r="D266" i="3"/>
  <c r="D262" i="3"/>
  <c r="D293" i="3"/>
  <c r="D289" i="3"/>
  <c r="D265" i="3"/>
  <c r="I88" i="24"/>
  <c r="B260" i="24" s="1"/>
  <c r="B240" i="24"/>
  <c r="B238" i="24"/>
  <c r="B239" i="24"/>
  <c r="I74" i="24"/>
  <c r="E195" i="24"/>
  <c r="E194" i="24"/>
  <c r="E193" i="24"/>
  <c r="H193" i="24"/>
  <c r="H195" i="24"/>
  <c r="C177" i="24"/>
  <c r="E167" i="24"/>
  <c r="E166" i="24"/>
  <c r="E165" i="24"/>
  <c r="F166" i="24"/>
  <c r="I59" i="24"/>
  <c r="B172" i="21"/>
  <c r="I91" i="24"/>
  <c r="B268" i="24" s="1"/>
  <c r="J156" i="21"/>
  <c r="L156" i="21"/>
  <c r="I77" i="24"/>
  <c r="E229" i="24" s="1"/>
  <c r="C195" i="24"/>
  <c r="B187" i="24"/>
  <c r="B185" i="24"/>
  <c r="B186" i="24"/>
  <c r="J311" i="6"/>
  <c r="H363" i="6" s="1"/>
  <c r="D952" i="22" s="1"/>
  <c r="D306" i="6"/>
  <c r="B361" i="6" s="1"/>
  <c r="J289" i="6"/>
  <c r="H355" i="6" s="1"/>
  <c r="D696" i="22" s="1"/>
  <c r="F314" i="19"/>
  <c r="D314" i="19"/>
  <c r="H314" i="19"/>
  <c r="C314" i="19"/>
  <c r="G314" i="19"/>
  <c r="H274" i="6"/>
  <c r="F351" i="6" s="1"/>
  <c r="C274" i="6"/>
  <c r="J274" i="6"/>
  <c r="H351" i="6" s="1"/>
  <c r="F274" i="6"/>
  <c r="D351" i="6" s="1"/>
  <c r="D73" i="18" s="1"/>
  <c r="C223" i="18" s="1"/>
  <c r="I274" i="6"/>
  <c r="G351" i="6" s="1"/>
  <c r="E274" i="6"/>
  <c r="C351" i="6" s="1"/>
  <c r="I259" i="6"/>
  <c r="G347" i="6" s="1"/>
  <c r="G450" i="22" s="1"/>
  <c r="E248" i="6"/>
  <c r="H280" i="19"/>
  <c r="D280" i="19"/>
  <c r="G280" i="19"/>
  <c r="F280" i="19"/>
  <c r="H240" i="6"/>
  <c r="F341" i="6" s="1"/>
  <c r="C240" i="6"/>
  <c r="G240" i="6" s="1"/>
  <c r="E341" i="6" s="1"/>
  <c r="J240" i="6"/>
  <c r="H341" i="6" s="1"/>
  <c r="F240" i="6"/>
  <c r="D341" i="6" s="1"/>
  <c r="I240" i="6"/>
  <c r="G341" i="6" s="1"/>
  <c r="H253" i="19"/>
  <c r="D253" i="19"/>
  <c r="G253" i="19"/>
  <c r="C253" i="19"/>
  <c r="F253" i="19"/>
  <c r="H213" i="6"/>
  <c r="C213" i="6"/>
  <c r="G213" i="6" s="1"/>
  <c r="J213" i="6"/>
  <c r="F213" i="6"/>
  <c r="I213" i="6"/>
  <c r="E213" i="6"/>
  <c r="C835" i="22"/>
  <c r="K172" i="16"/>
  <c r="D143" i="5"/>
  <c r="E333" i="22"/>
  <c r="K156" i="16"/>
  <c r="D127" i="5"/>
  <c r="D85" i="22"/>
  <c r="K148" i="16"/>
  <c r="D119" i="5"/>
  <c r="G293" i="3"/>
  <c r="G289" i="3"/>
  <c r="G285" i="3"/>
  <c r="G281" i="3"/>
  <c r="G277" i="3"/>
  <c r="G273" i="3"/>
  <c r="G269" i="3"/>
  <c r="G265" i="3"/>
  <c r="G261" i="3"/>
  <c r="G274" i="3"/>
  <c r="G266" i="3"/>
  <c r="G262" i="3"/>
  <c r="G292" i="3"/>
  <c r="G288" i="3"/>
  <c r="G284" i="3"/>
  <c r="G280" i="3"/>
  <c r="G276" i="3"/>
  <c r="G272" i="3"/>
  <c r="G268" i="3"/>
  <c r="G264" i="3"/>
  <c r="G282" i="3"/>
  <c r="G291" i="3"/>
  <c r="G287" i="3"/>
  <c r="G283" i="3"/>
  <c r="G279" i="3"/>
  <c r="G275" i="3"/>
  <c r="G271" i="3"/>
  <c r="G267" i="3"/>
  <c r="G263" i="3"/>
  <c r="G290" i="3"/>
  <c r="G286" i="3"/>
  <c r="G278" i="3"/>
  <c r="G270" i="3"/>
  <c r="B246" i="24"/>
  <c r="B244" i="24"/>
  <c r="B245" i="24"/>
  <c r="E232" i="24"/>
  <c r="E233" i="24"/>
  <c r="E231" i="24"/>
  <c r="E213" i="24"/>
  <c r="E212" i="24"/>
  <c r="E211" i="24"/>
  <c r="E209" i="24"/>
  <c r="E208" i="24"/>
  <c r="D194" i="24"/>
  <c r="I66" i="24"/>
  <c r="C187" i="24"/>
  <c r="B171" i="24"/>
  <c r="B169" i="24"/>
  <c r="B170" i="24"/>
  <c r="C644" i="22"/>
  <c r="L166" i="16"/>
  <c r="E398" i="22"/>
  <c r="L158" i="16"/>
  <c r="B256" i="24"/>
  <c r="B255" i="24"/>
  <c r="C199" i="24"/>
  <c r="G326" i="19"/>
  <c r="C326" i="19"/>
  <c r="D326" i="19"/>
  <c r="H326" i="19"/>
  <c r="F326" i="19"/>
  <c r="I286" i="6"/>
  <c r="G354" i="6" s="1"/>
  <c r="E286" i="6"/>
  <c r="C354" i="6" s="1"/>
  <c r="H286" i="6"/>
  <c r="F354" i="6" s="1"/>
  <c r="C286" i="6"/>
  <c r="G286" i="6" s="1"/>
  <c r="E354" i="6" s="1"/>
  <c r="C664" i="22" s="1"/>
  <c r="J286" i="6"/>
  <c r="H354" i="6" s="1"/>
  <c r="F286" i="6"/>
  <c r="D354" i="6" s="1"/>
  <c r="H323" i="19"/>
  <c r="C323" i="19"/>
  <c r="G323" i="19"/>
  <c r="F323" i="19"/>
  <c r="D323" i="19"/>
  <c r="J283" i="6"/>
  <c r="F283" i="6"/>
  <c r="I283" i="6"/>
  <c r="E283" i="6"/>
  <c r="H283" i="6"/>
  <c r="G307" i="19"/>
  <c r="F307" i="19"/>
  <c r="D307" i="19"/>
  <c r="H307" i="19"/>
  <c r="C307" i="19"/>
  <c r="I267" i="6"/>
  <c r="E267" i="6"/>
  <c r="H267" i="6"/>
  <c r="C267" i="6"/>
  <c r="J267" i="6"/>
  <c r="F267" i="6"/>
  <c r="H259" i="6"/>
  <c r="F347" i="6" s="1"/>
  <c r="D225" i="6"/>
  <c r="B337" i="6" s="1"/>
  <c r="D214" i="6"/>
  <c r="B334" i="6" s="1"/>
  <c r="D805" i="7"/>
  <c r="AK281" i="7"/>
  <c r="AK311" i="7" s="1"/>
  <c r="AK596" i="7" s="1"/>
  <c r="B803" i="7"/>
  <c r="AA281" i="7"/>
  <c r="AA309" i="7" s="1"/>
  <c r="AA594" i="7" s="1"/>
  <c r="C802" i="7"/>
  <c r="E802" i="7" s="1"/>
  <c r="C820" i="7" s="1"/>
  <c r="X831" i="7" s="1"/>
  <c r="X281" i="7"/>
  <c r="D801" i="7"/>
  <c r="U281" i="7"/>
  <c r="B799" i="7"/>
  <c r="K281" i="7"/>
  <c r="C798" i="7"/>
  <c r="E798" i="7" s="1"/>
  <c r="C816" i="7" s="1"/>
  <c r="H831" i="7" s="1"/>
  <c r="H281" i="7"/>
  <c r="D797" i="7"/>
  <c r="E281" i="7"/>
  <c r="E306" i="7" s="1"/>
  <c r="E591" i="7" s="1"/>
  <c r="J296" i="6"/>
  <c r="F279" i="6"/>
  <c r="D352" i="6" s="1"/>
  <c r="D259" i="6"/>
  <c r="B347" i="6" s="1"/>
  <c r="B69" i="18" s="1"/>
  <c r="C153" i="18" s="1"/>
  <c r="D253" i="6"/>
  <c r="B345" i="6" s="1"/>
  <c r="G153" i="21"/>
  <c r="H47" i="20"/>
  <c r="J307" i="6"/>
  <c r="E280" i="6"/>
  <c r="C352" i="6" s="1"/>
  <c r="F257" i="6"/>
  <c r="F246" i="6"/>
  <c r="B284" i="3"/>
  <c r="B46" i="12" s="1"/>
  <c r="B282" i="3"/>
  <c r="B44" i="12" s="1"/>
  <c r="B36" i="16" s="1"/>
  <c r="E317" i="6"/>
  <c r="C365" i="6" s="1"/>
  <c r="C1016" i="22" s="1"/>
  <c r="E257" i="6"/>
  <c r="C346" i="6" s="1"/>
  <c r="E250" i="6"/>
  <c r="D242" i="6"/>
  <c r="B342" i="6" s="1"/>
  <c r="B64" i="18" s="1"/>
  <c r="C148" i="18" s="1"/>
  <c r="E217" i="6"/>
  <c r="C335" i="6" s="1"/>
  <c r="D317" i="6"/>
  <c r="B365" i="6" s="1"/>
  <c r="E296" i="6"/>
  <c r="J260" i="6"/>
  <c r="J254" i="6"/>
  <c r="D250" i="6"/>
  <c r="D244" i="6"/>
  <c r="B343" i="6" s="1"/>
  <c r="B65" i="18" s="1"/>
  <c r="C149" i="18" s="1"/>
  <c r="D217" i="6"/>
  <c r="D69" i="18" l="1"/>
  <c r="C219" i="18" s="1"/>
  <c r="D343" i="6"/>
  <c r="C74" i="22"/>
  <c r="C57" i="18"/>
  <c r="C174" i="18" s="1"/>
  <c r="B67" i="18"/>
  <c r="C151" i="18" s="1"/>
  <c r="B386" i="22"/>
  <c r="D354" i="22"/>
  <c r="D66" i="18"/>
  <c r="C216" i="18" s="1"/>
  <c r="F72" i="9"/>
  <c r="F112" i="9" s="1"/>
  <c r="C72" i="9"/>
  <c r="C112" i="9" s="1"/>
  <c r="B72" i="9"/>
  <c r="B112" i="9" s="1"/>
  <c r="F418" i="22"/>
  <c r="I72" i="9"/>
  <c r="I112" i="9" s="1"/>
  <c r="J72" i="9"/>
  <c r="J112" i="9" s="1"/>
  <c r="E72" i="9"/>
  <c r="E112" i="9" s="1"/>
  <c r="C418" i="22"/>
  <c r="C68" i="18"/>
  <c r="C185" i="18" s="1"/>
  <c r="D602" i="22"/>
  <c r="D74" i="18"/>
  <c r="C224" i="18" s="1"/>
  <c r="B56" i="18"/>
  <c r="C140" i="18" s="1"/>
  <c r="B42" i="22"/>
  <c r="B952" i="22"/>
  <c r="B159" i="7"/>
  <c r="E296" i="18"/>
  <c r="B1016" i="22"/>
  <c r="H1028" i="22" s="1"/>
  <c r="B59" i="18"/>
  <c r="C143" i="18" s="1"/>
  <c r="B134" i="22"/>
  <c r="D322" i="22"/>
  <c r="D65" i="18"/>
  <c r="C215" i="18" s="1"/>
  <c r="F386" i="22"/>
  <c r="B58" i="18"/>
  <c r="C142" i="18" s="1"/>
  <c r="B106" i="22"/>
  <c r="B60" i="18"/>
  <c r="C144" i="18" s="1"/>
  <c r="B166" i="22"/>
  <c r="C602" i="22"/>
  <c r="F613" i="22" s="1"/>
  <c r="J26" i="23" s="1"/>
  <c r="B146" i="7"/>
  <c r="C74" i="18"/>
  <c r="C191" i="18" s="1"/>
  <c r="B62" i="18"/>
  <c r="C146" i="18" s="1"/>
  <c r="B226" i="22"/>
  <c r="C166" i="22"/>
  <c r="C60" i="18"/>
  <c r="C177" i="18" s="1"/>
  <c r="H334" i="6"/>
  <c r="G334" i="6"/>
  <c r="G340" i="6"/>
  <c r="D335" i="6"/>
  <c r="E343" i="6"/>
  <c r="C349" i="6"/>
  <c r="F338" i="6"/>
  <c r="D348" i="6"/>
  <c r="D70" i="18" s="1"/>
  <c r="C220" i="18" s="1"/>
  <c r="C348" i="6"/>
  <c r="G359" i="6"/>
  <c r="F344" i="6"/>
  <c r="H357" i="6"/>
  <c r="F760" i="22" s="1"/>
  <c r="G355" i="6"/>
  <c r="C363" i="6"/>
  <c r="F363" i="6"/>
  <c r="D339" i="6"/>
  <c r="D61" i="18" s="1"/>
  <c r="C211" i="18" s="1"/>
  <c r="D353" i="6"/>
  <c r="F361" i="6"/>
  <c r="B335" i="6"/>
  <c r="C344" i="6"/>
  <c r="E334" i="6"/>
  <c r="D340" i="6"/>
  <c r="D62" i="18" s="1"/>
  <c r="C212" i="18" s="1"/>
  <c r="E335" i="6"/>
  <c r="H335" i="6"/>
  <c r="F343" i="6"/>
  <c r="G349" i="6"/>
  <c r="D338" i="6"/>
  <c r="D60" i="18" s="1"/>
  <c r="C210" i="18" s="1"/>
  <c r="G338" i="6"/>
  <c r="H348" i="6"/>
  <c r="G348" i="6"/>
  <c r="D359" i="6"/>
  <c r="G344" i="6"/>
  <c r="D355" i="6"/>
  <c r="G363" i="6"/>
  <c r="F339" i="6"/>
  <c r="H339" i="6"/>
  <c r="F353" i="6"/>
  <c r="H353" i="6"/>
  <c r="G361" i="6"/>
  <c r="C347" i="6"/>
  <c r="D72" i="9"/>
  <c r="D112" i="9" s="1"/>
  <c r="F334" i="6"/>
  <c r="H340" i="6"/>
  <c r="C357" i="6"/>
  <c r="C760" i="22" s="1"/>
  <c r="F335" i="6"/>
  <c r="G343" i="6"/>
  <c r="D349" i="6"/>
  <c r="D71" i="18" s="1"/>
  <c r="C221" i="18" s="1"/>
  <c r="H361" i="6"/>
  <c r="F888" i="22" s="1"/>
  <c r="H338" i="6"/>
  <c r="C345" i="6"/>
  <c r="H344" i="6"/>
  <c r="H347" i="6"/>
  <c r="H450" i="22" s="1"/>
  <c r="D363" i="6"/>
  <c r="C339" i="6"/>
  <c r="C61" i="18" s="1"/>
  <c r="C178" i="18" s="1"/>
  <c r="C353" i="6"/>
  <c r="H345" i="6"/>
  <c r="H386" i="22" s="1"/>
  <c r="G345" i="6"/>
  <c r="G386" i="22" s="1"/>
  <c r="D345" i="6"/>
  <c r="D334" i="6"/>
  <c r="D56" i="18" s="1"/>
  <c r="C206" i="18" s="1"/>
  <c r="C334" i="6"/>
  <c r="C56" i="18" s="1"/>
  <c r="C173" i="18" s="1"/>
  <c r="F340" i="6"/>
  <c r="E340" i="6"/>
  <c r="G335" i="6"/>
  <c r="H343" i="6"/>
  <c r="F349" i="6"/>
  <c r="H349" i="6"/>
  <c r="B344" i="6"/>
  <c r="B66" i="18" s="1"/>
  <c r="C150" i="18" s="1"/>
  <c r="E338" i="6"/>
  <c r="D346" i="6"/>
  <c r="F348" i="6"/>
  <c r="C359" i="6"/>
  <c r="B153" i="7" s="1"/>
  <c r="F359" i="6"/>
  <c r="E344" i="6"/>
  <c r="C355" i="6"/>
  <c r="F355" i="6"/>
  <c r="G339" i="6"/>
  <c r="G353" i="6"/>
  <c r="B144" i="7"/>
  <c r="C72" i="18"/>
  <c r="C189" i="18" s="1"/>
  <c r="E228" i="24"/>
  <c r="D57" i="18"/>
  <c r="C207" i="18" s="1"/>
  <c r="C386" i="22"/>
  <c r="C67" i="18"/>
  <c r="C184" i="18" s="1"/>
  <c r="B135" i="7"/>
  <c r="D63" i="18"/>
  <c r="C213" i="18" s="1"/>
  <c r="C354" i="22"/>
  <c r="C66" i="18"/>
  <c r="C183" i="18" s="1"/>
  <c r="E227" i="24"/>
  <c r="D418" i="22"/>
  <c r="D68" i="18"/>
  <c r="C218" i="18" s="1"/>
  <c r="C226" i="22"/>
  <c r="C62" i="18"/>
  <c r="C179" i="18" s="1"/>
  <c r="B130" i="7"/>
  <c r="C58" i="18"/>
  <c r="C175" i="18" s="1"/>
  <c r="C322" i="22"/>
  <c r="C65" i="18"/>
  <c r="C182" i="18" s="1"/>
  <c r="B131" i="7"/>
  <c r="D59" i="18"/>
  <c r="C209" i="18" s="1"/>
  <c r="C290" i="22"/>
  <c r="C64" i="18"/>
  <c r="C181" i="18" s="1"/>
  <c r="B142" i="7"/>
  <c r="C70" i="18"/>
  <c r="C187" i="18" s="1"/>
  <c r="E285" i="18"/>
  <c r="B145" i="7"/>
  <c r="C73" i="18"/>
  <c r="C190" i="18" s="1"/>
  <c r="E287" i="18"/>
  <c r="J430" i="22"/>
  <c r="G932" i="22"/>
  <c r="K36" i="23" s="1"/>
  <c r="AG306" i="7"/>
  <c r="AG591" i="7" s="1"/>
  <c r="Q310" i="7"/>
  <c r="Q595" i="7" s="1"/>
  <c r="AE306" i="7"/>
  <c r="AE591" i="7" s="1"/>
  <c r="E803" i="7"/>
  <c r="C821" i="7" s="1"/>
  <c r="AB831" i="7" s="1"/>
  <c r="Y297" i="7"/>
  <c r="Y403" i="7" s="1"/>
  <c r="AE297" i="7"/>
  <c r="AE403" i="7" s="1"/>
  <c r="E799" i="7"/>
  <c r="C817" i="7" s="1"/>
  <c r="L831" i="7" s="1"/>
  <c r="Q294" i="7"/>
  <c r="Q402" i="7" s="1"/>
  <c r="Q297" i="7"/>
  <c r="Q403" i="7" s="1"/>
  <c r="AG309" i="7"/>
  <c r="AG594" i="7" s="1"/>
  <c r="L311" i="7"/>
  <c r="L596" i="7" s="1"/>
  <c r="L308" i="7"/>
  <c r="L593" i="7" s="1"/>
  <c r="L307" i="7"/>
  <c r="L592" i="7" s="1"/>
  <c r="L310" i="7"/>
  <c r="L595" i="7" s="1"/>
  <c r="L294" i="7"/>
  <c r="L402" i="7" s="1"/>
  <c r="L297" i="7"/>
  <c r="L403" i="7" s="1"/>
  <c r="L306" i="7"/>
  <c r="L591" i="7" s="1"/>
  <c r="L309" i="7"/>
  <c r="L594" i="7" s="1"/>
  <c r="D297" i="7"/>
  <c r="D403" i="7" s="1"/>
  <c r="D310" i="7"/>
  <c r="D595" i="7" s="1"/>
  <c r="D294" i="7"/>
  <c r="D402" i="7" s="1"/>
  <c r="D307" i="7"/>
  <c r="D592" i="7" s="1"/>
  <c r="D309" i="7"/>
  <c r="D594" i="7" s="1"/>
  <c r="D306" i="7"/>
  <c r="D591" i="7" s="1"/>
  <c r="D308" i="7"/>
  <c r="D593" i="7" s="1"/>
  <c r="D311" i="7"/>
  <c r="D596" i="7" s="1"/>
  <c r="AJ308" i="7"/>
  <c r="AJ593" i="7" s="1"/>
  <c r="AJ311" i="7"/>
  <c r="AJ596" i="7" s="1"/>
  <c r="AJ297" i="7"/>
  <c r="AJ403" i="7" s="1"/>
  <c r="AJ310" i="7"/>
  <c r="AJ595" i="7" s="1"/>
  <c r="AJ294" i="7"/>
  <c r="AJ402" i="7" s="1"/>
  <c r="AJ307" i="7"/>
  <c r="AJ592" i="7" s="1"/>
  <c r="AJ309" i="7"/>
  <c r="AJ594" i="7" s="1"/>
  <c r="AJ306" i="7"/>
  <c r="AJ591" i="7" s="1"/>
  <c r="E297" i="7"/>
  <c r="E403" i="7" s="1"/>
  <c r="AC307" i="7"/>
  <c r="AC592" i="7" s="1"/>
  <c r="U309" i="7"/>
  <c r="U594" i="7" s="1"/>
  <c r="AC294" i="7"/>
  <c r="AC402" i="7" s="1"/>
  <c r="AK308" i="7"/>
  <c r="AK593" i="7" s="1"/>
  <c r="AC310" i="7"/>
  <c r="AC595" i="7" s="1"/>
  <c r="E307" i="7"/>
  <c r="E592" i="7" s="1"/>
  <c r="AG308" i="7"/>
  <c r="AG593" i="7" s="1"/>
  <c r="E294" i="7"/>
  <c r="E402" i="7" s="1"/>
  <c r="U306" i="7"/>
  <c r="U591" i="7" s="1"/>
  <c r="E310" i="7"/>
  <c r="E595" i="7" s="1"/>
  <c r="AG311" i="7"/>
  <c r="AG596" i="7" s="1"/>
  <c r="S297" i="7"/>
  <c r="S403" i="7" s="1"/>
  <c r="S310" i="7"/>
  <c r="S595" i="7" s="1"/>
  <c r="S309" i="7"/>
  <c r="S594" i="7" s="1"/>
  <c r="S306" i="7"/>
  <c r="S591" i="7" s="1"/>
  <c r="S308" i="7"/>
  <c r="S593" i="7" s="1"/>
  <c r="AF311" i="7"/>
  <c r="AF596" i="7" s="1"/>
  <c r="AF308" i="7"/>
  <c r="AF593" i="7" s="1"/>
  <c r="AF310" i="7"/>
  <c r="AF595" i="7" s="1"/>
  <c r="AF294" i="7"/>
  <c r="AF402" i="7" s="1"/>
  <c r="AF307" i="7"/>
  <c r="AF592" i="7" s="1"/>
  <c r="AF297" i="7"/>
  <c r="AF403" i="7" s="1"/>
  <c r="AF306" i="7"/>
  <c r="AF591" i="7" s="1"/>
  <c r="AF309" i="7"/>
  <c r="AF594" i="7" s="1"/>
  <c r="K297" i="7"/>
  <c r="K403" i="7" s="1"/>
  <c r="AI307" i="7"/>
  <c r="AI592" i="7" s="1"/>
  <c r="AI311" i="7"/>
  <c r="AI596" i="7" s="1"/>
  <c r="S294" i="7"/>
  <c r="S402" i="7" s="1"/>
  <c r="H307" i="7"/>
  <c r="H592" i="7" s="1"/>
  <c r="H297" i="7"/>
  <c r="H403" i="7" s="1"/>
  <c r="H310" i="7"/>
  <c r="H595" i="7" s="1"/>
  <c r="H294" i="7"/>
  <c r="H402" i="7" s="1"/>
  <c r="H309" i="7"/>
  <c r="H594" i="7" s="1"/>
  <c r="H306" i="7"/>
  <c r="H591" i="7" s="1"/>
  <c r="H308" i="7"/>
  <c r="H593" i="7" s="1"/>
  <c r="H311" i="7"/>
  <c r="H596" i="7" s="1"/>
  <c r="AA311" i="7"/>
  <c r="AA596" i="7" s="1"/>
  <c r="AA308" i="7"/>
  <c r="AA593" i="7" s="1"/>
  <c r="AA310" i="7"/>
  <c r="AA595" i="7" s="1"/>
  <c r="AA294" i="7"/>
  <c r="AA402" i="7" s="1"/>
  <c r="AA307" i="7"/>
  <c r="AA592" i="7" s="1"/>
  <c r="AA306" i="7"/>
  <c r="AA591" i="7" s="1"/>
  <c r="W311" i="7"/>
  <c r="W596" i="7" s="1"/>
  <c r="W308" i="7"/>
  <c r="W593" i="7" s="1"/>
  <c r="W307" i="7"/>
  <c r="W592" i="7" s="1"/>
  <c r="W297" i="7"/>
  <c r="W403" i="7" s="1"/>
  <c r="W310" i="7"/>
  <c r="W595" i="7" s="1"/>
  <c r="W309" i="7"/>
  <c r="W594" i="7" s="1"/>
  <c r="U297" i="7"/>
  <c r="U403" i="7" s="1"/>
  <c r="Q306" i="7"/>
  <c r="Q591" i="7" s="1"/>
  <c r="AK309" i="7"/>
  <c r="AK594" i="7" s="1"/>
  <c r="AC311" i="7"/>
  <c r="AC596" i="7" s="1"/>
  <c r="Q309" i="7"/>
  <c r="Q594" i="7" s="1"/>
  <c r="U307" i="7"/>
  <c r="U592" i="7" s="1"/>
  <c r="E311" i="7"/>
  <c r="E596" i="7" s="1"/>
  <c r="U294" i="7"/>
  <c r="U402" i="7" s="1"/>
  <c r="AK306" i="7"/>
  <c r="AK591" i="7" s="1"/>
  <c r="AC308" i="7"/>
  <c r="AC593" i="7" s="1"/>
  <c r="U310" i="7"/>
  <c r="U595" i="7" s="1"/>
  <c r="G294" i="7"/>
  <c r="G402" i="7" s="1"/>
  <c r="AA297" i="7"/>
  <c r="AA403" i="7" s="1"/>
  <c r="G306" i="7"/>
  <c r="G591" i="7" s="1"/>
  <c r="G310" i="7"/>
  <c r="G595" i="7" s="1"/>
  <c r="AK297" i="7"/>
  <c r="AK403" i="7" s="1"/>
  <c r="E308" i="7"/>
  <c r="E593" i="7" s="1"/>
  <c r="AK307" i="7"/>
  <c r="AK592" i="7" s="1"/>
  <c r="U311" i="7"/>
  <c r="U596" i="7" s="1"/>
  <c r="AK294" i="7"/>
  <c r="AK402" i="7" s="1"/>
  <c r="Q307" i="7"/>
  <c r="Q592" i="7" s="1"/>
  <c r="AK310" i="7"/>
  <c r="AK595" i="7" s="1"/>
  <c r="C308" i="7"/>
  <c r="C593" i="7" s="1"/>
  <c r="C297" i="7"/>
  <c r="C403" i="7" s="1"/>
  <c r="C310" i="7"/>
  <c r="C595" i="7" s="1"/>
  <c r="C294" i="7"/>
  <c r="C402" i="7" s="1"/>
  <c r="C307" i="7"/>
  <c r="C592" i="7" s="1"/>
  <c r="C309" i="7"/>
  <c r="C594" i="7" s="1"/>
  <c r="C306" i="7"/>
  <c r="C591" i="7" s="1"/>
  <c r="AI297" i="7"/>
  <c r="AI403" i="7" s="1"/>
  <c r="AI310" i="7"/>
  <c r="AI595" i="7" s="1"/>
  <c r="AI309" i="7"/>
  <c r="AI594" i="7" s="1"/>
  <c r="AI306" i="7"/>
  <c r="AI591" i="7" s="1"/>
  <c r="AI308" i="7"/>
  <c r="AI593" i="7" s="1"/>
  <c r="W294" i="7"/>
  <c r="W402" i="7" s="1"/>
  <c r="W306" i="7"/>
  <c r="W591" i="7" s="1"/>
  <c r="C311" i="7"/>
  <c r="C596" i="7" s="1"/>
  <c r="AB307" i="7"/>
  <c r="AB592" i="7" s="1"/>
  <c r="AB310" i="7"/>
  <c r="AB595" i="7" s="1"/>
  <c r="AB294" i="7"/>
  <c r="AB402" i="7" s="1"/>
  <c r="AB297" i="7"/>
  <c r="AB403" i="7" s="1"/>
  <c r="AB306" i="7"/>
  <c r="AB591" i="7" s="1"/>
  <c r="AB309" i="7"/>
  <c r="AB594" i="7" s="1"/>
  <c r="AB311" i="7"/>
  <c r="AB596" i="7" s="1"/>
  <c r="AB308" i="7"/>
  <c r="AB593" i="7" s="1"/>
  <c r="T309" i="7"/>
  <c r="T594" i="7" s="1"/>
  <c r="T306" i="7"/>
  <c r="T591" i="7" s="1"/>
  <c r="T308" i="7"/>
  <c r="T593" i="7" s="1"/>
  <c r="T311" i="7"/>
  <c r="T596" i="7" s="1"/>
  <c r="T297" i="7"/>
  <c r="T403" i="7" s="1"/>
  <c r="T310" i="7"/>
  <c r="T595" i="7" s="1"/>
  <c r="T294" i="7"/>
  <c r="T402" i="7" s="1"/>
  <c r="T307" i="7"/>
  <c r="T592" i="7" s="1"/>
  <c r="K306" i="7"/>
  <c r="K591" i="7" s="1"/>
  <c r="K311" i="7"/>
  <c r="K596" i="7" s="1"/>
  <c r="K308" i="7"/>
  <c r="K593" i="7" s="1"/>
  <c r="K310" i="7"/>
  <c r="K595" i="7" s="1"/>
  <c r="K294" i="7"/>
  <c r="K402" i="7" s="1"/>
  <c r="K307" i="7"/>
  <c r="K592" i="7" s="1"/>
  <c r="X297" i="7"/>
  <c r="X403" i="7" s="1"/>
  <c r="X310" i="7"/>
  <c r="X595" i="7" s="1"/>
  <c r="X294" i="7"/>
  <c r="X402" i="7" s="1"/>
  <c r="X309" i="7"/>
  <c r="X594" i="7" s="1"/>
  <c r="X306" i="7"/>
  <c r="X591" i="7" s="1"/>
  <c r="X308" i="7"/>
  <c r="X593" i="7" s="1"/>
  <c r="X311" i="7"/>
  <c r="X596" i="7" s="1"/>
  <c r="X307" i="7"/>
  <c r="X592" i="7" s="1"/>
  <c r="G309" i="7"/>
  <c r="G594" i="7" s="1"/>
  <c r="G311" i="7"/>
  <c r="G596" i="7" s="1"/>
  <c r="G308" i="7"/>
  <c r="G593" i="7" s="1"/>
  <c r="G307" i="7"/>
  <c r="G592" i="7" s="1"/>
  <c r="G297" i="7"/>
  <c r="G403" i="7" s="1"/>
  <c r="AG294" i="7"/>
  <c r="AG402" i="7" s="1"/>
  <c r="E309" i="7"/>
  <c r="E594" i="7" s="1"/>
  <c r="AG310" i="7"/>
  <c r="AG595" i="7" s="1"/>
  <c r="AG297" i="7"/>
  <c r="AG403" i="7" s="1"/>
  <c r="AC306" i="7"/>
  <c r="AC591" i="7" s="1"/>
  <c r="U308" i="7"/>
  <c r="U593" i="7" s="1"/>
  <c r="Q308" i="7"/>
  <c r="Q593" i="7" s="1"/>
  <c r="P311" i="7"/>
  <c r="P596" i="7" s="1"/>
  <c r="P308" i="7"/>
  <c r="P593" i="7" s="1"/>
  <c r="P310" i="7"/>
  <c r="P595" i="7" s="1"/>
  <c r="P294" i="7"/>
  <c r="P402" i="7" s="1"/>
  <c r="P307" i="7"/>
  <c r="P592" i="7" s="1"/>
  <c r="P297" i="7"/>
  <c r="P403" i="7" s="1"/>
  <c r="P306" i="7"/>
  <c r="P591" i="7" s="1"/>
  <c r="P309" i="7"/>
  <c r="P594" i="7" s="1"/>
  <c r="S307" i="7"/>
  <c r="S592" i="7" s="1"/>
  <c r="K309" i="7"/>
  <c r="K594" i="7" s="1"/>
  <c r="S311" i="7"/>
  <c r="S596" i="7" s="1"/>
  <c r="E258" i="22"/>
  <c r="B32" i="14"/>
  <c r="G90" i="9"/>
  <c r="G107" i="9" s="1"/>
  <c r="C90" i="9"/>
  <c r="C107" i="9" s="1"/>
  <c r="G80" i="8"/>
  <c r="C80" i="8"/>
  <c r="J90" i="9"/>
  <c r="J107" i="9" s="1"/>
  <c r="F90" i="9"/>
  <c r="F107" i="9" s="1"/>
  <c r="B90" i="9"/>
  <c r="B107" i="9" s="1"/>
  <c r="J80" i="8"/>
  <c r="F80" i="8"/>
  <c r="B80" i="8"/>
  <c r="I90" i="9"/>
  <c r="I107" i="9" s="1"/>
  <c r="E90" i="9"/>
  <c r="E107" i="9" s="1"/>
  <c r="I80" i="8"/>
  <c r="E80" i="8"/>
  <c r="H90" i="9"/>
  <c r="H107" i="9" s="1"/>
  <c r="D90" i="9"/>
  <c r="D107" i="9" s="1"/>
  <c r="H80" i="8"/>
  <c r="D80" i="8"/>
  <c r="D196" i="7"/>
  <c r="C196" i="7"/>
  <c r="B196" i="7"/>
  <c r="E196" i="7" s="1"/>
  <c r="B240" i="7" s="1"/>
  <c r="C240" i="7" s="1"/>
  <c r="D134" i="22"/>
  <c r="B29" i="14"/>
  <c r="J87" i="9"/>
  <c r="J104" i="9" s="1"/>
  <c r="F87" i="9"/>
  <c r="F104" i="9" s="1"/>
  <c r="B87" i="9"/>
  <c r="B104" i="9" s="1"/>
  <c r="G76" i="8"/>
  <c r="C76" i="8"/>
  <c r="I87" i="9"/>
  <c r="I104" i="9" s="1"/>
  <c r="E87" i="9"/>
  <c r="E104" i="9" s="1"/>
  <c r="J76" i="8"/>
  <c r="F76" i="8"/>
  <c r="B76" i="8"/>
  <c r="H87" i="9"/>
  <c r="H104" i="9" s="1"/>
  <c r="D87" i="9"/>
  <c r="D104" i="9" s="1"/>
  <c r="I76" i="8"/>
  <c r="E76" i="8"/>
  <c r="G87" i="9"/>
  <c r="G104" i="9" s="1"/>
  <c r="C87" i="9"/>
  <c r="C104" i="9" s="1"/>
  <c r="H76" i="8"/>
  <c r="D76" i="8"/>
  <c r="B329" i="7"/>
  <c r="D176" i="7"/>
  <c r="C176" i="7"/>
  <c r="B176" i="7"/>
  <c r="E176" i="7" s="1"/>
  <c r="B236" i="7" s="1"/>
  <c r="C236" i="7" s="1"/>
  <c r="C542" i="22"/>
  <c r="B30" i="10"/>
  <c r="J89" i="8"/>
  <c r="F89" i="8"/>
  <c r="B89" i="8"/>
  <c r="I89" i="8"/>
  <c r="E89" i="8"/>
  <c r="H89" i="8"/>
  <c r="D89" i="8"/>
  <c r="G89" i="8"/>
  <c r="C89" i="8"/>
  <c r="D735" i="7"/>
  <c r="C735" i="7"/>
  <c r="B735" i="7"/>
  <c r="E735" i="7" s="1"/>
  <c r="B771" i="7" s="1"/>
  <c r="D771" i="7"/>
  <c r="C106" i="22"/>
  <c r="H75" i="8"/>
  <c r="D75" i="8"/>
  <c r="G75" i="8"/>
  <c r="C75" i="8"/>
  <c r="J75" i="8"/>
  <c r="F75" i="8"/>
  <c r="B75" i="8"/>
  <c r="I75" i="8"/>
  <c r="E75" i="8"/>
  <c r="B393" i="7"/>
  <c r="C572" i="22"/>
  <c r="I90" i="8"/>
  <c r="E90" i="8"/>
  <c r="H90" i="8"/>
  <c r="D90" i="8"/>
  <c r="G90" i="8"/>
  <c r="C90" i="8"/>
  <c r="B31" i="10"/>
  <c r="J90" i="8"/>
  <c r="F90" i="8"/>
  <c r="B90" i="8"/>
  <c r="D736" i="7"/>
  <c r="C736" i="7"/>
  <c r="B736" i="7"/>
  <c r="E736" i="7" s="1"/>
  <c r="B772" i="7" s="1"/>
  <c r="D772" i="7"/>
  <c r="C482" i="22"/>
  <c r="H87" i="8"/>
  <c r="D87" i="8"/>
  <c r="G87" i="8"/>
  <c r="C87" i="8"/>
  <c r="B28" i="10"/>
  <c r="J87" i="8"/>
  <c r="F87" i="8"/>
  <c r="B87" i="8"/>
  <c r="I87" i="8"/>
  <c r="E87" i="8"/>
  <c r="D733" i="7"/>
  <c r="C733" i="7"/>
  <c r="B733" i="7"/>
  <c r="E733" i="7" s="1"/>
  <c r="B769" i="7" s="1"/>
  <c r="D769" i="7"/>
  <c r="E307" i="19"/>
  <c r="G267" i="6"/>
  <c r="H104" i="21"/>
  <c r="I60" i="20"/>
  <c r="H120" i="21"/>
  <c r="I64" i="20"/>
  <c r="N123" i="21"/>
  <c r="E36" i="20"/>
  <c r="F49" i="20"/>
  <c r="O50" i="21"/>
  <c r="H77" i="21"/>
  <c r="I23" i="20"/>
  <c r="B290" i="22"/>
  <c r="B136" i="7"/>
  <c r="B450" i="22"/>
  <c r="B141" i="7"/>
  <c r="D815" i="7"/>
  <c r="E831" i="7" s="1"/>
  <c r="F797" i="7"/>
  <c r="B815" i="7" s="1"/>
  <c r="C831" i="7" s="1"/>
  <c r="D823" i="7"/>
  <c r="AK831" i="7" s="1"/>
  <c r="F805" i="7"/>
  <c r="B823" i="7" s="1"/>
  <c r="AI831" i="7" s="1"/>
  <c r="F450" i="22"/>
  <c r="I73" i="9"/>
  <c r="I113" i="9" s="1"/>
  <c r="E73" i="9"/>
  <c r="E113" i="9" s="1"/>
  <c r="H73" i="9"/>
  <c r="H113" i="9" s="1"/>
  <c r="D73" i="9"/>
  <c r="D113" i="9" s="1"/>
  <c r="G73" i="9"/>
  <c r="G113" i="9" s="1"/>
  <c r="C73" i="9"/>
  <c r="C113" i="9" s="1"/>
  <c r="J73" i="9"/>
  <c r="J113" i="9" s="1"/>
  <c r="F73" i="9"/>
  <c r="F113" i="9" s="1"/>
  <c r="B73" i="9"/>
  <c r="B113" i="9" s="1"/>
  <c r="J60" i="20"/>
  <c r="I104" i="21"/>
  <c r="N120" i="21"/>
  <c r="E64" i="20"/>
  <c r="F686" i="22"/>
  <c r="F682" i="22"/>
  <c r="F687" i="22"/>
  <c r="F683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E664" i="22"/>
  <c r="F689" i="22"/>
  <c r="F688" i="22"/>
  <c r="F684" i="22"/>
  <c r="F685" i="22"/>
  <c r="F681" i="22"/>
  <c r="F680" i="22"/>
  <c r="D688" i="22"/>
  <c r="W28" i="23" s="1"/>
  <c r="G123" i="21"/>
  <c r="H36" i="20"/>
  <c r="H123" i="21"/>
  <c r="I36" i="20"/>
  <c r="G50" i="21"/>
  <c r="H49" i="20"/>
  <c r="I50" i="21"/>
  <c r="J49" i="20"/>
  <c r="D258" i="22"/>
  <c r="F270" i="22" s="1"/>
  <c r="K15" i="23" s="1"/>
  <c r="C32" i="14"/>
  <c r="O77" i="21"/>
  <c r="F23" i="20"/>
  <c r="E314" i="19"/>
  <c r="G274" i="6"/>
  <c r="I111" i="21"/>
  <c r="J33" i="20"/>
  <c r="B888" i="22"/>
  <c r="H900" i="22" s="1"/>
  <c r="B155" i="7"/>
  <c r="E292" i="18"/>
  <c r="H227" i="24"/>
  <c r="F228" i="24"/>
  <c r="G227" i="24"/>
  <c r="C228" i="24"/>
  <c r="C227" i="24"/>
  <c r="D229" i="24"/>
  <c r="F227" i="24"/>
  <c r="F229" i="24"/>
  <c r="C229" i="24"/>
  <c r="D228" i="24"/>
  <c r="H229" i="24"/>
  <c r="G229" i="24"/>
  <c r="D227" i="24"/>
  <c r="H228" i="24"/>
  <c r="G228" i="24"/>
  <c r="G217" i="24"/>
  <c r="C215" i="24"/>
  <c r="G215" i="24"/>
  <c r="C216" i="24"/>
  <c r="D215" i="24"/>
  <c r="F215" i="24"/>
  <c r="H217" i="24"/>
  <c r="G216" i="24"/>
  <c r="F216" i="24"/>
  <c r="F217" i="24"/>
  <c r="H216" i="24"/>
  <c r="D217" i="24"/>
  <c r="C217" i="24"/>
  <c r="H215" i="24"/>
  <c r="D216" i="24"/>
  <c r="G931" i="22"/>
  <c r="J36" i="23" s="1"/>
  <c r="N57" i="21"/>
  <c r="E18" i="20"/>
  <c r="F32" i="20"/>
  <c r="O107" i="21"/>
  <c r="N127" i="21"/>
  <c r="E65" i="20"/>
  <c r="C728" i="22"/>
  <c r="O130" i="21"/>
  <c r="F38" i="20"/>
  <c r="N139" i="21"/>
  <c r="E88" i="20"/>
  <c r="E261" i="19"/>
  <c r="G221" i="6"/>
  <c r="O58" i="21"/>
  <c r="F51" i="20"/>
  <c r="O108" i="21"/>
  <c r="F61" i="20"/>
  <c r="E824" i="22"/>
  <c r="I98" i="8"/>
  <c r="I141" i="8" s="1"/>
  <c r="E98" i="8"/>
  <c r="E141" i="8" s="1"/>
  <c r="H98" i="8"/>
  <c r="H141" i="8" s="1"/>
  <c r="D98" i="8"/>
  <c r="D141" i="8" s="1"/>
  <c r="G98" i="8"/>
  <c r="G141" i="8" s="1"/>
  <c r="C98" i="8"/>
  <c r="C141" i="8" s="1"/>
  <c r="J98" i="8"/>
  <c r="J141" i="8" s="1"/>
  <c r="F98" i="8"/>
  <c r="F141" i="8" s="1"/>
  <c r="B98" i="8"/>
  <c r="B141" i="8" s="1"/>
  <c r="B984" i="22"/>
  <c r="E295" i="18"/>
  <c r="B158" i="7"/>
  <c r="I49" i="21"/>
  <c r="J16" i="20"/>
  <c r="I82" i="21"/>
  <c r="J56" i="20"/>
  <c r="E316" i="19"/>
  <c r="G276" i="6"/>
  <c r="G113" i="21"/>
  <c r="H82" i="20"/>
  <c r="D50" i="4"/>
  <c r="C51" i="4"/>
  <c r="D822" i="7"/>
  <c r="AG831" i="7" s="1"/>
  <c r="F804" i="7"/>
  <c r="B822" i="7" s="1"/>
  <c r="AE831" i="7" s="1"/>
  <c r="I54" i="21"/>
  <c r="J50" i="20"/>
  <c r="F73" i="20"/>
  <c r="O75" i="21"/>
  <c r="I75" i="20"/>
  <c r="H87" i="21"/>
  <c r="E318" i="19"/>
  <c r="G278" i="6"/>
  <c r="H115" i="21"/>
  <c r="I34" i="20"/>
  <c r="H133" i="21"/>
  <c r="I66" i="20"/>
  <c r="I136" i="21"/>
  <c r="J40" i="20"/>
  <c r="G156" i="21"/>
  <c r="H48" i="20"/>
  <c r="C256" i="24"/>
  <c r="D255" i="24"/>
  <c r="F256" i="24"/>
  <c r="G255" i="24"/>
  <c r="C255" i="24"/>
  <c r="H256" i="24"/>
  <c r="D256" i="24"/>
  <c r="F255" i="24"/>
  <c r="G256" i="24"/>
  <c r="H255" i="24"/>
  <c r="C134" i="22"/>
  <c r="C29" i="14"/>
  <c r="H61" i="21"/>
  <c r="I19" i="20"/>
  <c r="O71" i="21"/>
  <c r="F72" i="20"/>
  <c r="N105" i="21"/>
  <c r="E80" i="20"/>
  <c r="O124" i="21"/>
  <c r="F85" i="20"/>
  <c r="H51" i="21"/>
  <c r="I67" i="20"/>
  <c r="D226" i="22"/>
  <c r="C31" i="14"/>
  <c r="I73" i="21"/>
  <c r="J22" i="20"/>
  <c r="I101" i="21"/>
  <c r="J79" i="20"/>
  <c r="I117" i="21"/>
  <c r="J83" i="20"/>
  <c r="G149" i="21"/>
  <c r="H90" i="20"/>
  <c r="F1048" i="22"/>
  <c r="J105" i="8"/>
  <c r="F105" i="8"/>
  <c r="B105" i="8"/>
  <c r="I105" i="8"/>
  <c r="E105" i="8"/>
  <c r="H105" i="8"/>
  <c r="D105" i="8"/>
  <c r="G105" i="8"/>
  <c r="C105" i="8"/>
  <c r="O53" i="21"/>
  <c r="F17" i="20"/>
  <c r="H81" i="21"/>
  <c r="I25" i="20"/>
  <c r="J57" i="20"/>
  <c r="I86" i="21"/>
  <c r="H103" i="21"/>
  <c r="I31" i="20"/>
  <c r="E273" i="19"/>
  <c r="G233" i="6"/>
  <c r="F54" i="20"/>
  <c r="O70" i="21"/>
  <c r="I54" i="20"/>
  <c r="H70" i="21"/>
  <c r="H134" i="21"/>
  <c r="I87" i="20"/>
  <c r="I66" i="21"/>
  <c r="J53" i="20"/>
  <c r="I100" i="21"/>
  <c r="J59" i="20"/>
  <c r="B227" i="24"/>
  <c r="G79" i="21"/>
  <c r="H24" i="20"/>
  <c r="N63" i="21"/>
  <c r="E70" i="20"/>
  <c r="G63" i="21"/>
  <c r="H70" i="20"/>
  <c r="G65" i="21"/>
  <c r="H20" i="20"/>
  <c r="H99" i="21"/>
  <c r="I30" i="20"/>
  <c r="O109" i="21"/>
  <c r="F81" i="20"/>
  <c r="I121" i="21"/>
  <c r="J84" i="20"/>
  <c r="H68" i="20"/>
  <c r="G55" i="21"/>
  <c r="E290" i="18"/>
  <c r="O138" i="21"/>
  <c r="F41" i="20"/>
  <c r="H265" i="24"/>
  <c r="C266" i="24"/>
  <c r="G266" i="24"/>
  <c r="G265" i="24"/>
  <c r="D265" i="24"/>
  <c r="D266" i="24"/>
  <c r="F265" i="24"/>
  <c r="H266" i="24"/>
  <c r="C265" i="24"/>
  <c r="F266" i="24"/>
  <c r="G67" i="21"/>
  <c r="H71" i="20"/>
  <c r="G85" i="21"/>
  <c r="H26" i="20"/>
  <c r="G72" i="9"/>
  <c r="G112" i="9" s="1"/>
  <c r="M430" i="22"/>
  <c r="O112" i="21"/>
  <c r="F62" i="20"/>
  <c r="H112" i="21"/>
  <c r="I62" i="20"/>
  <c r="G128" i="21"/>
  <c r="H86" i="20"/>
  <c r="F792" i="22"/>
  <c r="J97" i="8"/>
  <c r="F97" i="8"/>
  <c r="B97" i="8"/>
  <c r="I97" i="8"/>
  <c r="E97" i="8"/>
  <c r="H97" i="8"/>
  <c r="D97" i="8"/>
  <c r="G97" i="8"/>
  <c r="C97" i="8"/>
  <c r="C856" i="22"/>
  <c r="N141" i="21"/>
  <c r="E42" i="20"/>
  <c r="E215" i="24"/>
  <c r="B242" i="24"/>
  <c r="G1060" i="22"/>
  <c r="K40" i="23" s="1"/>
  <c r="I74" i="21"/>
  <c r="J55" i="20"/>
  <c r="D422" i="7"/>
  <c r="C662" i="7"/>
  <c r="C946" i="7" s="1"/>
  <c r="C643" i="7"/>
  <c r="C926" i="7" s="1"/>
  <c r="C619" i="7"/>
  <c r="C901" i="7" s="1"/>
  <c r="J663" i="7"/>
  <c r="J947" i="7" s="1"/>
  <c r="J644" i="7"/>
  <c r="J927" i="7" s="1"/>
  <c r="J620" i="7"/>
  <c r="J902" i="7" s="1"/>
  <c r="H665" i="7"/>
  <c r="H949" i="7" s="1"/>
  <c r="H646" i="7"/>
  <c r="H929" i="7" s="1"/>
  <c r="H622" i="7"/>
  <c r="H904" i="7" s="1"/>
  <c r="F667" i="7"/>
  <c r="F951" i="7" s="1"/>
  <c r="F648" i="7"/>
  <c r="F931" i="7" s="1"/>
  <c r="F624" i="7"/>
  <c r="F906" i="7" s="1"/>
  <c r="J421" i="7"/>
  <c r="E644" i="7"/>
  <c r="E927" i="7" s="1"/>
  <c r="E620" i="7"/>
  <c r="E902" i="7" s="1"/>
  <c r="E663" i="7"/>
  <c r="E947" i="7" s="1"/>
  <c r="C646" i="7"/>
  <c r="C929" i="7" s="1"/>
  <c r="C622" i="7"/>
  <c r="C904" i="7" s="1"/>
  <c r="C665" i="7"/>
  <c r="C949" i="7" s="1"/>
  <c r="J647" i="7"/>
  <c r="J930" i="7" s="1"/>
  <c r="J623" i="7"/>
  <c r="J905" i="7" s="1"/>
  <c r="J666" i="7"/>
  <c r="J950" i="7" s="1"/>
  <c r="E421" i="7"/>
  <c r="J422" i="7"/>
  <c r="I643" i="7"/>
  <c r="I926" i="7" s="1"/>
  <c r="I619" i="7"/>
  <c r="I901" i="7" s="1"/>
  <c r="I662" i="7"/>
  <c r="I946" i="7" s="1"/>
  <c r="G645" i="7"/>
  <c r="G928" i="7" s="1"/>
  <c r="G621" i="7"/>
  <c r="G903" i="7" s="1"/>
  <c r="G664" i="7"/>
  <c r="G948" i="7" s="1"/>
  <c r="E647" i="7"/>
  <c r="E930" i="7" s="1"/>
  <c r="E623" i="7"/>
  <c r="E905" i="7" s="1"/>
  <c r="E666" i="7"/>
  <c r="E950" i="7" s="1"/>
  <c r="E422" i="7"/>
  <c r="D643" i="7"/>
  <c r="D926" i="7" s="1"/>
  <c r="D619" i="7"/>
  <c r="D901" i="7" s="1"/>
  <c r="D662" i="7"/>
  <c r="D946" i="7" s="1"/>
  <c r="B645" i="7"/>
  <c r="B928" i="7" s="1"/>
  <c r="B621" i="7"/>
  <c r="B903" i="7" s="1"/>
  <c r="B59" i="8" s="1"/>
  <c r="B143" i="8" s="1"/>
  <c r="B664" i="7"/>
  <c r="B948" i="7" s="1"/>
  <c r="I646" i="7"/>
  <c r="I929" i="7" s="1"/>
  <c r="I622" i="7"/>
  <c r="I904" i="7" s="1"/>
  <c r="I665" i="7"/>
  <c r="I949" i="7" s="1"/>
  <c r="G648" i="7"/>
  <c r="G931" i="7" s="1"/>
  <c r="G624" i="7"/>
  <c r="G906" i="7" s="1"/>
  <c r="G667" i="7"/>
  <c r="G951" i="7" s="1"/>
  <c r="E262" i="19"/>
  <c r="G222" i="6"/>
  <c r="F69" i="20"/>
  <c r="O59" i="21"/>
  <c r="H59" i="21"/>
  <c r="I69" i="20"/>
  <c r="H154" i="21"/>
  <c r="I91" i="20"/>
  <c r="I83" i="21"/>
  <c r="J74" i="20"/>
  <c r="O126" i="21"/>
  <c r="F37" i="20"/>
  <c r="G148" i="21"/>
  <c r="H45" i="20"/>
  <c r="B215" i="24"/>
  <c r="G62" i="21"/>
  <c r="H52" i="20"/>
  <c r="J52" i="20"/>
  <c r="I62" i="21"/>
  <c r="O151" i="21"/>
  <c r="F46" i="20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F205" i="3"/>
  <c r="F247" i="3" s="1"/>
  <c r="F201" i="3"/>
  <c r="F243" i="3" s="1"/>
  <c r="F181" i="3"/>
  <c r="F223" i="3" s="1"/>
  <c r="F177" i="3"/>
  <c r="F219" i="3" s="1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F209" i="3"/>
  <c r="F251" i="3" s="1"/>
  <c r="F197" i="3"/>
  <c r="F239" i="3" s="1"/>
  <c r="F193" i="3"/>
  <c r="F235" i="3" s="1"/>
  <c r="F189" i="3"/>
  <c r="F231" i="3" s="1"/>
  <c r="F185" i="3"/>
  <c r="F227" i="3" s="1"/>
  <c r="I69" i="21"/>
  <c r="J21" i="20"/>
  <c r="E71" i="9"/>
  <c r="E111" i="9" s="1"/>
  <c r="N119" i="21"/>
  <c r="E35" i="20"/>
  <c r="C772" i="7"/>
  <c r="B134" i="7"/>
  <c r="E288" i="18"/>
  <c r="B322" i="22"/>
  <c r="B137" i="7"/>
  <c r="F60" i="20"/>
  <c r="O104" i="21"/>
  <c r="O120" i="21"/>
  <c r="F64" i="20"/>
  <c r="I120" i="21"/>
  <c r="J64" i="20"/>
  <c r="J36" i="20"/>
  <c r="I123" i="21"/>
  <c r="E835" i="22"/>
  <c r="J33" i="23" s="1"/>
  <c r="E49" i="20"/>
  <c r="N50" i="21"/>
  <c r="I77" i="21"/>
  <c r="J23" i="20"/>
  <c r="O111" i="21"/>
  <c r="F33" i="20"/>
  <c r="D675" i="22"/>
  <c r="J28" i="23" s="1"/>
  <c r="H57" i="21"/>
  <c r="I18" i="20"/>
  <c r="E310" i="19"/>
  <c r="G270" i="6"/>
  <c r="N107" i="21"/>
  <c r="E32" i="20"/>
  <c r="F65" i="20"/>
  <c r="O127" i="21"/>
  <c r="N130" i="21"/>
  <c r="E38" i="20"/>
  <c r="I130" i="21"/>
  <c r="J38" i="20"/>
  <c r="G139" i="21"/>
  <c r="H88" i="20"/>
  <c r="D676" i="22"/>
  <c r="K28" i="23" s="1"/>
  <c r="I58" i="21"/>
  <c r="J51" i="20"/>
  <c r="N108" i="21"/>
  <c r="E61" i="20"/>
  <c r="I108" i="21"/>
  <c r="J61" i="20"/>
  <c r="G49" i="21"/>
  <c r="H16" i="20"/>
  <c r="H56" i="20"/>
  <c r="G82" i="21"/>
  <c r="G144" i="21"/>
  <c r="H89" i="20"/>
  <c r="O113" i="21"/>
  <c r="F82" i="20"/>
  <c r="B856" i="22"/>
  <c r="E291" i="18"/>
  <c r="B154" i="7"/>
  <c r="H50" i="20"/>
  <c r="G54" i="21"/>
  <c r="I75" i="21"/>
  <c r="J73" i="20"/>
  <c r="I87" i="21"/>
  <c r="J75" i="20"/>
  <c r="I115" i="21"/>
  <c r="J34" i="20"/>
  <c r="G133" i="21"/>
  <c r="H66" i="20"/>
  <c r="I146" i="21"/>
  <c r="J44" i="20"/>
  <c r="I1071" i="22"/>
  <c r="I1067" i="22"/>
  <c r="I1063" i="22"/>
  <c r="I1055" i="22"/>
  <c r="I1051" i="22"/>
  <c r="I1073" i="22"/>
  <c r="I1072" i="22"/>
  <c r="I1070" i="22"/>
  <c r="I1068" i="22"/>
  <c r="I1064" i="22"/>
  <c r="I1060" i="22"/>
  <c r="I1056" i="22"/>
  <c r="I1052" i="22"/>
  <c r="I1069" i="22"/>
  <c r="I1065" i="22"/>
  <c r="I1061" i="22"/>
  <c r="I1059" i="22"/>
  <c r="I1057" i="22"/>
  <c r="I1053" i="22"/>
  <c r="I1066" i="22"/>
  <c r="I1062" i="22"/>
  <c r="I1058" i="22"/>
  <c r="I1054" i="22"/>
  <c r="G1048" i="22"/>
  <c r="G1072" i="22"/>
  <c r="W40" i="23" s="1"/>
  <c r="H156" i="21"/>
  <c r="I48" i="20"/>
  <c r="F245" i="24"/>
  <c r="H244" i="24"/>
  <c r="C244" i="24"/>
  <c r="D246" i="24"/>
  <c r="F244" i="24"/>
  <c r="D245" i="24"/>
  <c r="G246" i="24"/>
  <c r="H245" i="24"/>
  <c r="H246" i="24"/>
  <c r="C245" i="24"/>
  <c r="D244" i="24"/>
  <c r="G244" i="24"/>
  <c r="C246" i="24"/>
  <c r="F246" i="24"/>
  <c r="G245" i="24"/>
  <c r="O61" i="21"/>
  <c r="F19" i="20"/>
  <c r="H72" i="20"/>
  <c r="G71" i="21"/>
  <c r="I71" i="21"/>
  <c r="J72" i="20"/>
  <c r="E308" i="19"/>
  <c r="G268" i="6"/>
  <c r="I105" i="21"/>
  <c r="J80" i="20"/>
  <c r="G124" i="21"/>
  <c r="H85" i="20"/>
  <c r="J85" i="20"/>
  <c r="I124" i="21"/>
  <c r="O51" i="21"/>
  <c r="F67" i="20"/>
  <c r="G73" i="21"/>
  <c r="H22" i="20"/>
  <c r="O101" i="21"/>
  <c r="F79" i="20"/>
  <c r="H83" i="20"/>
  <c r="G117" i="21"/>
  <c r="H149" i="21"/>
  <c r="I90" i="20"/>
  <c r="H1027" i="22"/>
  <c r="I53" i="21"/>
  <c r="J17" i="20"/>
  <c r="I81" i="21"/>
  <c r="J25" i="20"/>
  <c r="E306" i="19"/>
  <c r="G266" i="6"/>
  <c r="N103" i="21"/>
  <c r="E31" i="20"/>
  <c r="G1016" i="22"/>
  <c r="H1016" i="22" s="1"/>
  <c r="G104" i="8"/>
  <c r="C104" i="8"/>
  <c r="J104" i="8"/>
  <c r="F104" i="8"/>
  <c r="B104" i="8"/>
  <c r="I104" i="8"/>
  <c r="E104" i="8"/>
  <c r="H104" i="8"/>
  <c r="D104" i="8"/>
  <c r="D816" i="7"/>
  <c r="I831" i="7" s="1"/>
  <c r="F798" i="7"/>
  <c r="B816" i="7" s="1"/>
  <c r="G831" i="7" s="1"/>
  <c r="J54" i="20"/>
  <c r="I70" i="21"/>
  <c r="F238" i="22"/>
  <c r="K14" i="23" s="1"/>
  <c r="G66" i="21"/>
  <c r="H53" i="20"/>
  <c r="E303" i="19"/>
  <c r="G263" i="6"/>
  <c r="O100" i="21"/>
  <c r="F59" i="20"/>
  <c r="B228" i="24"/>
  <c r="C248" i="24"/>
  <c r="H248" i="24"/>
  <c r="F248" i="24"/>
  <c r="D248" i="24"/>
  <c r="G248" i="24"/>
  <c r="H236" i="24"/>
  <c r="G236" i="24"/>
  <c r="D235" i="24"/>
  <c r="C235" i="24"/>
  <c r="F236" i="24"/>
  <c r="H235" i="24"/>
  <c r="G235" i="24"/>
  <c r="F235" i="24"/>
  <c r="C236" i="24"/>
  <c r="D236" i="24"/>
  <c r="I79" i="21"/>
  <c r="J24" i="20"/>
  <c r="B251" i="24"/>
  <c r="H899" i="22"/>
  <c r="J35" i="23" s="1"/>
  <c r="I70" i="20"/>
  <c r="H63" i="21"/>
  <c r="B354" i="22"/>
  <c r="B138" i="7"/>
  <c r="B198" i="22"/>
  <c r="B133" i="7"/>
  <c r="D817" i="7"/>
  <c r="M831" i="7" s="1"/>
  <c r="F799" i="7"/>
  <c r="B817" i="7" s="1"/>
  <c r="K831" i="7" s="1"/>
  <c r="H65" i="21"/>
  <c r="I20" i="20"/>
  <c r="N99" i="21"/>
  <c r="E30" i="20"/>
  <c r="E312" i="19"/>
  <c r="G272" i="6"/>
  <c r="H109" i="21"/>
  <c r="I81" i="20"/>
  <c r="G109" i="21"/>
  <c r="H81" i="20"/>
  <c r="O121" i="21"/>
  <c r="F84" i="20"/>
  <c r="H55" i="21"/>
  <c r="I68" i="20"/>
  <c r="I63" i="20"/>
  <c r="H116" i="21"/>
  <c r="G138" i="21"/>
  <c r="H41" i="20"/>
  <c r="F263" i="24"/>
  <c r="G263" i="24"/>
  <c r="C263" i="24"/>
  <c r="D263" i="24"/>
  <c r="H263" i="24"/>
  <c r="C225" i="24"/>
  <c r="H224" i="24"/>
  <c r="F225" i="24"/>
  <c r="D224" i="24"/>
  <c r="H225" i="24"/>
  <c r="C224" i="24"/>
  <c r="H223" i="24"/>
  <c r="F224" i="24"/>
  <c r="D223" i="24"/>
  <c r="G225" i="24"/>
  <c r="D225" i="24"/>
  <c r="G223" i="24"/>
  <c r="C223" i="24"/>
  <c r="F223" i="24"/>
  <c r="G224" i="24"/>
  <c r="D258" i="24"/>
  <c r="C258" i="24"/>
  <c r="H258" i="24"/>
  <c r="F258" i="24"/>
  <c r="G258" i="24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81" i="3"/>
  <c r="E223" i="3" s="1"/>
  <c r="E177" i="3"/>
  <c r="E219" i="3" s="1"/>
  <c r="E206" i="3"/>
  <c r="E248" i="3" s="1"/>
  <c r="E202" i="3"/>
  <c r="E244" i="3" s="1"/>
  <c r="E194" i="3"/>
  <c r="E236" i="3" s="1"/>
  <c r="E190" i="3"/>
  <c r="E232" i="3" s="1"/>
  <c r="E186" i="3"/>
  <c r="E228" i="3" s="1"/>
  <c r="E182" i="3"/>
  <c r="E224" i="3" s="1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198" i="3"/>
  <c r="E240" i="3" s="1"/>
  <c r="E178" i="3"/>
  <c r="E220" i="3" s="1"/>
  <c r="H67" i="21"/>
  <c r="I71" i="20"/>
  <c r="I85" i="21"/>
  <c r="J26" i="20"/>
  <c r="G112" i="21"/>
  <c r="H62" i="20"/>
  <c r="B148" i="7"/>
  <c r="F86" i="20"/>
  <c r="O128" i="21"/>
  <c r="I141" i="21"/>
  <c r="J42" i="20"/>
  <c r="H141" i="21"/>
  <c r="I42" i="20"/>
  <c r="E217" i="24"/>
  <c r="E256" i="24"/>
  <c r="G74" i="21"/>
  <c r="H55" i="20"/>
  <c r="C421" i="7"/>
  <c r="H422" i="7"/>
  <c r="G662" i="7"/>
  <c r="G946" i="7" s="1"/>
  <c r="G643" i="7"/>
  <c r="G926" i="7" s="1"/>
  <c r="G619" i="7"/>
  <c r="G901" i="7" s="1"/>
  <c r="E664" i="7"/>
  <c r="E948" i="7" s="1"/>
  <c r="E645" i="7"/>
  <c r="E928" i="7" s="1"/>
  <c r="E621" i="7"/>
  <c r="E903" i="7" s="1"/>
  <c r="C666" i="7"/>
  <c r="C950" i="7" s="1"/>
  <c r="C647" i="7"/>
  <c r="C930" i="7" s="1"/>
  <c r="C623" i="7"/>
  <c r="C905" i="7" s="1"/>
  <c r="J667" i="7"/>
  <c r="J951" i="7" s="1"/>
  <c r="J648" i="7"/>
  <c r="J931" i="7" s="1"/>
  <c r="J624" i="7"/>
  <c r="J906" i="7" s="1"/>
  <c r="C422" i="7"/>
  <c r="B643" i="7"/>
  <c r="B926" i="7" s="1"/>
  <c r="B619" i="7"/>
  <c r="B901" i="7" s="1"/>
  <c r="B662" i="7"/>
  <c r="B946" i="7" s="1"/>
  <c r="I644" i="7"/>
  <c r="I927" i="7" s="1"/>
  <c r="I620" i="7"/>
  <c r="I902" i="7" s="1"/>
  <c r="I663" i="7"/>
  <c r="I947" i="7" s="1"/>
  <c r="G646" i="7"/>
  <c r="G929" i="7" s="1"/>
  <c r="G622" i="7"/>
  <c r="G904" i="7" s="1"/>
  <c r="G665" i="7"/>
  <c r="G949" i="7" s="1"/>
  <c r="E648" i="7"/>
  <c r="E931" i="7" s="1"/>
  <c r="E624" i="7"/>
  <c r="E906" i="7" s="1"/>
  <c r="E667" i="7"/>
  <c r="E951" i="7" s="1"/>
  <c r="I421" i="7"/>
  <c r="D644" i="7"/>
  <c r="D927" i="7" s="1"/>
  <c r="D620" i="7"/>
  <c r="D902" i="7" s="1"/>
  <c r="D663" i="7"/>
  <c r="D947" i="7" s="1"/>
  <c r="B646" i="7"/>
  <c r="B929" i="7" s="1"/>
  <c r="B622" i="7"/>
  <c r="B904" i="7" s="1"/>
  <c r="B665" i="7"/>
  <c r="B949" i="7" s="1"/>
  <c r="I647" i="7"/>
  <c r="I930" i="7" s="1"/>
  <c r="I623" i="7"/>
  <c r="I905" i="7" s="1"/>
  <c r="I666" i="7"/>
  <c r="I950" i="7" s="1"/>
  <c r="D421" i="7"/>
  <c r="I422" i="7"/>
  <c r="H643" i="7"/>
  <c r="H926" i="7" s="1"/>
  <c r="H619" i="7"/>
  <c r="H901" i="7" s="1"/>
  <c r="H662" i="7"/>
  <c r="H946" i="7" s="1"/>
  <c r="F645" i="7"/>
  <c r="F928" i="7" s="1"/>
  <c r="F621" i="7"/>
  <c r="F903" i="7" s="1"/>
  <c r="F664" i="7"/>
  <c r="F948" i="7" s="1"/>
  <c r="D647" i="7"/>
  <c r="D930" i="7" s="1"/>
  <c r="D623" i="7"/>
  <c r="D905" i="7" s="1"/>
  <c r="D666" i="7"/>
  <c r="D950" i="7" s="1"/>
  <c r="B140" i="7"/>
  <c r="I59" i="21"/>
  <c r="J69" i="20"/>
  <c r="G83" i="21"/>
  <c r="H74" i="20"/>
  <c r="G126" i="21"/>
  <c r="H37" i="20"/>
  <c r="O148" i="21"/>
  <c r="F45" i="20"/>
  <c r="B217" i="24"/>
  <c r="N62" i="21"/>
  <c r="E52" i="20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F1009" i="22"/>
  <c r="D1008" i="22"/>
  <c r="W38" i="23" s="1"/>
  <c r="D995" i="22"/>
  <c r="J38" i="23" s="1"/>
  <c r="G151" i="21"/>
  <c r="H46" i="20"/>
  <c r="N69" i="21"/>
  <c r="E21" i="20"/>
  <c r="G69" i="21"/>
  <c r="H21" i="20"/>
  <c r="O119" i="21"/>
  <c r="F35" i="20"/>
  <c r="C769" i="7"/>
  <c r="B151" i="7"/>
  <c r="D819" i="7"/>
  <c r="U831" i="7" s="1"/>
  <c r="F801" i="7"/>
  <c r="B819" i="7" s="1"/>
  <c r="S831" i="7" s="1"/>
  <c r="H60" i="20"/>
  <c r="G104" i="21"/>
  <c r="G120" i="21"/>
  <c r="H64" i="20"/>
  <c r="O123" i="21"/>
  <c r="F36" i="20"/>
  <c r="H50" i="21"/>
  <c r="I49" i="20"/>
  <c r="G77" i="21"/>
  <c r="H23" i="20"/>
  <c r="H111" i="21"/>
  <c r="I33" i="20"/>
  <c r="G111" i="21"/>
  <c r="H33" i="20"/>
  <c r="H260" i="24"/>
  <c r="C260" i="24"/>
  <c r="D260" i="24"/>
  <c r="F260" i="24"/>
  <c r="C261" i="24"/>
  <c r="G260" i="24"/>
  <c r="F261" i="24"/>
  <c r="G261" i="24"/>
  <c r="H261" i="24"/>
  <c r="D261" i="24"/>
  <c r="J429" i="22"/>
  <c r="E260" i="19"/>
  <c r="G220" i="6"/>
  <c r="E336" i="6" s="1"/>
  <c r="O57" i="21"/>
  <c r="F18" i="20"/>
  <c r="G107" i="21"/>
  <c r="H32" i="20"/>
  <c r="H107" i="21"/>
  <c r="I32" i="20"/>
  <c r="G127" i="21"/>
  <c r="H65" i="20"/>
  <c r="G130" i="21"/>
  <c r="H38" i="20"/>
  <c r="O139" i="21"/>
  <c r="F88" i="20"/>
  <c r="F920" i="22"/>
  <c r="J101" i="8"/>
  <c r="F101" i="8"/>
  <c r="B101" i="8"/>
  <c r="I101" i="8"/>
  <c r="E101" i="8"/>
  <c r="H101" i="8"/>
  <c r="D101" i="8"/>
  <c r="G101" i="8"/>
  <c r="C101" i="8"/>
  <c r="H250" i="24"/>
  <c r="F250" i="24"/>
  <c r="D250" i="24"/>
  <c r="G250" i="24"/>
  <c r="C250" i="24"/>
  <c r="G251" i="24"/>
  <c r="H251" i="24"/>
  <c r="F251" i="24"/>
  <c r="D251" i="24"/>
  <c r="C251" i="24"/>
  <c r="N58" i="21"/>
  <c r="E51" i="20"/>
  <c r="G58" i="21"/>
  <c r="H51" i="20"/>
  <c r="G108" i="21"/>
  <c r="H61" i="20"/>
  <c r="B696" i="22"/>
  <c r="E708" i="22" s="1"/>
  <c r="K29" i="23" s="1"/>
  <c r="B149" i="7"/>
  <c r="E286" i="18"/>
  <c r="H132" i="21"/>
  <c r="I39" i="20"/>
  <c r="N49" i="21"/>
  <c r="E16" i="20"/>
  <c r="H82" i="21"/>
  <c r="I56" i="20"/>
  <c r="H144" i="21"/>
  <c r="I89" i="20"/>
  <c r="I82" i="20"/>
  <c r="H113" i="21"/>
  <c r="J82" i="20"/>
  <c r="I113" i="21"/>
  <c r="D818" i="7"/>
  <c r="Q831" i="7" s="1"/>
  <c r="F800" i="7"/>
  <c r="B818" i="7" s="1"/>
  <c r="O831" i="7" s="1"/>
  <c r="I50" i="20"/>
  <c r="H54" i="21"/>
  <c r="G75" i="21"/>
  <c r="H73" i="20"/>
  <c r="H75" i="20"/>
  <c r="G87" i="21"/>
  <c r="H136" i="21"/>
  <c r="I40" i="20"/>
  <c r="I938" i="22"/>
  <c r="I934" i="22"/>
  <c r="I930" i="22"/>
  <c r="I926" i="22"/>
  <c r="G920" i="22"/>
  <c r="I943" i="22"/>
  <c r="I942" i="22"/>
  <c r="I941" i="22"/>
  <c r="I929" i="22"/>
  <c r="I945" i="22"/>
  <c r="I940" i="22"/>
  <c r="I937" i="22"/>
  <c r="I928" i="22"/>
  <c r="I925" i="22"/>
  <c r="I939" i="22"/>
  <c r="I936" i="22"/>
  <c r="I933" i="22"/>
  <c r="I927" i="22"/>
  <c r="I924" i="22"/>
  <c r="I944" i="22"/>
  <c r="I935" i="22"/>
  <c r="I932" i="22"/>
  <c r="I931" i="22"/>
  <c r="I923" i="22"/>
  <c r="G944" i="22"/>
  <c r="W36" i="23" s="1"/>
  <c r="H146" i="21"/>
  <c r="I44" i="20"/>
  <c r="I156" i="21"/>
  <c r="J48" i="20"/>
  <c r="H772" i="22"/>
  <c r="K31" i="23" s="1"/>
  <c r="G61" i="21"/>
  <c r="H19" i="20"/>
  <c r="I61" i="21"/>
  <c r="J19" i="20"/>
  <c r="N71" i="21"/>
  <c r="E72" i="20"/>
  <c r="F80" i="20"/>
  <c r="O105" i="21"/>
  <c r="H124" i="21"/>
  <c r="I85" i="20"/>
  <c r="H239" i="24"/>
  <c r="C239" i="24"/>
  <c r="F240" i="24"/>
  <c r="D238" i="24"/>
  <c r="G239" i="24"/>
  <c r="H238" i="24"/>
  <c r="C240" i="24"/>
  <c r="F239" i="24"/>
  <c r="G240" i="24"/>
  <c r="C238" i="24"/>
  <c r="F238" i="24"/>
  <c r="D240" i="24"/>
  <c r="G238" i="24"/>
  <c r="H240" i="24"/>
  <c r="D239" i="24"/>
  <c r="G51" i="21"/>
  <c r="H67" i="20"/>
  <c r="I51" i="21"/>
  <c r="J67" i="20"/>
  <c r="H73" i="21"/>
  <c r="I22" i="20"/>
  <c r="E304" i="19"/>
  <c r="G264" i="6"/>
  <c r="E79" i="20"/>
  <c r="N101" i="21"/>
  <c r="H117" i="21"/>
  <c r="I83" i="20"/>
  <c r="N149" i="21"/>
  <c r="E90" i="20"/>
  <c r="E244" i="24"/>
  <c r="E260" i="24"/>
  <c r="H771" i="22"/>
  <c r="J31" i="23" s="1"/>
  <c r="D74" i="22"/>
  <c r="C28" i="14"/>
  <c r="G53" i="21"/>
  <c r="H17" i="20"/>
  <c r="G86" i="21"/>
  <c r="H57" i="20"/>
  <c r="O103" i="21"/>
  <c r="F31" i="20"/>
  <c r="H54" i="20"/>
  <c r="G70" i="21"/>
  <c r="H66" i="21"/>
  <c r="I53" i="20"/>
  <c r="I59" i="20"/>
  <c r="H100" i="21"/>
  <c r="B229" i="24"/>
  <c r="B81" i="4"/>
  <c r="E836" i="22"/>
  <c r="K33" i="23" s="1"/>
  <c r="O79" i="21"/>
  <c r="F24" i="20"/>
  <c r="B250" i="24"/>
  <c r="O63" i="21"/>
  <c r="F70" i="20"/>
  <c r="O65" i="21"/>
  <c r="F20" i="20"/>
  <c r="E302" i="19"/>
  <c r="G262" i="6"/>
  <c r="E348" i="6" s="1"/>
  <c r="O99" i="21"/>
  <c r="F30" i="20"/>
  <c r="I99" i="21"/>
  <c r="J30" i="20"/>
  <c r="N109" i="21"/>
  <c r="E81" i="20"/>
  <c r="H121" i="21"/>
  <c r="I84" i="20"/>
  <c r="E251" i="24"/>
  <c r="E963" i="22"/>
  <c r="J37" i="23" s="1"/>
  <c r="O55" i="21"/>
  <c r="F68" i="20"/>
  <c r="I116" i="21"/>
  <c r="J63" i="20"/>
  <c r="H138" i="21"/>
  <c r="I41" i="20"/>
  <c r="B248" i="24"/>
  <c r="B235" i="24"/>
  <c r="G253" i="24"/>
  <c r="H253" i="24"/>
  <c r="F253" i="24"/>
  <c r="C253" i="24"/>
  <c r="D253" i="24"/>
  <c r="G1059" i="22"/>
  <c r="J40" i="23" s="1"/>
  <c r="O67" i="21"/>
  <c r="F71" i="20"/>
  <c r="H85" i="21"/>
  <c r="I26" i="20"/>
  <c r="H72" i="9"/>
  <c r="H112" i="9" s="1"/>
  <c r="J62" i="20"/>
  <c r="I112" i="21"/>
  <c r="N128" i="21"/>
  <c r="E86" i="20"/>
  <c r="O141" i="21"/>
  <c r="F42" i="20"/>
  <c r="C232" i="24"/>
  <c r="G233" i="24"/>
  <c r="F231" i="24"/>
  <c r="D231" i="24"/>
  <c r="F233" i="24"/>
  <c r="H233" i="24"/>
  <c r="D233" i="24"/>
  <c r="G232" i="24"/>
  <c r="C231" i="24"/>
  <c r="F232" i="24"/>
  <c r="H232" i="24"/>
  <c r="C233" i="24"/>
  <c r="D232" i="24"/>
  <c r="G231" i="24"/>
  <c r="H231" i="24"/>
  <c r="E235" i="24"/>
  <c r="E255" i="24"/>
  <c r="G804" i="22"/>
  <c r="K32" i="23" s="1"/>
  <c r="I55" i="20"/>
  <c r="H74" i="21"/>
  <c r="B139" i="7"/>
  <c r="B150" i="7"/>
  <c r="G421" i="7"/>
  <c r="B663" i="7"/>
  <c r="B947" i="7" s="1"/>
  <c r="B644" i="7"/>
  <c r="B927" i="7" s="1"/>
  <c r="B620" i="7"/>
  <c r="B902" i="7" s="1"/>
  <c r="I664" i="7"/>
  <c r="I948" i="7" s="1"/>
  <c r="I645" i="7"/>
  <c r="I928" i="7" s="1"/>
  <c r="I621" i="7"/>
  <c r="I903" i="7" s="1"/>
  <c r="G666" i="7"/>
  <c r="G950" i="7" s="1"/>
  <c r="G647" i="7"/>
  <c r="G930" i="7" s="1"/>
  <c r="G623" i="7"/>
  <c r="G905" i="7" s="1"/>
  <c r="B421" i="7"/>
  <c r="G422" i="7"/>
  <c r="F643" i="7"/>
  <c r="F926" i="7" s="1"/>
  <c r="F619" i="7"/>
  <c r="F901" i="7" s="1"/>
  <c r="F662" i="7"/>
  <c r="F946" i="7" s="1"/>
  <c r="D645" i="7"/>
  <c r="D928" i="7" s="1"/>
  <c r="D621" i="7"/>
  <c r="D903" i="7" s="1"/>
  <c r="D664" i="7"/>
  <c r="D948" i="7" s="1"/>
  <c r="B647" i="7"/>
  <c r="B930" i="7" s="1"/>
  <c r="B623" i="7"/>
  <c r="B905" i="7" s="1"/>
  <c r="B666" i="7"/>
  <c r="B950" i="7" s="1"/>
  <c r="I648" i="7"/>
  <c r="I931" i="7" s="1"/>
  <c r="I624" i="7"/>
  <c r="I906" i="7" s="1"/>
  <c r="I667" i="7"/>
  <c r="I951" i="7" s="1"/>
  <c r="B422" i="7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H421" i="7"/>
  <c r="C644" i="7"/>
  <c r="C927" i="7" s="1"/>
  <c r="C620" i="7"/>
  <c r="C902" i="7" s="1"/>
  <c r="C663" i="7"/>
  <c r="C947" i="7" s="1"/>
  <c r="J645" i="7"/>
  <c r="J928" i="7" s="1"/>
  <c r="J621" i="7"/>
  <c r="J903" i="7" s="1"/>
  <c r="J664" i="7"/>
  <c r="J948" i="7" s="1"/>
  <c r="H647" i="7"/>
  <c r="H930" i="7" s="1"/>
  <c r="H623" i="7"/>
  <c r="H905" i="7" s="1"/>
  <c r="H666" i="7"/>
  <c r="H950" i="7" s="1"/>
  <c r="G59" i="21"/>
  <c r="H69" i="20"/>
  <c r="C212" i="24"/>
  <c r="G213" i="24"/>
  <c r="C213" i="24"/>
  <c r="F213" i="24"/>
  <c r="D212" i="24"/>
  <c r="G212" i="24"/>
  <c r="H212" i="24"/>
  <c r="F211" i="24"/>
  <c r="H213" i="24"/>
  <c r="D213" i="24"/>
  <c r="G211" i="24"/>
  <c r="F212" i="24"/>
  <c r="H211" i="24"/>
  <c r="D211" i="24"/>
  <c r="C211" i="24"/>
  <c r="D996" i="22"/>
  <c r="K38" i="23" s="1"/>
  <c r="H126" i="21"/>
  <c r="I37" i="20"/>
  <c r="G963" i="22"/>
  <c r="E976" i="22"/>
  <c r="W37" i="23" s="1"/>
  <c r="N148" i="21"/>
  <c r="E45" i="20"/>
  <c r="B216" i="24"/>
  <c r="H62" i="21"/>
  <c r="I52" i="20"/>
  <c r="N151" i="21"/>
  <c r="E46" i="20"/>
  <c r="H151" i="21"/>
  <c r="I46" i="20"/>
  <c r="H69" i="21"/>
  <c r="I21" i="20"/>
  <c r="D71" i="9"/>
  <c r="D111" i="9" s="1"/>
  <c r="G119" i="21"/>
  <c r="H35" i="20"/>
  <c r="I119" i="21"/>
  <c r="J35" i="20"/>
  <c r="G143" i="21"/>
  <c r="H43" i="20"/>
  <c r="H1040" i="22"/>
  <c r="N104" i="21"/>
  <c r="E60" i="20"/>
  <c r="N111" i="21"/>
  <c r="E33" i="20"/>
  <c r="H268" i="24"/>
  <c r="C268" i="24"/>
  <c r="D268" i="24"/>
  <c r="F268" i="24"/>
  <c r="G268" i="24"/>
  <c r="G57" i="21"/>
  <c r="H18" i="20"/>
  <c r="I57" i="21"/>
  <c r="J18" i="20"/>
  <c r="I107" i="21"/>
  <c r="J32" i="20"/>
  <c r="H127" i="21"/>
  <c r="I65" i="20"/>
  <c r="H130" i="21"/>
  <c r="I38" i="20"/>
  <c r="H139" i="21"/>
  <c r="I88" i="20"/>
  <c r="H58" i="21"/>
  <c r="I51" i="20"/>
  <c r="E311" i="19"/>
  <c r="G271" i="6"/>
  <c r="H108" i="21"/>
  <c r="I61" i="20"/>
  <c r="J771" i="22"/>
  <c r="H784" i="22"/>
  <c r="W31" i="23" s="1"/>
  <c r="G132" i="21"/>
  <c r="H39" i="20"/>
  <c r="C42" i="22"/>
  <c r="D54" i="22" s="1"/>
  <c r="K8" i="23" s="1"/>
  <c r="C27" i="14"/>
  <c r="O49" i="21"/>
  <c r="F16" i="20"/>
  <c r="H49" i="21"/>
  <c r="I16" i="20"/>
  <c r="E602" i="22"/>
  <c r="H91" i="8"/>
  <c r="D91" i="8"/>
  <c r="G91" i="8"/>
  <c r="C91" i="8"/>
  <c r="B32" i="10"/>
  <c r="J91" i="8"/>
  <c r="F91" i="8"/>
  <c r="B91" i="8"/>
  <c r="I91" i="8"/>
  <c r="E91" i="8"/>
  <c r="D755" i="7"/>
  <c r="C755" i="7"/>
  <c r="B755" i="7"/>
  <c r="E755" i="7" s="1"/>
  <c r="B773" i="7" s="1"/>
  <c r="C773" i="7" s="1"/>
  <c r="D773" i="7"/>
  <c r="N113" i="21"/>
  <c r="E82" i="20"/>
  <c r="O54" i="21"/>
  <c r="F50" i="20"/>
  <c r="H75" i="21"/>
  <c r="I73" i="20"/>
  <c r="H34" i="20"/>
  <c r="G115" i="21"/>
  <c r="I815" i="22"/>
  <c r="I811" i="22"/>
  <c r="I807" i="22"/>
  <c r="I799" i="22"/>
  <c r="I795" i="22"/>
  <c r="I814" i="22"/>
  <c r="I813" i="22"/>
  <c r="I810" i="22"/>
  <c r="I801" i="22"/>
  <c r="I798" i="22"/>
  <c r="I817" i="22"/>
  <c r="I812" i="22"/>
  <c r="I809" i="22"/>
  <c r="I806" i="22"/>
  <c r="I800" i="22"/>
  <c r="I797" i="22"/>
  <c r="G792" i="22"/>
  <c r="I808" i="22"/>
  <c r="I805" i="22"/>
  <c r="I796" i="22"/>
  <c r="I816" i="22"/>
  <c r="I804" i="22"/>
  <c r="I803" i="22"/>
  <c r="I802" i="22"/>
  <c r="G816" i="22"/>
  <c r="W32" i="23" s="1"/>
  <c r="G136" i="21"/>
  <c r="H40" i="20"/>
  <c r="G146" i="21"/>
  <c r="H44" i="20"/>
  <c r="D868" i="22"/>
  <c r="K34" i="23" s="1"/>
  <c r="N61" i="21"/>
  <c r="E19" i="20"/>
  <c r="E274" i="19"/>
  <c r="G234" i="6"/>
  <c r="H71" i="21"/>
  <c r="I72" i="20"/>
  <c r="H105" i="21"/>
  <c r="I80" i="20"/>
  <c r="H80" i="20"/>
  <c r="G105" i="21"/>
  <c r="E85" i="20"/>
  <c r="N124" i="21"/>
  <c r="E964" i="22"/>
  <c r="K37" i="23" s="1"/>
  <c r="E67" i="20"/>
  <c r="N51" i="21"/>
  <c r="O73" i="21"/>
  <c r="F22" i="20"/>
  <c r="G101" i="21"/>
  <c r="H79" i="20"/>
  <c r="H101" i="21"/>
  <c r="I79" i="20"/>
  <c r="E320" i="19"/>
  <c r="G280" i="6"/>
  <c r="O149" i="21"/>
  <c r="F90" i="20"/>
  <c r="E246" i="24"/>
  <c r="E261" i="24"/>
  <c r="H53" i="21"/>
  <c r="I17" i="20"/>
  <c r="E322" i="22"/>
  <c r="G333" i="22" s="1"/>
  <c r="J17" i="23" s="1"/>
  <c r="C34" i="14"/>
  <c r="G81" i="21"/>
  <c r="H25" i="20"/>
  <c r="I57" i="20"/>
  <c r="H86" i="21"/>
  <c r="G103" i="21"/>
  <c r="H31" i="20"/>
  <c r="I103" i="21"/>
  <c r="J31" i="20"/>
  <c r="B632" i="22"/>
  <c r="D644" i="22" s="1"/>
  <c r="K27" i="23" s="1"/>
  <c r="B147" i="7"/>
  <c r="E284" i="18"/>
  <c r="D820" i="7"/>
  <c r="Y831" i="7" s="1"/>
  <c r="F802" i="7"/>
  <c r="B820" i="7" s="1"/>
  <c r="W831" i="7" s="1"/>
  <c r="N70" i="21"/>
  <c r="E54" i="20"/>
  <c r="H87" i="20"/>
  <c r="G134" i="21"/>
  <c r="D740" i="22"/>
  <c r="K30" i="23" s="1"/>
  <c r="F53" i="20"/>
  <c r="O66" i="21"/>
  <c r="E59" i="20"/>
  <c r="N100" i="21"/>
  <c r="G100" i="21"/>
  <c r="H59" i="20"/>
  <c r="D290" i="22"/>
  <c r="C33" i="14"/>
  <c r="H79" i="21"/>
  <c r="I24" i="20"/>
  <c r="H242" i="24"/>
  <c r="D242" i="24"/>
  <c r="G242" i="24"/>
  <c r="F242" i="24"/>
  <c r="C242" i="24"/>
  <c r="J70" i="20"/>
  <c r="I63" i="21"/>
  <c r="D821" i="7"/>
  <c r="AC831" i="7" s="1"/>
  <c r="F803" i="7"/>
  <c r="B821" i="7" s="1"/>
  <c r="AA831" i="7" s="1"/>
  <c r="D166" i="22"/>
  <c r="F177" i="22" s="1"/>
  <c r="J12" i="23" s="1"/>
  <c r="C30" i="14"/>
  <c r="I65" i="21"/>
  <c r="J20" i="20"/>
  <c r="G99" i="21"/>
  <c r="H30" i="20"/>
  <c r="I109" i="21"/>
  <c r="J81" i="20"/>
  <c r="N121" i="21"/>
  <c r="E84" i="20"/>
  <c r="G121" i="21"/>
  <c r="H84" i="20"/>
  <c r="D146" i="22"/>
  <c r="K11" i="23" s="1"/>
  <c r="E707" i="22"/>
  <c r="J29" i="23" s="1"/>
  <c r="I55" i="21"/>
  <c r="J68" i="20"/>
  <c r="E319" i="19"/>
  <c r="G279" i="6"/>
  <c r="H63" i="20"/>
  <c r="G116" i="21"/>
  <c r="G836" i="22"/>
  <c r="G835" i="22"/>
  <c r="F824" i="22"/>
  <c r="E848" i="22"/>
  <c r="W33" i="23" s="1"/>
  <c r="N138" i="21"/>
  <c r="E41" i="20"/>
  <c r="B236" i="24"/>
  <c r="G803" i="22"/>
  <c r="J32" i="23" s="1"/>
  <c r="I67" i="21"/>
  <c r="J71" i="20"/>
  <c r="E354" i="22"/>
  <c r="G366" i="22" s="1"/>
  <c r="K18" i="23" s="1"/>
  <c r="C35" i="14"/>
  <c r="E315" i="19"/>
  <c r="G275" i="6"/>
  <c r="N112" i="21"/>
  <c r="E62" i="20"/>
  <c r="H128" i="21"/>
  <c r="I86" i="20"/>
  <c r="G141" i="21"/>
  <c r="H42" i="20"/>
  <c r="C219" i="24"/>
  <c r="H219" i="24"/>
  <c r="G221" i="24"/>
  <c r="D219" i="24"/>
  <c r="D220" i="24"/>
  <c r="C221" i="24"/>
  <c r="F221" i="24"/>
  <c r="F219" i="24"/>
  <c r="G220" i="24"/>
  <c r="C220" i="24"/>
  <c r="H221" i="24"/>
  <c r="F220" i="24"/>
  <c r="G219" i="24"/>
  <c r="D221" i="24"/>
  <c r="H220" i="24"/>
  <c r="E216" i="24"/>
  <c r="E236" i="24"/>
  <c r="E268" i="24"/>
  <c r="O74" i="21"/>
  <c r="F55" i="20"/>
  <c r="F663" i="7"/>
  <c r="F947" i="7" s="1"/>
  <c r="F644" i="7"/>
  <c r="F927" i="7" s="1"/>
  <c r="F620" i="7"/>
  <c r="F902" i="7" s="1"/>
  <c r="D665" i="7"/>
  <c r="D949" i="7" s="1"/>
  <c r="D646" i="7"/>
  <c r="D929" i="7" s="1"/>
  <c r="D622" i="7"/>
  <c r="D904" i="7" s="1"/>
  <c r="B667" i="7"/>
  <c r="B951" i="7" s="1"/>
  <c r="B648" i="7"/>
  <c r="B931" i="7" s="1"/>
  <c r="B624" i="7"/>
  <c r="B906" i="7" s="1"/>
  <c r="F421" i="7"/>
  <c r="J643" i="7"/>
  <c r="J926" i="7" s="1"/>
  <c r="J619" i="7"/>
  <c r="J901" i="7" s="1"/>
  <c r="J662" i="7"/>
  <c r="J946" i="7" s="1"/>
  <c r="H645" i="7"/>
  <c r="H928" i="7" s="1"/>
  <c r="H621" i="7"/>
  <c r="H903" i="7" s="1"/>
  <c r="H664" i="7"/>
  <c r="H948" i="7" s="1"/>
  <c r="F647" i="7"/>
  <c r="F930" i="7" s="1"/>
  <c r="F623" i="7"/>
  <c r="F905" i="7" s="1"/>
  <c r="F666" i="7"/>
  <c r="F950" i="7" s="1"/>
  <c r="F422" i="7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48" i="7"/>
  <c r="H931" i="7" s="1"/>
  <c r="H624" i="7"/>
  <c r="H906" i="7" s="1"/>
  <c r="H667" i="7"/>
  <c r="H951" i="7" s="1"/>
  <c r="G644" i="7"/>
  <c r="G927" i="7" s="1"/>
  <c r="G620" i="7"/>
  <c r="G902" i="7" s="1"/>
  <c r="G663" i="7"/>
  <c r="G947" i="7" s="1"/>
  <c r="E646" i="7"/>
  <c r="E929" i="7" s="1"/>
  <c r="E622" i="7"/>
  <c r="E904" i="7" s="1"/>
  <c r="E665" i="7"/>
  <c r="E949" i="7" s="1"/>
  <c r="C648" i="7"/>
  <c r="C931" i="7" s="1"/>
  <c r="C624" i="7"/>
  <c r="C906" i="7" s="1"/>
  <c r="C667" i="7"/>
  <c r="C951" i="7" s="1"/>
  <c r="N59" i="21"/>
  <c r="E69" i="20"/>
  <c r="G154" i="21"/>
  <c r="H91" i="20"/>
  <c r="E258" i="24"/>
  <c r="H83" i="21"/>
  <c r="I74" i="20"/>
  <c r="N126" i="21"/>
  <c r="E37" i="20"/>
  <c r="E294" i="18"/>
  <c r="H148" i="21"/>
  <c r="I45" i="20"/>
  <c r="B261" i="24"/>
  <c r="O62" i="21"/>
  <c r="F52" i="20"/>
  <c r="I151" i="21"/>
  <c r="J46" i="20"/>
  <c r="D145" i="22"/>
  <c r="J11" i="23" s="1"/>
  <c r="E272" i="19"/>
  <c r="G232" i="6"/>
  <c r="E339" i="6" s="1"/>
  <c r="O69" i="21"/>
  <c r="F21" i="20"/>
  <c r="H71" i="9"/>
  <c r="H111" i="9" s="1"/>
  <c r="H119" i="21"/>
  <c r="I35" i="20"/>
  <c r="H912" i="22"/>
  <c r="W35" i="23" s="1"/>
  <c r="H143" i="21"/>
  <c r="I43" i="20"/>
  <c r="C771" i="7"/>
  <c r="B129" i="7" l="1"/>
  <c r="F86" i="9" s="1"/>
  <c r="F103" i="9" s="1"/>
  <c r="C86" i="9"/>
  <c r="C103" i="9" s="1"/>
  <c r="I86" i="9"/>
  <c r="I103" i="9" s="1"/>
  <c r="H86" i="9"/>
  <c r="H103" i="9" s="1"/>
  <c r="B74" i="8"/>
  <c r="B193" i="7"/>
  <c r="E74" i="22"/>
  <c r="I74" i="8"/>
  <c r="B86" i="9"/>
  <c r="B103" i="9" s="1"/>
  <c r="E86" i="9"/>
  <c r="E103" i="9" s="1"/>
  <c r="D86" i="9"/>
  <c r="D103" i="9" s="1"/>
  <c r="B356" i="7"/>
  <c r="B28" i="14"/>
  <c r="E74" i="8"/>
  <c r="H74" i="8"/>
  <c r="G74" i="8"/>
  <c r="J74" i="8"/>
  <c r="D193" i="7"/>
  <c r="D374" i="7" s="1"/>
  <c r="G86" i="9"/>
  <c r="G103" i="9" s="1"/>
  <c r="J86" i="9"/>
  <c r="J103" i="9" s="1"/>
  <c r="D74" i="8"/>
  <c r="C74" i="8"/>
  <c r="F74" i="8"/>
  <c r="C193" i="7"/>
  <c r="C374" i="7" s="1"/>
  <c r="K35" i="23"/>
  <c r="J900" i="22"/>
  <c r="B128" i="7"/>
  <c r="I85" i="9" s="1"/>
  <c r="I102" i="9" s="1"/>
  <c r="J899" i="22"/>
  <c r="J772" i="22"/>
  <c r="F269" i="22"/>
  <c r="J15" i="23" s="1"/>
  <c r="E349" i="6"/>
  <c r="I947" i="22"/>
  <c r="B157" i="7"/>
  <c r="I102" i="8" s="1"/>
  <c r="I145" i="8" s="1"/>
  <c r="E952" i="22"/>
  <c r="F952" i="22" s="1"/>
  <c r="J784" i="22"/>
  <c r="G976" i="22"/>
  <c r="F1011" i="22"/>
  <c r="E350" i="6"/>
  <c r="E351" i="6"/>
  <c r="D386" i="22"/>
  <c r="J397" i="22" s="1"/>
  <c r="D67" i="18"/>
  <c r="C217" i="18" s="1"/>
  <c r="C71" i="9"/>
  <c r="C111" i="9" s="1"/>
  <c r="F71" i="9"/>
  <c r="F111" i="9" s="1"/>
  <c r="K39" i="23"/>
  <c r="J1028" i="22"/>
  <c r="I819" i="22"/>
  <c r="G707" i="22"/>
  <c r="J39" i="23"/>
  <c r="J1027" i="22"/>
  <c r="J71" i="9"/>
  <c r="J111" i="9" s="1"/>
  <c r="J912" i="22"/>
  <c r="G964" i="22"/>
  <c r="G708" i="22"/>
  <c r="F644" i="22"/>
  <c r="E352" i="6"/>
  <c r="F691" i="22"/>
  <c r="K20" i="23"/>
  <c r="L430" i="22"/>
  <c r="G71" i="9"/>
  <c r="G111" i="9" s="1"/>
  <c r="B57" i="18"/>
  <c r="C141" i="18" s="1"/>
  <c r="B74" i="22"/>
  <c r="F86" i="22" s="1"/>
  <c r="K9" i="23" s="1"/>
  <c r="B132" i="7"/>
  <c r="I71" i="9"/>
  <c r="I111" i="9" s="1"/>
  <c r="G848" i="22"/>
  <c r="W39" i="23"/>
  <c r="J1040" i="22"/>
  <c r="J20" i="23"/>
  <c r="L429" i="22"/>
  <c r="I1075" i="22"/>
  <c r="M429" i="22"/>
  <c r="C450" i="22"/>
  <c r="C69" i="18"/>
  <c r="C186" i="18" s="1"/>
  <c r="C71" i="18"/>
  <c r="C188" i="18" s="1"/>
  <c r="B143" i="7"/>
  <c r="B71" i="9"/>
  <c r="B111" i="9" s="1"/>
  <c r="I73" i="8"/>
  <c r="G59" i="8"/>
  <c r="G143" i="8" s="1"/>
  <c r="L295" i="7"/>
  <c r="L320" i="7" s="1"/>
  <c r="AF295" i="7"/>
  <c r="AF320" i="7" s="1"/>
  <c r="W295" i="7"/>
  <c r="W320" i="7" s="1"/>
  <c r="P295" i="7"/>
  <c r="P320" i="7" s="1"/>
  <c r="AJ295" i="7"/>
  <c r="AJ320" i="7" s="1"/>
  <c r="G295" i="7"/>
  <c r="G320" i="7" s="1"/>
  <c r="AA295" i="7"/>
  <c r="AA320" i="7" s="1"/>
  <c r="T295" i="7"/>
  <c r="T320" i="7" s="1"/>
  <c r="X295" i="7"/>
  <c r="X320" i="7" s="1"/>
  <c r="K295" i="7"/>
  <c r="K320" i="7" s="1"/>
  <c r="AE295" i="7"/>
  <c r="AE320" i="7" s="1"/>
  <c r="AB295" i="7"/>
  <c r="AB320" i="7" s="1"/>
  <c r="D295" i="7"/>
  <c r="D320" i="7" s="1"/>
  <c r="H295" i="7"/>
  <c r="H320" i="7" s="1"/>
  <c r="C295" i="7"/>
  <c r="C320" i="7" s="1"/>
  <c r="Q295" i="7"/>
  <c r="Q320" i="7" s="1"/>
  <c r="AK295" i="7"/>
  <c r="AK320" i="7" s="1"/>
  <c r="O295" i="7"/>
  <c r="O320" i="7" s="1"/>
  <c r="U295" i="7"/>
  <c r="U320" i="7" s="1"/>
  <c r="Y295" i="7"/>
  <c r="Y320" i="7" s="1"/>
  <c r="AI295" i="7"/>
  <c r="AI320" i="7" s="1"/>
  <c r="J348" i="7" s="1"/>
  <c r="E295" i="7"/>
  <c r="E320" i="7" s="1"/>
  <c r="I295" i="7"/>
  <c r="I320" i="7" s="1"/>
  <c r="AC295" i="7"/>
  <c r="AC320" i="7" s="1"/>
  <c r="S295" i="7"/>
  <c r="S320" i="7" s="1"/>
  <c r="AG295" i="7"/>
  <c r="AG320" i="7" s="1"/>
  <c r="M295" i="7"/>
  <c r="M320" i="7" s="1"/>
  <c r="P299" i="7"/>
  <c r="P584" i="7" s="1"/>
  <c r="AJ299" i="7"/>
  <c r="AJ584" i="7" s="1"/>
  <c r="G299" i="7"/>
  <c r="G584" i="7" s="1"/>
  <c r="AA299" i="7"/>
  <c r="AA584" i="7" s="1"/>
  <c r="T299" i="7"/>
  <c r="T584" i="7" s="1"/>
  <c r="X299" i="7"/>
  <c r="X584" i="7" s="1"/>
  <c r="K299" i="7"/>
  <c r="K584" i="7" s="1"/>
  <c r="AE299" i="7"/>
  <c r="AE584" i="7" s="1"/>
  <c r="AB299" i="7"/>
  <c r="AB584" i="7" s="1"/>
  <c r="D299" i="7"/>
  <c r="D584" i="7" s="1"/>
  <c r="H299" i="7"/>
  <c r="H584" i="7" s="1"/>
  <c r="O299" i="7"/>
  <c r="O584" i="7" s="1"/>
  <c r="L299" i="7"/>
  <c r="L584" i="7" s="1"/>
  <c r="AF299" i="7"/>
  <c r="AF584" i="7" s="1"/>
  <c r="W299" i="7"/>
  <c r="W584" i="7" s="1"/>
  <c r="U299" i="7"/>
  <c r="U584" i="7" s="1"/>
  <c r="Y299" i="7"/>
  <c r="Y584" i="7" s="1"/>
  <c r="AI299" i="7"/>
  <c r="AI584" i="7" s="1"/>
  <c r="E299" i="7"/>
  <c r="E584" i="7" s="1"/>
  <c r="I299" i="7"/>
  <c r="I584" i="7" s="1"/>
  <c r="AC299" i="7"/>
  <c r="AC584" i="7" s="1"/>
  <c r="S299" i="7"/>
  <c r="S584" i="7" s="1"/>
  <c r="AG299" i="7"/>
  <c r="AG584" i="7" s="1"/>
  <c r="M299" i="7"/>
  <c r="M584" i="7" s="1"/>
  <c r="C299" i="7"/>
  <c r="C584" i="7" s="1"/>
  <c r="Q299" i="7"/>
  <c r="Q584" i="7" s="1"/>
  <c r="AK299" i="7"/>
  <c r="AK584" i="7" s="1"/>
  <c r="B374" i="7"/>
  <c r="E193" i="7"/>
  <c r="B234" i="7" s="1"/>
  <c r="C234" i="7" s="1"/>
  <c r="I59" i="8"/>
  <c r="I143" i="8" s="1"/>
  <c r="D59" i="8"/>
  <c r="D143" i="8" s="1"/>
  <c r="G58" i="8"/>
  <c r="G140" i="8" s="1"/>
  <c r="B91" i="12"/>
  <c r="B47" i="16" s="1"/>
  <c r="B62" i="8"/>
  <c r="B148" i="8" s="1"/>
  <c r="F112" i="21"/>
  <c r="G62" i="20"/>
  <c r="F117" i="21"/>
  <c r="G83" i="20"/>
  <c r="G72" i="20"/>
  <c r="F71" i="21"/>
  <c r="D643" i="22"/>
  <c r="F60" i="8"/>
  <c r="F144" i="8" s="1"/>
  <c r="B90" i="12"/>
  <c r="B46" i="16" s="1"/>
  <c r="B61" i="8"/>
  <c r="B147" i="8" s="1"/>
  <c r="I386" i="22"/>
  <c r="J386" i="22" s="1"/>
  <c r="G84" i="8"/>
  <c r="C84" i="8"/>
  <c r="J84" i="8"/>
  <c r="F84" i="8"/>
  <c r="B84" i="8"/>
  <c r="I84" i="8"/>
  <c r="E84" i="8"/>
  <c r="H84" i="8"/>
  <c r="D84" i="8"/>
  <c r="D218" i="7"/>
  <c r="C218" i="7"/>
  <c r="B218" i="7"/>
  <c r="E218" i="7" s="1"/>
  <c r="B244" i="7" s="1"/>
  <c r="C244" i="7" s="1"/>
  <c r="F99" i="21"/>
  <c r="G30" i="20"/>
  <c r="E720" i="22"/>
  <c r="H57" i="8"/>
  <c r="H139" i="8" s="1"/>
  <c r="B140" i="12"/>
  <c r="B131" i="16" s="1"/>
  <c r="D58" i="8"/>
  <c r="D140" i="8" s="1"/>
  <c r="I58" i="8"/>
  <c r="I140" i="8" s="1"/>
  <c r="B114" i="12"/>
  <c r="B82" i="16" s="1"/>
  <c r="C61" i="8"/>
  <c r="C147" i="8" s="1"/>
  <c r="F354" i="22"/>
  <c r="B35" i="14"/>
  <c r="H93" i="9"/>
  <c r="H110" i="9" s="1"/>
  <c r="D93" i="9"/>
  <c r="D110" i="9" s="1"/>
  <c r="H83" i="8"/>
  <c r="D83" i="8"/>
  <c r="G93" i="9"/>
  <c r="G110" i="9" s="1"/>
  <c r="C93" i="9"/>
  <c r="C110" i="9" s="1"/>
  <c r="G83" i="8"/>
  <c r="C83" i="8"/>
  <c r="J93" i="9"/>
  <c r="J110" i="9" s="1"/>
  <c r="F93" i="9"/>
  <c r="F110" i="9" s="1"/>
  <c r="B93" i="9"/>
  <c r="B110" i="9" s="1"/>
  <c r="J83" i="8"/>
  <c r="F83" i="8"/>
  <c r="B83" i="8"/>
  <c r="I93" i="9"/>
  <c r="I110" i="9" s="1"/>
  <c r="E93" i="9"/>
  <c r="E110" i="9" s="1"/>
  <c r="I83" i="8"/>
  <c r="E83" i="8"/>
  <c r="D217" i="7"/>
  <c r="D449" i="7" s="1"/>
  <c r="C217" i="7"/>
  <c r="C449" i="7" s="1"/>
  <c r="B431" i="7"/>
  <c r="B217" i="7"/>
  <c r="D856" i="22"/>
  <c r="H99" i="8"/>
  <c r="H142" i="8" s="1"/>
  <c r="D99" i="8"/>
  <c r="D142" i="8" s="1"/>
  <c r="G99" i="8"/>
  <c r="G142" i="8" s="1"/>
  <c r="C99" i="8"/>
  <c r="C142" i="8" s="1"/>
  <c r="J99" i="8"/>
  <c r="J142" i="8" s="1"/>
  <c r="F99" i="8"/>
  <c r="F142" i="8" s="1"/>
  <c r="B99" i="8"/>
  <c r="B142" i="8" s="1"/>
  <c r="I99" i="8"/>
  <c r="I142" i="8" s="1"/>
  <c r="E99" i="8"/>
  <c r="E142" i="8" s="1"/>
  <c r="F107" i="21"/>
  <c r="G32" i="20"/>
  <c r="D656" i="22"/>
  <c r="I60" i="8"/>
  <c r="I144" i="8" s="1"/>
  <c r="B116" i="12"/>
  <c r="B86" i="16" s="1"/>
  <c r="J58" i="8"/>
  <c r="J140" i="8" s="1"/>
  <c r="F301" i="22"/>
  <c r="J16" i="23" s="1"/>
  <c r="F115" i="21"/>
  <c r="G34" i="20"/>
  <c r="F848" i="22"/>
  <c r="F836" i="22"/>
  <c r="F835" i="22"/>
  <c r="F750" i="22"/>
  <c r="F746" i="22"/>
  <c r="F742" i="22"/>
  <c r="F738" i="22"/>
  <c r="F734" i="22"/>
  <c r="E728" i="22"/>
  <c r="F751" i="22"/>
  <c r="F747" i="22"/>
  <c r="F743" i="22"/>
  <c r="F739" i="22"/>
  <c r="F735" i="22"/>
  <c r="F731" i="22"/>
  <c r="F753" i="22"/>
  <c r="F752" i="22"/>
  <c r="F748" i="22"/>
  <c r="F744" i="22"/>
  <c r="F740" i="22"/>
  <c r="F736" i="22"/>
  <c r="F732" i="22"/>
  <c r="F749" i="22"/>
  <c r="F745" i="22"/>
  <c r="F741" i="22"/>
  <c r="F737" i="22"/>
  <c r="F733" i="22"/>
  <c r="D752" i="22"/>
  <c r="W30" i="23" s="1"/>
  <c r="D739" i="22"/>
  <c r="J30" i="23" s="1"/>
  <c r="F111" i="21"/>
  <c r="G33" i="20"/>
  <c r="H269" i="22"/>
  <c r="F258" i="22"/>
  <c r="H270" i="22"/>
  <c r="E290" i="22"/>
  <c r="F290" i="22" s="1"/>
  <c r="B33" i="14"/>
  <c r="J91" i="9"/>
  <c r="J108" i="9" s="1"/>
  <c r="F91" i="9"/>
  <c r="F108" i="9" s="1"/>
  <c r="B91" i="9"/>
  <c r="B108" i="9" s="1"/>
  <c r="J81" i="8"/>
  <c r="F81" i="8"/>
  <c r="B81" i="8"/>
  <c r="I91" i="9"/>
  <c r="I108" i="9" s="1"/>
  <c r="E91" i="9"/>
  <c r="E108" i="9" s="1"/>
  <c r="I81" i="8"/>
  <c r="E81" i="8"/>
  <c r="H91" i="9"/>
  <c r="H108" i="9" s="1"/>
  <c r="D91" i="9"/>
  <c r="D108" i="9" s="1"/>
  <c r="H81" i="8"/>
  <c r="D81" i="8"/>
  <c r="G91" i="9"/>
  <c r="G108" i="9" s="1"/>
  <c r="C91" i="9"/>
  <c r="C108" i="9" s="1"/>
  <c r="G81" i="8"/>
  <c r="C81" i="8"/>
  <c r="D197" i="7"/>
  <c r="C197" i="7"/>
  <c r="B197" i="7"/>
  <c r="E197" i="7" s="1"/>
  <c r="B241" i="7" s="1"/>
  <c r="C241" i="7" s="1"/>
  <c r="F104" i="21"/>
  <c r="G60" i="20"/>
  <c r="F69" i="21"/>
  <c r="G21" i="20"/>
  <c r="E60" i="8"/>
  <c r="E144" i="8" s="1"/>
  <c r="J60" i="8"/>
  <c r="J144" i="8" s="1"/>
  <c r="F61" i="8"/>
  <c r="F147" i="8" s="1"/>
  <c r="B119" i="12"/>
  <c r="B91" i="16" s="1"/>
  <c r="H61" i="8"/>
  <c r="H147" i="8" s="1"/>
  <c r="D62" i="8"/>
  <c r="D148" i="8" s="1"/>
  <c r="I62" i="8"/>
  <c r="I148" i="8" s="1"/>
  <c r="B118" i="12"/>
  <c r="B90" i="16" s="1"/>
  <c r="B87" i="12"/>
  <c r="B39" i="16" s="1"/>
  <c r="B58" i="8"/>
  <c r="B140" i="8" s="1"/>
  <c r="H86" i="22"/>
  <c r="F74" i="22"/>
  <c r="F101" i="21"/>
  <c r="G79" i="20"/>
  <c r="F943" i="22"/>
  <c r="H941" i="22"/>
  <c r="F939" i="22"/>
  <c r="H937" i="22"/>
  <c r="F935" i="22"/>
  <c r="H933" i="22"/>
  <c r="H931" i="22"/>
  <c r="H929" i="22"/>
  <c r="F927" i="22"/>
  <c r="H925" i="22"/>
  <c r="F923" i="22"/>
  <c r="H944" i="22"/>
  <c r="H938" i="22"/>
  <c r="F936" i="22"/>
  <c r="H935" i="22"/>
  <c r="F933" i="22"/>
  <c r="H932" i="22"/>
  <c r="H926" i="22"/>
  <c r="F924" i="22"/>
  <c r="H923" i="22"/>
  <c r="F944" i="22"/>
  <c r="H943" i="22"/>
  <c r="H942" i="22"/>
  <c r="H934" i="22"/>
  <c r="F932" i="22"/>
  <c r="F931" i="22"/>
  <c r="F930" i="22"/>
  <c r="H945" i="22"/>
  <c r="F942" i="22"/>
  <c r="F941" i="22"/>
  <c r="H940" i="22"/>
  <c r="F938" i="22"/>
  <c r="F929" i="22"/>
  <c r="H928" i="22"/>
  <c r="F926" i="22"/>
  <c r="F945" i="22"/>
  <c r="F940" i="22"/>
  <c r="H939" i="22"/>
  <c r="F937" i="22"/>
  <c r="H936" i="22"/>
  <c r="F934" i="22"/>
  <c r="H930" i="22"/>
  <c r="F928" i="22"/>
  <c r="H927" i="22"/>
  <c r="F925" i="22"/>
  <c r="H924" i="22"/>
  <c r="G760" i="22"/>
  <c r="H760" i="22" s="1"/>
  <c r="G96" i="8"/>
  <c r="C96" i="8"/>
  <c r="J96" i="8"/>
  <c r="F96" i="8"/>
  <c r="B96" i="8"/>
  <c r="I96" i="8"/>
  <c r="E96" i="8"/>
  <c r="H96" i="8"/>
  <c r="D96" i="8"/>
  <c r="B89" i="12"/>
  <c r="B43" i="16" s="1"/>
  <c r="B60" i="8"/>
  <c r="B144" i="8" s="1"/>
  <c r="G60" i="8"/>
  <c r="G144" i="8" s="1"/>
  <c r="J62" i="8"/>
  <c r="J148" i="8" s="1"/>
  <c r="C198" i="22"/>
  <c r="I78" i="8"/>
  <c r="E78" i="8"/>
  <c r="H78" i="8"/>
  <c r="D78" i="8"/>
  <c r="G78" i="8"/>
  <c r="C78" i="8"/>
  <c r="J78" i="8"/>
  <c r="F78" i="8"/>
  <c r="B78" i="8"/>
  <c r="B394" i="7"/>
  <c r="G80" i="20"/>
  <c r="F105" i="21"/>
  <c r="G62" i="8"/>
  <c r="G148" i="8" s="1"/>
  <c r="I57" i="8"/>
  <c r="I139" i="8" s="1"/>
  <c r="E58" i="8"/>
  <c r="E140" i="8" s="1"/>
  <c r="H60" i="8"/>
  <c r="H144" i="8" s="1"/>
  <c r="F302" i="22"/>
  <c r="K16" i="23" s="1"/>
  <c r="F817" i="22"/>
  <c r="F816" i="22"/>
  <c r="F814" i="22"/>
  <c r="F812" i="22"/>
  <c r="H810" i="22"/>
  <c r="F808" i="22"/>
  <c r="H806" i="22"/>
  <c r="F804" i="22"/>
  <c r="H802" i="22"/>
  <c r="F800" i="22"/>
  <c r="H798" i="22"/>
  <c r="F796" i="22"/>
  <c r="H816" i="22"/>
  <c r="H807" i="22"/>
  <c r="F805" i="22"/>
  <c r="H804" i="22"/>
  <c r="H803" i="22"/>
  <c r="H795" i="22"/>
  <c r="H815" i="22"/>
  <c r="H814" i="22"/>
  <c r="H813" i="22"/>
  <c r="F811" i="22"/>
  <c r="F803" i="22"/>
  <c r="F802" i="22"/>
  <c r="H801" i="22"/>
  <c r="F799" i="22"/>
  <c r="H817" i="22"/>
  <c r="F813" i="22"/>
  <c r="H812" i="22"/>
  <c r="F810" i="22"/>
  <c r="H809" i="22"/>
  <c r="F807" i="22"/>
  <c r="F801" i="22"/>
  <c r="H800" i="22"/>
  <c r="F798" i="22"/>
  <c r="H797" i="22"/>
  <c r="F795" i="22"/>
  <c r="F815" i="22"/>
  <c r="H811" i="22"/>
  <c r="F809" i="22"/>
  <c r="H808" i="22"/>
  <c r="F806" i="22"/>
  <c r="H805" i="22"/>
  <c r="H799" i="22"/>
  <c r="F797" i="22"/>
  <c r="H796" i="22"/>
  <c r="F964" i="22"/>
  <c r="F976" i="22"/>
  <c r="F963" i="22"/>
  <c r="F1073" i="22"/>
  <c r="F1072" i="22"/>
  <c r="F1070" i="22"/>
  <c r="F1068" i="22"/>
  <c r="H1066" i="22"/>
  <c r="F1064" i="22"/>
  <c r="H1062" i="22"/>
  <c r="F1060" i="22"/>
  <c r="H1058" i="22"/>
  <c r="F1056" i="22"/>
  <c r="H1054" i="22"/>
  <c r="F1052" i="22"/>
  <c r="H1071" i="22"/>
  <c r="F1069" i="22"/>
  <c r="H1067" i="22"/>
  <c r="F1065" i="22"/>
  <c r="H1063" i="22"/>
  <c r="F1061" i="22"/>
  <c r="F1059" i="22"/>
  <c r="F1057" i="22"/>
  <c r="H1055" i="22"/>
  <c r="F1053" i="22"/>
  <c r="H1051" i="22"/>
  <c r="H1073" i="22"/>
  <c r="H1072" i="22"/>
  <c r="H1070" i="22"/>
  <c r="H1068" i="22"/>
  <c r="F1066" i="22"/>
  <c r="H1064" i="22"/>
  <c r="F1062" i="22"/>
  <c r="H1060" i="22"/>
  <c r="F1058" i="22"/>
  <c r="H1056" i="22"/>
  <c r="F1054" i="22"/>
  <c r="H1052" i="22"/>
  <c r="F1071" i="22"/>
  <c r="H1069" i="22"/>
  <c r="F1067" i="22"/>
  <c r="H1065" i="22"/>
  <c r="F1063" i="22"/>
  <c r="H1061" i="22"/>
  <c r="H1059" i="22"/>
  <c r="H1057" i="22"/>
  <c r="F1055" i="22"/>
  <c r="H1053" i="22"/>
  <c r="F1051" i="22"/>
  <c r="D493" i="22"/>
  <c r="D553" i="22"/>
  <c r="G270" i="22"/>
  <c r="E270" i="22"/>
  <c r="E269" i="22"/>
  <c r="E281" i="22"/>
  <c r="E280" i="22"/>
  <c r="G269" i="22"/>
  <c r="C62" i="8"/>
  <c r="C148" i="8" s="1"/>
  <c r="H62" i="8"/>
  <c r="H148" i="8" s="1"/>
  <c r="B142" i="12"/>
  <c r="B135" i="16" s="1"/>
  <c r="F58" i="8"/>
  <c r="F140" i="8" s="1"/>
  <c r="I366" i="22"/>
  <c r="G354" i="22"/>
  <c r="G365" i="22"/>
  <c r="J18" i="23" s="1"/>
  <c r="H177" i="22"/>
  <c r="I333" i="22"/>
  <c r="D53" i="14"/>
  <c r="C53" i="14"/>
  <c r="B53" i="14"/>
  <c r="E53" i="14"/>
  <c r="F57" i="8"/>
  <c r="F139" i="8" s="1"/>
  <c r="B115" i="12"/>
  <c r="B83" i="16" s="1"/>
  <c r="E696" i="22"/>
  <c r="F696" i="22" s="1"/>
  <c r="I94" i="8"/>
  <c r="I137" i="8" s="1"/>
  <c r="E94" i="8"/>
  <c r="E137" i="8" s="1"/>
  <c r="H94" i="8"/>
  <c r="H137" i="8" s="1"/>
  <c r="D94" i="8"/>
  <c r="D137" i="8" s="1"/>
  <c r="G94" i="8"/>
  <c r="G137" i="8" s="1"/>
  <c r="C94" i="8"/>
  <c r="C137" i="8" s="1"/>
  <c r="J94" i="8"/>
  <c r="J137" i="8" s="1"/>
  <c r="F94" i="8"/>
  <c r="F137" i="8" s="1"/>
  <c r="B94" i="8"/>
  <c r="B137" i="8" s="1"/>
  <c r="I418" i="22"/>
  <c r="J418" i="22" s="1"/>
  <c r="J85" i="8"/>
  <c r="F85" i="8"/>
  <c r="B85" i="8"/>
  <c r="I85" i="8"/>
  <c r="E85" i="8"/>
  <c r="H85" i="8"/>
  <c r="D85" i="8"/>
  <c r="G85" i="8"/>
  <c r="C85" i="8"/>
  <c r="D219" i="7"/>
  <c r="C219" i="7"/>
  <c r="B219" i="7"/>
  <c r="E219" i="7" s="1"/>
  <c r="B245" i="7" s="1"/>
  <c r="C245" i="7" s="1"/>
  <c r="D61" i="8"/>
  <c r="D147" i="8" s="1"/>
  <c r="I61" i="8"/>
  <c r="I147" i="8" s="1"/>
  <c r="B117" i="12"/>
  <c r="B87" i="16" s="1"/>
  <c r="E62" i="8"/>
  <c r="E148" i="8" s="1"/>
  <c r="B137" i="12"/>
  <c r="B126" i="16" s="1"/>
  <c r="G57" i="8"/>
  <c r="G139" i="8" s="1"/>
  <c r="D664" i="22"/>
  <c r="J93" i="8"/>
  <c r="J136" i="8" s="1"/>
  <c r="F93" i="8"/>
  <c r="F136" i="8" s="1"/>
  <c r="B93" i="8"/>
  <c r="B136" i="8" s="1"/>
  <c r="I93" i="8"/>
  <c r="I136" i="8" s="1"/>
  <c r="E93" i="8"/>
  <c r="E136" i="8" s="1"/>
  <c r="H93" i="8"/>
  <c r="H136" i="8" s="1"/>
  <c r="D93" i="8"/>
  <c r="D136" i="8" s="1"/>
  <c r="G93" i="8"/>
  <c r="G136" i="8" s="1"/>
  <c r="C93" i="8"/>
  <c r="C136" i="8" s="1"/>
  <c r="F109" i="21"/>
  <c r="G81" i="20"/>
  <c r="G1039" i="22"/>
  <c r="G1040" i="22"/>
  <c r="G1038" i="22"/>
  <c r="G1028" i="22"/>
  <c r="G1027" i="22"/>
  <c r="G1026" i="22"/>
  <c r="G1024" i="22"/>
  <c r="G1022" i="22"/>
  <c r="G1020" i="22"/>
  <c r="I1040" i="22"/>
  <c r="G1025" i="22"/>
  <c r="G1023" i="22"/>
  <c r="G1021" i="22"/>
  <c r="G1019" i="22"/>
  <c r="I1028" i="22"/>
  <c r="I1027" i="22"/>
  <c r="F103" i="21"/>
  <c r="G31" i="20"/>
  <c r="E226" i="22"/>
  <c r="B31" i="14"/>
  <c r="H89" i="9"/>
  <c r="H106" i="9" s="1"/>
  <c r="D89" i="9"/>
  <c r="D106" i="9" s="1"/>
  <c r="H79" i="8"/>
  <c r="D79" i="8"/>
  <c r="G89" i="9"/>
  <c r="G106" i="9" s="1"/>
  <c r="C89" i="9"/>
  <c r="C106" i="9" s="1"/>
  <c r="G79" i="8"/>
  <c r="C79" i="8"/>
  <c r="J89" i="9"/>
  <c r="J106" i="9" s="1"/>
  <c r="F89" i="9"/>
  <c r="F106" i="9" s="1"/>
  <c r="B89" i="9"/>
  <c r="B106" i="9" s="1"/>
  <c r="J79" i="8"/>
  <c r="F79" i="8"/>
  <c r="B79" i="8"/>
  <c r="I89" i="9"/>
  <c r="I106" i="9" s="1"/>
  <c r="E89" i="9"/>
  <c r="E106" i="9" s="1"/>
  <c r="I79" i="8"/>
  <c r="E79" i="8"/>
  <c r="D195" i="7"/>
  <c r="C195" i="7"/>
  <c r="B195" i="7"/>
  <c r="E195" i="7" s="1"/>
  <c r="B239" i="7" s="1"/>
  <c r="C239" i="7" s="1"/>
  <c r="F59" i="21"/>
  <c r="G69" i="20"/>
  <c r="B139" i="12"/>
  <c r="B130" i="16" s="1"/>
  <c r="D57" i="8"/>
  <c r="D139" i="8" s="1"/>
  <c r="C60" i="8"/>
  <c r="C144" i="8" s="1"/>
  <c r="F62" i="8"/>
  <c r="F148" i="8" s="1"/>
  <c r="G334" i="22"/>
  <c r="K17" i="23" s="1"/>
  <c r="F113" i="21"/>
  <c r="G82" i="20"/>
  <c r="F58" i="21"/>
  <c r="G51" i="20"/>
  <c r="G888" i="22"/>
  <c r="H888" i="22" s="1"/>
  <c r="G100" i="8"/>
  <c r="C100" i="8"/>
  <c r="J100" i="8"/>
  <c r="F100" i="8"/>
  <c r="B100" i="8"/>
  <c r="I100" i="8"/>
  <c r="E100" i="8"/>
  <c r="H100" i="8"/>
  <c r="D100" i="8"/>
  <c r="H59" i="8"/>
  <c r="H143" i="8" s="1"/>
  <c r="F59" i="8"/>
  <c r="F143" i="8" s="1"/>
  <c r="D595" i="22"/>
  <c r="D591" i="22"/>
  <c r="D587" i="22"/>
  <c r="D583" i="22"/>
  <c r="D580" i="22"/>
  <c r="D576" i="22"/>
  <c r="D590" i="22"/>
  <c r="D588" i="22"/>
  <c r="D579" i="22"/>
  <c r="D577" i="22"/>
  <c r="D593" i="22"/>
  <c r="D586" i="22"/>
  <c r="D584" i="22"/>
  <c r="D582" i="22"/>
  <c r="D575" i="22"/>
  <c r="D589" i="22"/>
  <c r="D578" i="22"/>
  <c r="D594" i="22"/>
  <c r="D592" i="22"/>
  <c r="D585" i="22"/>
  <c r="D581" i="22"/>
  <c r="E146" i="22"/>
  <c r="E145" i="22"/>
  <c r="E57" i="8"/>
  <c r="E139" i="8" s="1"/>
  <c r="J57" i="8"/>
  <c r="J139" i="8" s="1"/>
  <c r="D60" i="8"/>
  <c r="D144" i="8" s="1"/>
  <c r="F116" i="21"/>
  <c r="G63" i="20"/>
  <c r="D632" i="22"/>
  <c r="E632" i="22" s="1"/>
  <c r="G92" i="8"/>
  <c r="G135" i="8" s="1"/>
  <c r="C92" i="8"/>
  <c r="C135" i="8" s="1"/>
  <c r="J92" i="8"/>
  <c r="J135" i="8" s="1"/>
  <c r="F92" i="8"/>
  <c r="F135" i="8" s="1"/>
  <c r="B92" i="8"/>
  <c r="B135" i="8" s="1"/>
  <c r="I92" i="8"/>
  <c r="I135" i="8" s="1"/>
  <c r="E92" i="8"/>
  <c r="E135" i="8" s="1"/>
  <c r="H92" i="8"/>
  <c r="H135" i="8" s="1"/>
  <c r="D92" i="8"/>
  <c r="D135" i="8" s="1"/>
  <c r="E613" i="22"/>
  <c r="G613" i="22"/>
  <c r="F54" i="22"/>
  <c r="G61" i="20"/>
  <c r="F108" i="21"/>
  <c r="C58" i="8"/>
  <c r="C140" i="8" s="1"/>
  <c r="H58" i="8"/>
  <c r="H140" i="8" s="1"/>
  <c r="B141" i="12"/>
  <c r="B134" i="16" s="1"/>
  <c r="G61" i="8"/>
  <c r="G147" i="8" s="1"/>
  <c r="B138" i="12"/>
  <c r="B127" i="16" s="1"/>
  <c r="D728" i="22"/>
  <c r="H95" i="8"/>
  <c r="H138" i="8" s="1"/>
  <c r="D95" i="8"/>
  <c r="D138" i="8" s="1"/>
  <c r="G95" i="8"/>
  <c r="G138" i="8" s="1"/>
  <c r="C95" i="8"/>
  <c r="C138" i="8" s="1"/>
  <c r="J95" i="8"/>
  <c r="J138" i="8" s="1"/>
  <c r="F95" i="8"/>
  <c r="F138" i="8" s="1"/>
  <c r="B95" i="8"/>
  <c r="B138" i="8" s="1"/>
  <c r="I95" i="8"/>
  <c r="I138" i="8" s="1"/>
  <c r="E95" i="8"/>
  <c r="E138" i="8" s="1"/>
  <c r="F57" i="21"/>
  <c r="G18" i="20"/>
  <c r="B86" i="12"/>
  <c r="B38" i="16" s="1"/>
  <c r="B57" i="8"/>
  <c r="B139" i="8" s="1"/>
  <c r="D53" i="22"/>
  <c r="J8" i="23" s="1"/>
  <c r="F100" i="21"/>
  <c r="G59" i="20"/>
  <c r="F178" i="22"/>
  <c r="K12" i="23" s="1"/>
  <c r="F322" i="22"/>
  <c r="G322" i="22" s="1"/>
  <c r="B34" i="14"/>
  <c r="I92" i="9"/>
  <c r="I109" i="9" s="1"/>
  <c r="E92" i="9"/>
  <c r="E109" i="9" s="1"/>
  <c r="I82" i="8"/>
  <c r="E82" i="8"/>
  <c r="H92" i="9"/>
  <c r="H109" i="9" s="1"/>
  <c r="D92" i="9"/>
  <c r="D109" i="9" s="1"/>
  <c r="H82" i="8"/>
  <c r="D82" i="8"/>
  <c r="G92" i="9"/>
  <c r="G109" i="9" s="1"/>
  <c r="C92" i="9"/>
  <c r="C109" i="9" s="1"/>
  <c r="G82" i="8"/>
  <c r="C82" i="8"/>
  <c r="J92" i="9"/>
  <c r="J109" i="9" s="1"/>
  <c r="F92" i="9"/>
  <c r="F109" i="9" s="1"/>
  <c r="B92" i="9"/>
  <c r="B109" i="9" s="1"/>
  <c r="J82" i="8"/>
  <c r="F82" i="8"/>
  <c r="B82" i="8"/>
  <c r="B430" i="7"/>
  <c r="D216" i="7"/>
  <c r="D448" i="7" s="1"/>
  <c r="C216" i="7"/>
  <c r="C448" i="7" s="1"/>
  <c r="B216" i="7"/>
  <c r="B88" i="12"/>
  <c r="B42" i="16" s="1"/>
  <c r="E61" i="8"/>
  <c r="E147" i="8" s="1"/>
  <c r="J61" i="8"/>
  <c r="J147" i="8" s="1"/>
  <c r="C57" i="8"/>
  <c r="C139" i="8" s="1"/>
  <c r="F880" i="22"/>
  <c r="F879" i="22"/>
  <c r="F878" i="22"/>
  <c r="F877" i="22"/>
  <c r="F881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D880" i="22"/>
  <c r="W34" i="23" s="1"/>
  <c r="D867" i="22"/>
  <c r="J34" i="23" s="1"/>
  <c r="F70" i="21"/>
  <c r="G54" i="20"/>
  <c r="H238" i="22"/>
  <c r="F226" i="22"/>
  <c r="F237" i="22"/>
  <c r="F145" i="22"/>
  <c r="F146" i="22"/>
  <c r="E134" i="22"/>
  <c r="C52" i="4"/>
  <c r="D51" i="4"/>
  <c r="B82" i="4"/>
  <c r="D984" i="22"/>
  <c r="H103" i="8"/>
  <c r="H146" i="8" s="1"/>
  <c r="D103" i="8"/>
  <c r="D146" i="8" s="1"/>
  <c r="G103" i="8"/>
  <c r="G146" i="8" s="1"/>
  <c r="C103" i="8"/>
  <c r="C146" i="8" s="1"/>
  <c r="J103" i="8"/>
  <c r="J146" i="8" s="1"/>
  <c r="F103" i="8"/>
  <c r="F146" i="8" s="1"/>
  <c r="B103" i="8"/>
  <c r="B146" i="8" s="1"/>
  <c r="I103" i="8"/>
  <c r="I146" i="8" s="1"/>
  <c r="E103" i="8"/>
  <c r="E146" i="8" s="1"/>
  <c r="C59" i="8"/>
  <c r="C143" i="8" s="1"/>
  <c r="E59" i="8"/>
  <c r="E143" i="8" s="1"/>
  <c r="J59" i="8"/>
  <c r="J143" i="8" s="1"/>
  <c r="I450" i="22"/>
  <c r="J450" i="22" s="1"/>
  <c r="I86" i="8"/>
  <c r="E86" i="8"/>
  <c r="H86" i="8"/>
  <c r="D86" i="8"/>
  <c r="G86" i="8"/>
  <c r="C86" i="8"/>
  <c r="J86" i="8"/>
  <c r="F86" i="8"/>
  <c r="B86" i="8"/>
  <c r="D220" i="7"/>
  <c r="C220" i="7"/>
  <c r="B220" i="7"/>
  <c r="E220" i="7" s="1"/>
  <c r="B246" i="7" s="1"/>
  <c r="C246" i="7" s="1"/>
  <c r="F85" i="22"/>
  <c r="E86" i="22"/>
  <c r="J102" i="8" l="1"/>
  <c r="J145" i="8" s="1"/>
  <c r="E102" i="8"/>
  <c r="E145" i="8" s="1"/>
  <c r="C56" i="10"/>
  <c r="H56" i="10" s="1"/>
  <c r="L68" i="10" s="1"/>
  <c r="B102" i="8"/>
  <c r="B145" i="8" s="1"/>
  <c r="G86" i="22"/>
  <c r="D42" i="22"/>
  <c r="H85" i="9"/>
  <c r="H102" i="9" s="1"/>
  <c r="E73" i="8"/>
  <c r="G73" i="8"/>
  <c r="D85" i="9"/>
  <c r="D102" i="9" s="1"/>
  <c r="J85" i="9"/>
  <c r="J102" i="9" s="1"/>
  <c r="C73" i="8"/>
  <c r="B73" i="8"/>
  <c r="H73" i="8"/>
  <c r="C175" i="7"/>
  <c r="G85" i="9"/>
  <c r="G102" i="9" s="1"/>
  <c r="D73" i="8"/>
  <c r="B175" i="7"/>
  <c r="E175" i="7" s="1"/>
  <c r="B233" i="7" s="1"/>
  <c r="C233" i="7" s="1"/>
  <c r="E85" i="22"/>
  <c r="F85" i="9"/>
  <c r="F102" i="9" s="1"/>
  <c r="F73" i="8"/>
  <c r="B328" i="7"/>
  <c r="E97" i="22"/>
  <c r="E96" i="22"/>
  <c r="J73" i="8"/>
  <c r="D175" i="7"/>
  <c r="B85" i="9"/>
  <c r="B102" i="9" s="1"/>
  <c r="B56" i="10"/>
  <c r="F102" i="8"/>
  <c r="F145" i="8" s="1"/>
  <c r="H102" i="8"/>
  <c r="H145" i="8" s="1"/>
  <c r="G102" i="8"/>
  <c r="G145" i="8" s="1"/>
  <c r="G85" i="22"/>
  <c r="C85" i="9"/>
  <c r="C102" i="9" s="1"/>
  <c r="B27" i="14"/>
  <c r="E85" i="9"/>
  <c r="E102" i="9" s="1"/>
  <c r="D102" i="8"/>
  <c r="D145" i="8" s="1"/>
  <c r="C102" i="8"/>
  <c r="C145" i="8" s="1"/>
  <c r="F348" i="7"/>
  <c r="I365" i="22"/>
  <c r="E348" i="7"/>
  <c r="J14" i="23"/>
  <c r="H237" i="22"/>
  <c r="J9" i="23"/>
  <c r="H85" i="22"/>
  <c r="F883" i="22"/>
  <c r="E53" i="22"/>
  <c r="H178" i="22"/>
  <c r="H1075" i="22"/>
  <c r="I334" i="22"/>
  <c r="F53" i="22"/>
  <c r="D597" i="22"/>
  <c r="F819" i="22"/>
  <c r="F947" i="22"/>
  <c r="H301" i="22"/>
  <c r="D348" i="7"/>
  <c r="C348" i="7"/>
  <c r="J462" i="22"/>
  <c r="K462" i="22" s="1"/>
  <c r="J461" i="22"/>
  <c r="I88" i="9"/>
  <c r="I105" i="9" s="1"/>
  <c r="I121" i="9" s="1"/>
  <c r="B77" i="8"/>
  <c r="E77" i="8"/>
  <c r="D77" i="8"/>
  <c r="G77" i="8"/>
  <c r="B357" i="7"/>
  <c r="E88" i="9"/>
  <c r="E105" i="9" s="1"/>
  <c r="E121" i="9" s="1"/>
  <c r="H88" i="9"/>
  <c r="H105" i="9" s="1"/>
  <c r="H121" i="9" s="1"/>
  <c r="G88" i="9"/>
  <c r="G105" i="9" s="1"/>
  <c r="G121" i="9" s="1"/>
  <c r="J88" i="9"/>
  <c r="J105" i="9" s="1"/>
  <c r="J121" i="9" s="1"/>
  <c r="C77" i="8"/>
  <c r="B194" i="7"/>
  <c r="E166" i="22"/>
  <c r="J77" i="8"/>
  <c r="D88" i="9"/>
  <c r="D105" i="9" s="1"/>
  <c r="D121" i="9" s="1"/>
  <c r="C88" i="9"/>
  <c r="C105" i="9" s="1"/>
  <c r="F88" i="9"/>
  <c r="F105" i="9" s="1"/>
  <c r="D194" i="7"/>
  <c r="D375" i="7" s="1"/>
  <c r="B30" i="14"/>
  <c r="F77" i="8"/>
  <c r="I77" i="8"/>
  <c r="H77" i="8"/>
  <c r="B88" i="9"/>
  <c r="B105" i="9" s="1"/>
  <c r="B121" i="9" s="1"/>
  <c r="C194" i="7"/>
  <c r="C375" i="7" s="1"/>
  <c r="J398" i="22"/>
  <c r="J27" i="23"/>
  <c r="F643" i="22"/>
  <c r="C88" i="8"/>
  <c r="B88" i="8"/>
  <c r="D88" i="8"/>
  <c r="D770" i="7"/>
  <c r="B29" i="10"/>
  <c r="B40" i="10" s="1"/>
  <c r="D56" i="10" s="1"/>
  <c r="E56" i="10" s="1"/>
  <c r="G56" i="10" s="1"/>
  <c r="K68" i="10" s="1"/>
  <c r="I88" i="8"/>
  <c r="D734" i="7"/>
  <c r="C512" i="22"/>
  <c r="J88" i="8"/>
  <c r="E88" i="8"/>
  <c r="C734" i="7"/>
  <c r="G88" i="8"/>
  <c r="F88" i="8"/>
  <c r="H88" i="8"/>
  <c r="B734" i="7"/>
  <c r="E734" i="7" s="1"/>
  <c r="B770" i="7" s="1"/>
  <c r="C770" i="7" s="1"/>
  <c r="J19" i="23"/>
  <c r="L397" i="22"/>
  <c r="M397" i="22"/>
  <c r="F1075" i="22"/>
  <c r="F755" i="22"/>
  <c r="W29" i="23"/>
  <c r="G720" i="22"/>
  <c r="H819" i="22"/>
  <c r="H947" i="22"/>
  <c r="W27" i="23"/>
  <c r="F656" i="22"/>
  <c r="H302" i="22"/>
  <c r="B348" i="7"/>
  <c r="I348" i="7"/>
  <c r="H348" i="7"/>
  <c r="G348" i="7"/>
  <c r="F121" i="9"/>
  <c r="Y305" i="7"/>
  <c r="Y590" i="7" s="1"/>
  <c r="M305" i="7"/>
  <c r="M590" i="7" s="1"/>
  <c r="I305" i="7"/>
  <c r="I590" i="7" s="1"/>
  <c r="Q305" i="7"/>
  <c r="Q590" i="7" s="1"/>
  <c r="U305" i="7"/>
  <c r="U590" i="7" s="1"/>
  <c r="O305" i="7"/>
  <c r="O590" i="7" s="1"/>
  <c r="T305" i="7"/>
  <c r="T590" i="7" s="1"/>
  <c r="P305" i="7"/>
  <c r="P590" i="7" s="1"/>
  <c r="S305" i="7"/>
  <c r="S590" i="7" s="1"/>
  <c r="AA305" i="7"/>
  <c r="AA590" i="7" s="1"/>
  <c r="AC305" i="7"/>
  <c r="AC590" i="7" s="1"/>
  <c r="E305" i="7"/>
  <c r="E590" i="7" s="1"/>
  <c r="C305" i="7"/>
  <c r="C590" i="7" s="1"/>
  <c r="K305" i="7"/>
  <c r="K590" i="7" s="1"/>
  <c r="G305" i="7"/>
  <c r="G590" i="7" s="1"/>
  <c r="AJ305" i="7"/>
  <c r="AJ590" i="7" s="1"/>
  <c r="H305" i="7"/>
  <c r="H590" i="7" s="1"/>
  <c r="AE305" i="7"/>
  <c r="AE590" i="7" s="1"/>
  <c r="AG305" i="7"/>
  <c r="AG590" i="7" s="1"/>
  <c r="AI305" i="7"/>
  <c r="AI590" i="7" s="1"/>
  <c r="AB305" i="7"/>
  <c r="AB590" i="7" s="1"/>
  <c r="D305" i="7"/>
  <c r="D590" i="7" s="1"/>
  <c r="L305" i="7"/>
  <c r="L590" i="7" s="1"/>
  <c r="AK305" i="7"/>
  <c r="AK590" i="7" s="1"/>
  <c r="W305" i="7"/>
  <c r="W590" i="7" s="1"/>
  <c r="AF305" i="7"/>
  <c r="AF590" i="7" s="1"/>
  <c r="X305" i="7"/>
  <c r="X590" i="7" s="1"/>
  <c r="B449" i="7"/>
  <c r="E217" i="7"/>
  <c r="B243" i="7" s="1"/>
  <c r="C243" i="7" s="1"/>
  <c r="AC303" i="7"/>
  <c r="AC588" i="7" s="1"/>
  <c r="AE303" i="7"/>
  <c r="AE588" i="7" s="1"/>
  <c r="Y303" i="7"/>
  <c r="Y588" i="7" s="1"/>
  <c r="M303" i="7"/>
  <c r="M588" i="7" s="1"/>
  <c r="O303" i="7"/>
  <c r="O588" i="7" s="1"/>
  <c r="I303" i="7"/>
  <c r="I588" i="7" s="1"/>
  <c r="U303" i="7"/>
  <c r="U588" i="7" s="1"/>
  <c r="C303" i="7"/>
  <c r="C588" i="7" s="1"/>
  <c r="AK303" i="7"/>
  <c r="AK588" i="7" s="1"/>
  <c r="E303" i="7"/>
  <c r="E588" i="7" s="1"/>
  <c r="P303" i="7"/>
  <c r="P588" i="7" s="1"/>
  <c r="Q303" i="7"/>
  <c r="Q588" i="7" s="1"/>
  <c r="AG303" i="7"/>
  <c r="AG588" i="7" s="1"/>
  <c r="AJ303" i="7"/>
  <c r="AJ588" i="7" s="1"/>
  <c r="L303" i="7"/>
  <c r="L588" i="7" s="1"/>
  <c r="AA303" i="7"/>
  <c r="AA588" i="7" s="1"/>
  <c r="T303" i="7"/>
  <c r="T588" i="7" s="1"/>
  <c r="K303" i="7"/>
  <c r="K588" i="7" s="1"/>
  <c r="AF303" i="7"/>
  <c r="AF588" i="7" s="1"/>
  <c r="D303" i="7"/>
  <c r="D588" i="7" s="1"/>
  <c r="S303" i="7"/>
  <c r="S588" i="7" s="1"/>
  <c r="AI303" i="7"/>
  <c r="AI588" i="7" s="1"/>
  <c r="G303" i="7"/>
  <c r="G588" i="7" s="1"/>
  <c r="W303" i="7"/>
  <c r="W588" i="7" s="1"/>
  <c r="H303" i="7"/>
  <c r="H588" i="7" s="1"/>
  <c r="AB303" i="7"/>
  <c r="AB588" i="7" s="1"/>
  <c r="X303" i="7"/>
  <c r="X588" i="7" s="1"/>
  <c r="I304" i="7"/>
  <c r="I589" i="7" s="1"/>
  <c r="AE304" i="7"/>
  <c r="AE589" i="7" s="1"/>
  <c r="O304" i="7"/>
  <c r="O589" i="7" s="1"/>
  <c r="M304" i="7"/>
  <c r="M589" i="7" s="1"/>
  <c r="Y304" i="7"/>
  <c r="Y589" i="7" s="1"/>
  <c r="Q304" i="7"/>
  <c r="Q589" i="7" s="1"/>
  <c r="H304" i="7"/>
  <c r="H589" i="7" s="1"/>
  <c r="AI304" i="7"/>
  <c r="AI589" i="7" s="1"/>
  <c r="X304" i="7"/>
  <c r="X589" i="7" s="1"/>
  <c r="P304" i="7"/>
  <c r="P589" i="7" s="1"/>
  <c r="C304" i="7"/>
  <c r="C589" i="7" s="1"/>
  <c r="AJ304" i="7"/>
  <c r="AJ589" i="7" s="1"/>
  <c r="AB304" i="7"/>
  <c r="AB589" i="7" s="1"/>
  <c r="AC304" i="7"/>
  <c r="AC589" i="7" s="1"/>
  <c r="S304" i="7"/>
  <c r="S589" i="7" s="1"/>
  <c r="E304" i="7"/>
  <c r="E589" i="7" s="1"/>
  <c r="K304" i="7"/>
  <c r="K589" i="7" s="1"/>
  <c r="AK304" i="7"/>
  <c r="AK589" i="7" s="1"/>
  <c r="AG304" i="7"/>
  <c r="AG589" i="7" s="1"/>
  <c r="L304" i="7"/>
  <c r="L589" i="7" s="1"/>
  <c r="W304" i="7"/>
  <c r="W589" i="7" s="1"/>
  <c r="U304" i="7"/>
  <c r="U589" i="7" s="1"/>
  <c r="D304" i="7"/>
  <c r="D589" i="7" s="1"/>
  <c r="T304" i="7"/>
  <c r="T589" i="7" s="1"/>
  <c r="AA304" i="7"/>
  <c r="AA589" i="7" s="1"/>
  <c r="G304" i="7"/>
  <c r="G589" i="7" s="1"/>
  <c r="AF304" i="7"/>
  <c r="AF589" i="7" s="1"/>
  <c r="B448" i="7"/>
  <c r="E216" i="7"/>
  <c r="B242" i="7" s="1"/>
  <c r="C242" i="7" s="1"/>
  <c r="E612" i="7"/>
  <c r="E889" i="7" s="1"/>
  <c r="E636" i="7"/>
  <c r="E918" i="7" s="1"/>
  <c r="I636" i="7"/>
  <c r="I918" i="7" s="1"/>
  <c r="I612" i="7"/>
  <c r="I889" i="7" s="1"/>
  <c r="I35" i="8" s="1"/>
  <c r="I123" i="8" s="1"/>
  <c r="I137" i="9" s="1"/>
  <c r="H612" i="7"/>
  <c r="H889" i="7" s="1"/>
  <c r="H636" i="7"/>
  <c r="H918" i="7" s="1"/>
  <c r="G636" i="7"/>
  <c r="G918" i="7" s="1"/>
  <c r="G612" i="7"/>
  <c r="G889" i="7" s="1"/>
  <c r="G35" i="8" s="1"/>
  <c r="G123" i="8" s="1"/>
  <c r="G137" i="9" s="1"/>
  <c r="D636" i="7"/>
  <c r="D918" i="7" s="1"/>
  <c r="D612" i="7"/>
  <c r="D889" i="7" s="1"/>
  <c r="C636" i="7"/>
  <c r="C918" i="7" s="1"/>
  <c r="C612" i="7"/>
  <c r="C889" i="7" s="1"/>
  <c r="C35" i="8" s="1"/>
  <c r="C123" i="8" s="1"/>
  <c r="C137" i="9" s="1"/>
  <c r="AF298" i="7"/>
  <c r="AF583" i="7" s="1"/>
  <c r="H298" i="7"/>
  <c r="H583" i="7" s="1"/>
  <c r="L298" i="7"/>
  <c r="L583" i="7" s="1"/>
  <c r="P298" i="7"/>
  <c r="P583" i="7" s="1"/>
  <c r="AJ298" i="7"/>
  <c r="AJ583" i="7" s="1"/>
  <c r="AA298" i="7"/>
  <c r="AA583" i="7" s="1"/>
  <c r="T298" i="7"/>
  <c r="T583" i="7" s="1"/>
  <c r="K298" i="7"/>
  <c r="K583" i="7" s="1"/>
  <c r="AE298" i="7"/>
  <c r="AE583" i="7" s="1"/>
  <c r="D298" i="7"/>
  <c r="D583" i="7" s="1"/>
  <c r="X298" i="7"/>
  <c r="X583" i="7" s="1"/>
  <c r="AB298" i="7"/>
  <c r="AB583" i="7" s="1"/>
  <c r="O298" i="7"/>
  <c r="O583" i="7" s="1"/>
  <c r="AI298" i="7"/>
  <c r="AI583" i="7" s="1"/>
  <c r="W298" i="7"/>
  <c r="W583" i="7" s="1"/>
  <c r="AK298" i="7"/>
  <c r="AK583" i="7" s="1"/>
  <c r="Q298" i="7"/>
  <c r="Q583" i="7" s="1"/>
  <c r="S298" i="7"/>
  <c r="S583" i="7" s="1"/>
  <c r="G298" i="7"/>
  <c r="G583" i="7" s="1"/>
  <c r="U298" i="7"/>
  <c r="U583" i="7" s="1"/>
  <c r="C298" i="7"/>
  <c r="C583" i="7" s="1"/>
  <c r="E298" i="7"/>
  <c r="E583" i="7" s="1"/>
  <c r="Y298" i="7"/>
  <c r="Y583" i="7" s="1"/>
  <c r="AC298" i="7"/>
  <c r="AC583" i="7" s="1"/>
  <c r="I298" i="7"/>
  <c r="I583" i="7" s="1"/>
  <c r="M298" i="7"/>
  <c r="M583" i="7" s="1"/>
  <c r="AG298" i="7"/>
  <c r="AG583" i="7" s="1"/>
  <c r="X300" i="7"/>
  <c r="X585" i="7" s="1"/>
  <c r="D300" i="7"/>
  <c r="D585" i="7" s="1"/>
  <c r="AI300" i="7"/>
  <c r="AI585" i="7" s="1"/>
  <c r="H300" i="7"/>
  <c r="H585" i="7" s="1"/>
  <c r="AB300" i="7"/>
  <c r="AB585" i="7" s="1"/>
  <c r="S300" i="7"/>
  <c r="S585" i="7" s="1"/>
  <c r="L300" i="7"/>
  <c r="L585" i="7" s="1"/>
  <c r="AF300" i="7"/>
  <c r="AF585" i="7" s="1"/>
  <c r="AJ300" i="7"/>
  <c r="AJ585" i="7" s="1"/>
  <c r="C300" i="7"/>
  <c r="C585" i="7" s="1"/>
  <c r="W300" i="7"/>
  <c r="W585" i="7" s="1"/>
  <c r="P300" i="7"/>
  <c r="P585" i="7" s="1"/>
  <c r="T300" i="7"/>
  <c r="T585" i="7" s="1"/>
  <c r="G300" i="7"/>
  <c r="G585" i="7" s="1"/>
  <c r="AA300" i="7"/>
  <c r="AA585" i="7" s="1"/>
  <c r="K300" i="7"/>
  <c r="K585" i="7" s="1"/>
  <c r="O300" i="7"/>
  <c r="O585" i="7" s="1"/>
  <c r="AC300" i="7"/>
  <c r="AC585" i="7" s="1"/>
  <c r="I300" i="7"/>
  <c r="I585" i="7" s="1"/>
  <c r="M300" i="7"/>
  <c r="M585" i="7" s="1"/>
  <c r="AG300" i="7"/>
  <c r="AG585" i="7" s="1"/>
  <c r="AK300" i="7"/>
  <c r="AK585" i="7" s="1"/>
  <c r="Q300" i="7"/>
  <c r="Q585" i="7" s="1"/>
  <c r="U300" i="7"/>
  <c r="U585" i="7" s="1"/>
  <c r="AE300" i="7"/>
  <c r="AE585" i="7" s="1"/>
  <c r="E300" i="7"/>
  <c r="E585" i="7" s="1"/>
  <c r="Y300" i="7"/>
  <c r="Y585" i="7" s="1"/>
  <c r="F636" i="7"/>
  <c r="F918" i="7" s="1"/>
  <c r="F612" i="7"/>
  <c r="F889" i="7" s="1"/>
  <c r="F35" i="8" s="1"/>
  <c r="F123" i="8" s="1"/>
  <c r="F137" i="9" s="1"/>
  <c r="J636" i="7"/>
  <c r="J918" i="7" s="1"/>
  <c r="J612" i="7"/>
  <c r="J889" i="7" s="1"/>
  <c r="T293" i="7"/>
  <c r="T365" i="7" s="1"/>
  <c r="AE293" i="7"/>
  <c r="AE365" i="7" s="1"/>
  <c r="D293" i="7"/>
  <c r="D365" i="7" s="1"/>
  <c r="X293" i="7"/>
  <c r="X365" i="7" s="1"/>
  <c r="O293" i="7"/>
  <c r="O365" i="7" s="1"/>
  <c r="AI293" i="7"/>
  <c r="AI365" i="7" s="1"/>
  <c r="H293" i="7"/>
  <c r="H365" i="7" s="1"/>
  <c r="AB293" i="7"/>
  <c r="AB365" i="7" s="1"/>
  <c r="AF293" i="7"/>
  <c r="AF365" i="7" s="1"/>
  <c r="S293" i="7"/>
  <c r="S365" i="7" s="1"/>
  <c r="AJ293" i="7"/>
  <c r="AJ365" i="7" s="1"/>
  <c r="L293" i="7"/>
  <c r="L365" i="7" s="1"/>
  <c r="P293" i="7"/>
  <c r="P365" i="7" s="1"/>
  <c r="C293" i="7"/>
  <c r="C365" i="7" s="1"/>
  <c r="W293" i="7"/>
  <c r="W365" i="7" s="1"/>
  <c r="K293" i="7"/>
  <c r="K365" i="7" s="1"/>
  <c r="Y293" i="7"/>
  <c r="Y365" i="7" s="1"/>
  <c r="E293" i="7"/>
  <c r="E365" i="7" s="1"/>
  <c r="G293" i="7"/>
  <c r="G365" i="7" s="1"/>
  <c r="I293" i="7"/>
  <c r="I365" i="7" s="1"/>
  <c r="AC293" i="7"/>
  <c r="AC365" i="7" s="1"/>
  <c r="AG293" i="7"/>
  <c r="AG365" i="7" s="1"/>
  <c r="M293" i="7"/>
  <c r="M365" i="7" s="1"/>
  <c r="Q293" i="7"/>
  <c r="Q365" i="7" s="1"/>
  <c r="AK293" i="7"/>
  <c r="AK365" i="7" s="1"/>
  <c r="AA293" i="7"/>
  <c r="AA365" i="7" s="1"/>
  <c r="U293" i="7"/>
  <c r="U365" i="7" s="1"/>
  <c r="B636" i="7"/>
  <c r="B918" i="7" s="1"/>
  <c r="B106" i="12" s="1"/>
  <c r="B109" i="13" s="1"/>
  <c r="B66" i="16" s="1"/>
  <c r="B612" i="7"/>
  <c r="B889" i="7" s="1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E656" i="22"/>
  <c r="E644" i="22"/>
  <c r="E643" i="22"/>
  <c r="G900" i="22"/>
  <c r="G912" i="22"/>
  <c r="G897" i="22"/>
  <c r="G895" i="22"/>
  <c r="G893" i="22"/>
  <c r="G891" i="22"/>
  <c r="G911" i="22"/>
  <c r="G910" i="22"/>
  <c r="I900" i="22"/>
  <c r="I899" i="22"/>
  <c r="I912" i="22"/>
  <c r="G899" i="22"/>
  <c r="G898" i="22"/>
  <c r="G896" i="22"/>
  <c r="G894" i="22"/>
  <c r="G892" i="22"/>
  <c r="I430" i="22"/>
  <c r="K429" i="22"/>
  <c r="I440" i="22"/>
  <c r="K430" i="22"/>
  <c r="I441" i="22"/>
  <c r="I429" i="22"/>
  <c r="F720" i="22"/>
  <c r="F707" i="22"/>
  <c r="F708" i="22"/>
  <c r="I409" i="22"/>
  <c r="K398" i="22"/>
  <c r="I397" i="22"/>
  <c r="I408" i="22"/>
  <c r="I398" i="22"/>
  <c r="K397" i="22"/>
  <c r="D52" i="4"/>
  <c r="C53" i="4"/>
  <c r="B83" i="4"/>
  <c r="E881" i="22"/>
  <c r="E878" i="22"/>
  <c r="E879" i="22"/>
  <c r="E880" i="22"/>
  <c r="E877" i="22"/>
  <c r="E876" i="22"/>
  <c r="E875" i="22"/>
  <c r="E874" i="22"/>
  <c r="E873" i="22"/>
  <c r="E872" i="22"/>
  <c r="E871" i="22"/>
  <c r="E870" i="22"/>
  <c r="E869" i="22"/>
  <c r="E868" i="22"/>
  <c r="E867" i="22"/>
  <c r="E866" i="22"/>
  <c r="E865" i="22"/>
  <c r="E864" i="22"/>
  <c r="E863" i="22"/>
  <c r="E862" i="22"/>
  <c r="E861" i="22"/>
  <c r="E860" i="22"/>
  <c r="E859" i="22"/>
  <c r="E1009" i="22"/>
  <c r="E1005" i="22"/>
  <c r="E1001" i="22"/>
  <c r="E997" i="22"/>
  <c r="E993" i="22"/>
  <c r="E989" i="22"/>
  <c r="E1006" i="22"/>
  <c r="E1002" i="22"/>
  <c r="E998" i="22"/>
  <c r="E994" i="22"/>
  <c r="E990" i="22"/>
  <c r="E1007" i="22"/>
  <c r="E1003" i="22"/>
  <c r="E999" i="22"/>
  <c r="E995" i="22"/>
  <c r="E991" i="22"/>
  <c r="E987" i="22"/>
  <c r="E1008" i="22"/>
  <c r="E1004" i="22"/>
  <c r="E1000" i="22"/>
  <c r="E996" i="22"/>
  <c r="E992" i="22"/>
  <c r="E988" i="22"/>
  <c r="F333" i="22"/>
  <c r="F345" i="22"/>
  <c r="H334" i="22"/>
  <c r="F344" i="22"/>
  <c r="H333" i="22"/>
  <c r="F334" i="22"/>
  <c r="G238" i="22"/>
  <c r="E238" i="22"/>
  <c r="E237" i="22"/>
  <c r="E249" i="22"/>
  <c r="E248" i="22"/>
  <c r="G237" i="22"/>
  <c r="I784" i="22"/>
  <c r="G771" i="22"/>
  <c r="G772" i="22"/>
  <c r="G784" i="22"/>
  <c r="G769" i="22"/>
  <c r="G767" i="22"/>
  <c r="G765" i="22"/>
  <c r="G763" i="22"/>
  <c r="G783" i="22"/>
  <c r="G782" i="22"/>
  <c r="I772" i="22"/>
  <c r="I771" i="22"/>
  <c r="G770" i="22"/>
  <c r="G768" i="22"/>
  <c r="G766" i="22"/>
  <c r="G764" i="22"/>
  <c r="E312" i="22"/>
  <c r="G302" i="22"/>
  <c r="G301" i="22"/>
  <c r="E313" i="22"/>
  <c r="E302" i="22"/>
  <c r="E301" i="22"/>
  <c r="I462" i="22"/>
  <c r="K461" i="22"/>
  <c r="I473" i="22"/>
  <c r="I461" i="22"/>
  <c r="I472" i="22"/>
  <c r="E688" i="22"/>
  <c r="E687" i="22"/>
  <c r="E686" i="22"/>
  <c r="E685" i="22"/>
  <c r="E684" i="22"/>
  <c r="E683" i="22"/>
  <c r="E682" i="22"/>
  <c r="E681" i="22"/>
  <c r="E680" i="22"/>
  <c r="E689" i="22"/>
  <c r="E677" i="22"/>
  <c r="E673" i="22"/>
  <c r="E669" i="22"/>
  <c r="E676" i="22"/>
  <c r="E672" i="22"/>
  <c r="E668" i="22"/>
  <c r="E679" i="22"/>
  <c r="E675" i="22"/>
  <c r="E671" i="22"/>
  <c r="E667" i="22"/>
  <c r="E678" i="22"/>
  <c r="E674" i="22"/>
  <c r="E670" i="22"/>
  <c r="F365" i="22"/>
  <c r="F377" i="22"/>
  <c r="H366" i="22"/>
  <c r="F376" i="22"/>
  <c r="H365" i="22"/>
  <c r="F366" i="22"/>
  <c r="AJ292" i="7" l="1"/>
  <c r="AJ319" i="7" s="1"/>
  <c r="T292" i="7"/>
  <c r="T319" i="7" s="1"/>
  <c r="AI292" i="7"/>
  <c r="AI319" i="7" s="1"/>
  <c r="S292" i="7"/>
  <c r="S319" i="7" s="1"/>
  <c r="F347" i="7" s="1"/>
  <c r="E292" i="7"/>
  <c r="E319" i="7" s="1"/>
  <c r="AC292" i="7"/>
  <c r="AC319" i="7" s="1"/>
  <c r="AK292" i="7"/>
  <c r="AK319" i="7" s="1"/>
  <c r="X292" i="7"/>
  <c r="X319" i="7" s="1"/>
  <c r="U292" i="7"/>
  <c r="U319" i="7" s="1"/>
  <c r="C292" i="7"/>
  <c r="C319" i="7" s="1"/>
  <c r="G292" i="7"/>
  <c r="G319" i="7" s="1"/>
  <c r="K292" i="7"/>
  <c r="K319" i="7" s="1"/>
  <c r="Q292" i="7"/>
  <c r="Q319" i="7" s="1"/>
  <c r="Y292" i="7"/>
  <c r="Y319" i="7" s="1"/>
  <c r="I292" i="7"/>
  <c r="I319" i="7" s="1"/>
  <c r="L292" i="7"/>
  <c r="L319" i="7" s="1"/>
  <c r="W292" i="7"/>
  <c r="W319" i="7" s="1"/>
  <c r="H292" i="7"/>
  <c r="H319" i="7" s="1"/>
  <c r="AA292" i="7"/>
  <c r="AA319" i="7" s="1"/>
  <c r="AF292" i="7"/>
  <c r="AF319" i="7" s="1"/>
  <c r="P292" i="7"/>
  <c r="P319" i="7" s="1"/>
  <c r="D292" i="7"/>
  <c r="D319" i="7" s="1"/>
  <c r="AB292" i="7"/>
  <c r="AB319" i="7" s="1"/>
  <c r="AE292" i="7"/>
  <c r="AE319" i="7" s="1"/>
  <c r="O292" i="7"/>
  <c r="O319" i="7" s="1"/>
  <c r="E347" i="7" s="1"/>
  <c r="AG292" i="7"/>
  <c r="AG319" i="7" s="1"/>
  <c r="M292" i="7"/>
  <c r="M319" i="7" s="1"/>
  <c r="E54" i="22"/>
  <c r="E42" i="22"/>
  <c r="J35" i="8"/>
  <c r="J123" i="8" s="1"/>
  <c r="J137" i="9" s="1"/>
  <c r="D35" i="8"/>
  <c r="D123" i="8" s="1"/>
  <c r="D137" i="9" s="1"/>
  <c r="C121" i="9"/>
  <c r="D486" i="7"/>
  <c r="C486" i="7"/>
  <c r="B486" i="7"/>
  <c r="E1011" i="22"/>
  <c r="C384" i="7"/>
  <c r="G384" i="7"/>
  <c r="B782" i="7"/>
  <c r="Y842" i="7" s="1"/>
  <c r="E691" i="22"/>
  <c r="E883" i="22"/>
  <c r="E755" i="22"/>
  <c r="H384" i="7"/>
  <c r="B384" i="7"/>
  <c r="F384" i="7"/>
  <c r="J384" i="7"/>
  <c r="I384" i="7"/>
  <c r="C44" i="14"/>
  <c r="C63" i="14" s="1"/>
  <c r="B44" i="14"/>
  <c r="B63" i="14" s="1"/>
  <c r="D44" i="14"/>
  <c r="D63" i="14" s="1"/>
  <c r="E44" i="14"/>
  <c r="E63" i="14" s="1"/>
  <c r="K21" i="23"/>
  <c r="L462" i="22"/>
  <c r="M462" i="22"/>
  <c r="E384" i="7"/>
  <c r="E472" i="7" s="1"/>
  <c r="D487" i="7"/>
  <c r="C487" i="7"/>
  <c r="D384" i="7"/>
  <c r="D523" i="22"/>
  <c r="K19" i="23"/>
  <c r="L398" i="22"/>
  <c r="M398" i="22"/>
  <c r="E188" i="22"/>
  <c r="G178" i="22"/>
  <c r="E189" i="22"/>
  <c r="E178" i="22"/>
  <c r="G177" i="22"/>
  <c r="E177" i="22"/>
  <c r="F166" i="22"/>
  <c r="AF842" i="7"/>
  <c r="AJ842" i="7"/>
  <c r="Q842" i="7"/>
  <c r="E842" i="7"/>
  <c r="U842" i="7"/>
  <c r="G842" i="7"/>
  <c r="AA842" i="7"/>
  <c r="B375" i="7"/>
  <c r="B487" i="7" s="1"/>
  <c r="E194" i="7"/>
  <c r="B237" i="7" s="1"/>
  <c r="C237" i="7" s="1"/>
  <c r="J21" i="23"/>
  <c r="J46" i="23" s="1"/>
  <c r="L461" i="22"/>
  <c r="M461" i="22"/>
  <c r="J617" i="7"/>
  <c r="J894" i="7" s="1"/>
  <c r="J660" i="7"/>
  <c r="J943" i="7" s="1"/>
  <c r="J641" i="7"/>
  <c r="J923" i="7" s="1"/>
  <c r="C640" i="7"/>
  <c r="C922" i="7" s="1"/>
  <c r="C616" i="7"/>
  <c r="C893" i="7" s="1"/>
  <c r="C659" i="7"/>
  <c r="C942" i="7" s="1"/>
  <c r="J661" i="7"/>
  <c r="J944" i="7" s="1"/>
  <c r="J642" i="7"/>
  <c r="J924" i="7" s="1"/>
  <c r="J618" i="7"/>
  <c r="J895" i="7" s="1"/>
  <c r="F660" i="7"/>
  <c r="F943" i="7" s="1"/>
  <c r="F641" i="7"/>
  <c r="F923" i="7" s="1"/>
  <c r="F617" i="7"/>
  <c r="F894" i="7" s="1"/>
  <c r="B660" i="7"/>
  <c r="B943" i="7" s="1"/>
  <c r="B134" i="12" s="1"/>
  <c r="B128" i="13" s="1"/>
  <c r="B115" i="16" s="1"/>
  <c r="B641" i="7"/>
  <c r="B923" i="7" s="1"/>
  <c r="B111" i="12" s="1"/>
  <c r="B114" i="13" s="1"/>
  <c r="B71" i="16" s="1"/>
  <c r="B617" i="7"/>
  <c r="B894" i="7" s="1"/>
  <c r="E660" i="7"/>
  <c r="E943" i="7" s="1"/>
  <c r="E641" i="7"/>
  <c r="E923" i="7" s="1"/>
  <c r="E617" i="7"/>
  <c r="E894" i="7" s="1"/>
  <c r="J616" i="7"/>
  <c r="J893" i="7" s="1"/>
  <c r="J659" i="7"/>
  <c r="J942" i="7" s="1"/>
  <c r="J640" i="7"/>
  <c r="J922" i="7" s="1"/>
  <c r="D659" i="7"/>
  <c r="D942" i="7" s="1"/>
  <c r="D640" i="7"/>
  <c r="D922" i="7" s="1"/>
  <c r="D616" i="7"/>
  <c r="D893" i="7" s="1"/>
  <c r="I640" i="7"/>
  <c r="I922" i="7" s="1"/>
  <c r="I616" i="7"/>
  <c r="I893" i="7" s="1"/>
  <c r="I659" i="7"/>
  <c r="I942" i="7" s="1"/>
  <c r="C642" i="7"/>
  <c r="C924" i="7" s="1"/>
  <c r="C618" i="7"/>
  <c r="C895" i="7" s="1"/>
  <c r="C661" i="7"/>
  <c r="C944" i="7" s="1"/>
  <c r="C617" i="7"/>
  <c r="C894" i="7" s="1"/>
  <c r="C660" i="7"/>
  <c r="C943" i="7" s="1"/>
  <c r="C641" i="7"/>
  <c r="C923" i="7" s="1"/>
  <c r="I641" i="7"/>
  <c r="I923" i="7" s="1"/>
  <c r="I617" i="7"/>
  <c r="I894" i="7" s="1"/>
  <c r="I660" i="7"/>
  <c r="I943" i="7" s="1"/>
  <c r="F616" i="7"/>
  <c r="F893" i="7" s="1"/>
  <c r="F659" i="7"/>
  <c r="F942" i="7" s="1"/>
  <c r="F640" i="7"/>
  <c r="F922" i="7" s="1"/>
  <c r="E659" i="7"/>
  <c r="E942" i="7" s="1"/>
  <c r="E616" i="7"/>
  <c r="E893" i="7" s="1"/>
  <c r="E640" i="7"/>
  <c r="E922" i="7" s="1"/>
  <c r="I642" i="7"/>
  <c r="I924" i="7" s="1"/>
  <c r="I618" i="7"/>
  <c r="I895" i="7" s="1"/>
  <c r="I661" i="7"/>
  <c r="I944" i="7" s="1"/>
  <c r="D661" i="7"/>
  <c r="D944" i="7" s="1"/>
  <c r="D642" i="7"/>
  <c r="D924" i="7" s="1"/>
  <c r="D618" i="7"/>
  <c r="D895" i="7" s="1"/>
  <c r="H618" i="7"/>
  <c r="H895" i="7" s="1"/>
  <c r="H661" i="7"/>
  <c r="H944" i="7" s="1"/>
  <c r="H642" i="7"/>
  <c r="H924" i="7" s="1"/>
  <c r="E661" i="7"/>
  <c r="E944" i="7" s="1"/>
  <c r="E642" i="7"/>
  <c r="E924" i="7" s="1"/>
  <c r="E618" i="7"/>
  <c r="E895" i="7" s="1"/>
  <c r="Y301" i="7"/>
  <c r="Y439" i="7" s="1"/>
  <c r="M301" i="7"/>
  <c r="M439" i="7" s="1"/>
  <c r="I301" i="7"/>
  <c r="I439" i="7" s="1"/>
  <c r="AA301" i="7"/>
  <c r="AA439" i="7" s="1"/>
  <c r="E301" i="7"/>
  <c r="E439" i="7" s="1"/>
  <c r="U301" i="7"/>
  <c r="U439" i="7" s="1"/>
  <c r="AI301" i="7"/>
  <c r="AI439" i="7" s="1"/>
  <c r="G301" i="7"/>
  <c r="G439" i="7" s="1"/>
  <c r="Q301" i="7"/>
  <c r="Q439" i="7" s="1"/>
  <c r="H301" i="7"/>
  <c r="H439" i="7" s="1"/>
  <c r="T301" i="7"/>
  <c r="T439" i="7" s="1"/>
  <c r="K301" i="7"/>
  <c r="K439" i="7" s="1"/>
  <c r="L301" i="7"/>
  <c r="L439" i="7" s="1"/>
  <c r="AB301" i="7"/>
  <c r="AB439" i="7" s="1"/>
  <c r="S301" i="7"/>
  <c r="S439" i="7" s="1"/>
  <c r="C301" i="7"/>
  <c r="C439" i="7" s="1"/>
  <c r="O301" i="7"/>
  <c r="O439" i="7" s="1"/>
  <c r="D301" i="7"/>
  <c r="D439" i="7" s="1"/>
  <c r="AE301" i="7"/>
  <c r="AE439" i="7" s="1"/>
  <c r="P301" i="7"/>
  <c r="P439" i="7" s="1"/>
  <c r="AJ301" i="7"/>
  <c r="AJ439" i="7" s="1"/>
  <c r="AF301" i="7"/>
  <c r="AF439" i="7" s="1"/>
  <c r="AG301" i="7"/>
  <c r="AG439" i="7" s="1"/>
  <c r="AC301" i="7"/>
  <c r="AC439" i="7" s="1"/>
  <c r="W301" i="7"/>
  <c r="W439" i="7" s="1"/>
  <c r="AK301" i="7"/>
  <c r="AK439" i="7" s="1"/>
  <c r="X301" i="7"/>
  <c r="X439" i="7" s="1"/>
  <c r="H617" i="7"/>
  <c r="H894" i="7" s="1"/>
  <c r="H660" i="7"/>
  <c r="H943" i="7" s="1"/>
  <c r="H641" i="7"/>
  <c r="H923" i="7" s="1"/>
  <c r="G660" i="7"/>
  <c r="G943" i="7" s="1"/>
  <c r="G617" i="7"/>
  <c r="G894" i="7" s="1"/>
  <c r="G641" i="7"/>
  <c r="G923" i="7" s="1"/>
  <c r="D617" i="7"/>
  <c r="D894" i="7" s="1"/>
  <c r="D660" i="7"/>
  <c r="D943" i="7" s="1"/>
  <c r="D641" i="7"/>
  <c r="D923" i="7" s="1"/>
  <c r="G616" i="7"/>
  <c r="G893" i="7" s="1"/>
  <c r="G659" i="7"/>
  <c r="G942" i="7" s="1"/>
  <c r="G640" i="7"/>
  <c r="G922" i="7" s="1"/>
  <c r="H616" i="7"/>
  <c r="H893" i="7" s="1"/>
  <c r="H659" i="7"/>
  <c r="H942" i="7" s="1"/>
  <c r="H640" i="7"/>
  <c r="H922" i="7" s="1"/>
  <c r="B659" i="7"/>
  <c r="B942" i="7" s="1"/>
  <c r="B133" i="12" s="1"/>
  <c r="B127" i="13" s="1"/>
  <c r="B114" i="16" s="1"/>
  <c r="B640" i="7"/>
  <c r="B922" i="7" s="1"/>
  <c r="B110" i="12" s="1"/>
  <c r="B113" i="13" s="1"/>
  <c r="B70" i="16" s="1"/>
  <c r="B616" i="7"/>
  <c r="B893" i="7" s="1"/>
  <c r="AC302" i="7"/>
  <c r="AC440" i="7" s="1"/>
  <c r="M302" i="7"/>
  <c r="M440" i="7" s="1"/>
  <c r="Y302" i="7"/>
  <c r="Y440" i="7" s="1"/>
  <c r="AE302" i="7"/>
  <c r="AE440" i="7" s="1"/>
  <c r="I302" i="7"/>
  <c r="I440" i="7" s="1"/>
  <c r="U302" i="7"/>
  <c r="U440" i="7" s="1"/>
  <c r="C302" i="7"/>
  <c r="C440" i="7" s="1"/>
  <c r="AK302" i="7"/>
  <c r="AK440" i="7" s="1"/>
  <c r="E302" i="7"/>
  <c r="E440" i="7" s="1"/>
  <c r="H302" i="7"/>
  <c r="H440" i="7" s="1"/>
  <c r="T302" i="7"/>
  <c r="T440" i="7" s="1"/>
  <c r="G302" i="7"/>
  <c r="G440" i="7" s="1"/>
  <c r="P302" i="7"/>
  <c r="P440" i="7" s="1"/>
  <c r="AG302" i="7"/>
  <c r="AG440" i="7" s="1"/>
  <c r="L302" i="7"/>
  <c r="L440" i="7" s="1"/>
  <c r="O302" i="7"/>
  <c r="O440" i="7" s="1"/>
  <c r="AB302" i="7"/>
  <c r="AB440" i="7" s="1"/>
  <c r="D302" i="7"/>
  <c r="D440" i="7" s="1"/>
  <c r="AA302" i="7"/>
  <c r="AA440" i="7" s="1"/>
  <c r="Q302" i="7"/>
  <c r="Q440" i="7" s="1"/>
  <c r="S302" i="7"/>
  <c r="S440" i="7" s="1"/>
  <c r="AI302" i="7"/>
  <c r="AI440" i="7" s="1"/>
  <c r="W302" i="7"/>
  <c r="W440" i="7" s="1"/>
  <c r="AF302" i="7"/>
  <c r="AF440" i="7" s="1"/>
  <c r="X302" i="7"/>
  <c r="X440" i="7" s="1"/>
  <c r="K302" i="7"/>
  <c r="K440" i="7" s="1"/>
  <c r="AJ302" i="7"/>
  <c r="AJ440" i="7" s="1"/>
  <c r="G642" i="7"/>
  <c r="G924" i="7" s="1"/>
  <c r="G618" i="7"/>
  <c r="G895" i="7" s="1"/>
  <c r="G661" i="7"/>
  <c r="G944" i="7" s="1"/>
  <c r="B642" i="7"/>
  <c r="B924" i="7" s="1"/>
  <c r="B112" i="12" s="1"/>
  <c r="B115" i="13" s="1"/>
  <c r="B72" i="16" s="1"/>
  <c r="B618" i="7"/>
  <c r="B895" i="7" s="1"/>
  <c r="B661" i="7"/>
  <c r="B944" i="7" s="1"/>
  <c r="B135" i="12" s="1"/>
  <c r="B129" i="13" s="1"/>
  <c r="B116" i="16" s="1"/>
  <c r="F661" i="7"/>
  <c r="F944" i="7" s="1"/>
  <c r="F642" i="7"/>
  <c r="F924" i="7" s="1"/>
  <c r="F618" i="7"/>
  <c r="F895" i="7" s="1"/>
  <c r="I637" i="7"/>
  <c r="I919" i="7" s="1"/>
  <c r="I613" i="7"/>
  <c r="I890" i="7" s="1"/>
  <c r="E613" i="7"/>
  <c r="E890" i="7" s="1"/>
  <c r="E637" i="7"/>
  <c r="E919" i="7" s="1"/>
  <c r="D635" i="7"/>
  <c r="D917" i="7" s="1"/>
  <c r="D611" i="7"/>
  <c r="D888" i="7" s="1"/>
  <c r="D637" i="7"/>
  <c r="D919" i="7" s="1"/>
  <c r="D613" i="7"/>
  <c r="D890" i="7" s="1"/>
  <c r="C635" i="7"/>
  <c r="C917" i="7" s="1"/>
  <c r="C611" i="7"/>
  <c r="C888" i="7" s="1"/>
  <c r="G635" i="7"/>
  <c r="G917" i="7" s="1"/>
  <c r="G611" i="7"/>
  <c r="G888" i="7" s="1"/>
  <c r="B35" i="8"/>
  <c r="B123" i="8" s="1"/>
  <c r="B137" i="9" s="1"/>
  <c r="B74" i="12"/>
  <c r="B86" i="13" s="1"/>
  <c r="B22" i="16" s="1"/>
  <c r="H637" i="7"/>
  <c r="H919" i="7" s="1"/>
  <c r="H613" i="7"/>
  <c r="H890" i="7" s="1"/>
  <c r="G637" i="7"/>
  <c r="G919" i="7" s="1"/>
  <c r="G613" i="7"/>
  <c r="G890" i="7" s="1"/>
  <c r="J637" i="7"/>
  <c r="J919" i="7" s="1"/>
  <c r="J613" i="7"/>
  <c r="J890" i="7" s="1"/>
  <c r="F635" i="7"/>
  <c r="F917" i="7" s="1"/>
  <c r="F611" i="7"/>
  <c r="F888" i="7" s="1"/>
  <c r="J635" i="7"/>
  <c r="J917" i="7" s="1"/>
  <c r="J611" i="7"/>
  <c r="J888" i="7" s="1"/>
  <c r="H635" i="7"/>
  <c r="H917" i="7" s="1"/>
  <c r="H611" i="7"/>
  <c r="H888" i="7" s="1"/>
  <c r="C637" i="7"/>
  <c r="C919" i="7" s="1"/>
  <c r="C613" i="7"/>
  <c r="C890" i="7" s="1"/>
  <c r="B613" i="7"/>
  <c r="B890" i="7" s="1"/>
  <c r="B637" i="7"/>
  <c r="B919" i="7" s="1"/>
  <c r="B107" i="12" s="1"/>
  <c r="B110" i="13" s="1"/>
  <c r="B67" i="16" s="1"/>
  <c r="F637" i="7"/>
  <c r="F919" i="7" s="1"/>
  <c r="F613" i="7"/>
  <c r="F890" i="7" s="1"/>
  <c r="B611" i="7"/>
  <c r="B888" i="7" s="1"/>
  <c r="B635" i="7"/>
  <c r="B917" i="7" s="1"/>
  <c r="B105" i="12" s="1"/>
  <c r="B108" i="13" s="1"/>
  <c r="B65" i="16" s="1"/>
  <c r="E635" i="7"/>
  <c r="E917" i="7" s="1"/>
  <c r="E611" i="7"/>
  <c r="E888" i="7" s="1"/>
  <c r="I611" i="7"/>
  <c r="I888" i="7" s="1"/>
  <c r="I635" i="7"/>
  <c r="I917" i="7" s="1"/>
  <c r="H35" i="8"/>
  <c r="H123" i="8" s="1"/>
  <c r="H137" i="9" s="1"/>
  <c r="E35" i="8"/>
  <c r="E123" i="8" s="1"/>
  <c r="E137" i="9" s="1"/>
  <c r="D53" i="4"/>
  <c r="C54" i="4"/>
  <c r="B84" i="4"/>
  <c r="D347" i="7" l="1"/>
  <c r="I347" i="7"/>
  <c r="S842" i="7"/>
  <c r="O842" i="7"/>
  <c r="M842" i="7"/>
  <c r="AC842" i="7"/>
  <c r="I842" i="7"/>
  <c r="AK842" i="7"/>
  <c r="X842" i="7"/>
  <c r="D472" i="7"/>
  <c r="H347" i="7"/>
  <c r="H472" i="7" s="1"/>
  <c r="C347" i="7"/>
  <c r="J347" i="7"/>
  <c r="J472" i="7" s="1"/>
  <c r="I472" i="7"/>
  <c r="W842" i="7"/>
  <c r="AE842" i="7"/>
  <c r="L842" i="7"/>
  <c r="AB842" i="7"/>
  <c r="P842" i="7"/>
  <c r="AG842" i="7"/>
  <c r="F472" i="7"/>
  <c r="C472" i="7"/>
  <c r="B347" i="7"/>
  <c r="B472" i="7" s="1"/>
  <c r="K842" i="7"/>
  <c r="C842" i="7"/>
  <c r="AI842" i="7"/>
  <c r="D842" i="7"/>
  <c r="T842" i="7"/>
  <c r="H842" i="7"/>
  <c r="C851" i="7" s="1"/>
  <c r="C896" i="7" s="1"/>
  <c r="C16" i="8" s="1"/>
  <c r="C130" i="8" s="1"/>
  <c r="C144" i="9" s="1"/>
  <c r="G347" i="7"/>
  <c r="G472" i="7" s="1"/>
  <c r="I852" i="7"/>
  <c r="I897" i="7" s="1"/>
  <c r="I17" i="8" s="1"/>
  <c r="I131" i="8" s="1"/>
  <c r="I145" i="9" s="1"/>
  <c r="I851" i="7"/>
  <c r="I896" i="7" s="1"/>
  <c r="I16" i="8" s="1"/>
  <c r="I130" i="8" s="1"/>
  <c r="I144" i="9" s="1"/>
  <c r="I873" i="7"/>
  <c r="I945" i="7" s="1"/>
  <c r="I864" i="7"/>
  <c r="I925" i="7" s="1"/>
  <c r="I855" i="7"/>
  <c r="I900" i="7" s="1"/>
  <c r="I56" i="8" s="1"/>
  <c r="I134" i="8" s="1"/>
  <c r="I148" i="9" s="1"/>
  <c r="I854" i="7"/>
  <c r="I899" i="7" s="1"/>
  <c r="I19" i="8" s="1"/>
  <c r="I133" i="8" s="1"/>
  <c r="I147" i="9" s="1"/>
  <c r="I853" i="7"/>
  <c r="I898" i="7" s="1"/>
  <c r="I18" i="8" s="1"/>
  <c r="I132" i="8" s="1"/>
  <c r="I146" i="9" s="1"/>
  <c r="H53" i="8"/>
  <c r="H127" i="8" s="1"/>
  <c r="H141" i="9" s="1"/>
  <c r="H54" i="8"/>
  <c r="H128" i="8" s="1"/>
  <c r="H142" i="9" s="1"/>
  <c r="D851" i="7"/>
  <c r="D896" i="7" s="1"/>
  <c r="D16" i="8" s="1"/>
  <c r="D130" i="8" s="1"/>
  <c r="D144" i="9" s="1"/>
  <c r="D854" i="7"/>
  <c r="D899" i="7" s="1"/>
  <c r="D19" i="8" s="1"/>
  <c r="D133" i="8" s="1"/>
  <c r="D147" i="9" s="1"/>
  <c r="B852" i="7"/>
  <c r="B897" i="7" s="1"/>
  <c r="B855" i="7"/>
  <c r="B900" i="7" s="1"/>
  <c r="J852" i="7"/>
  <c r="J897" i="7" s="1"/>
  <c r="J17" i="8" s="1"/>
  <c r="J131" i="8" s="1"/>
  <c r="J145" i="9" s="1"/>
  <c r="J853" i="7"/>
  <c r="J898" i="7" s="1"/>
  <c r="J18" i="8" s="1"/>
  <c r="J132" i="8" s="1"/>
  <c r="J146" i="9" s="1"/>
  <c r="J873" i="7"/>
  <c r="J945" i="7" s="1"/>
  <c r="J864" i="7"/>
  <c r="J925" i="7" s="1"/>
  <c r="J855" i="7"/>
  <c r="J900" i="7" s="1"/>
  <c r="J854" i="7"/>
  <c r="J899" i="7" s="1"/>
  <c r="J19" i="8" s="1"/>
  <c r="J133" i="8" s="1"/>
  <c r="J147" i="9" s="1"/>
  <c r="J851" i="7"/>
  <c r="J896" i="7" s="1"/>
  <c r="J16" i="8" s="1"/>
  <c r="J130" i="8" s="1"/>
  <c r="J144" i="9" s="1"/>
  <c r="K46" i="23"/>
  <c r="E34" i="8"/>
  <c r="E122" i="8" s="1"/>
  <c r="E136" i="9" s="1"/>
  <c r="F36" i="8"/>
  <c r="F124" i="8" s="1"/>
  <c r="F138" i="9" s="1"/>
  <c r="C36" i="8"/>
  <c r="C124" i="8" s="1"/>
  <c r="C138" i="9" s="1"/>
  <c r="J34" i="8"/>
  <c r="J122" i="8" s="1"/>
  <c r="J136" i="9" s="1"/>
  <c r="J36" i="8"/>
  <c r="J124" i="8" s="1"/>
  <c r="J138" i="9" s="1"/>
  <c r="H55" i="8"/>
  <c r="H129" i="8" s="1"/>
  <c r="H143" i="9" s="1"/>
  <c r="E53" i="8"/>
  <c r="E127" i="8" s="1"/>
  <c r="E141" i="9" s="1"/>
  <c r="F53" i="8"/>
  <c r="F127" i="8" s="1"/>
  <c r="F141" i="9" s="1"/>
  <c r="C55" i="8"/>
  <c r="C129" i="8" s="1"/>
  <c r="C143" i="9" s="1"/>
  <c r="J55" i="8"/>
  <c r="J129" i="8" s="1"/>
  <c r="J143" i="9" s="1"/>
  <c r="C53" i="8"/>
  <c r="C127" i="8" s="1"/>
  <c r="C141" i="9" s="1"/>
  <c r="J54" i="8"/>
  <c r="J128" i="8" s="1"/>
  <c r="J142" i="9" s="1"/>
  <c r="H854" i="7"/>
  <c r="H899" i="7" s="1"/>
  <c r="H19" i="8" s="1"/>
  <c r="H133" i="8" s="1"/>
  <c r="H147" i="9" s="1"/>
  <c r="H853" i="7"/>
  <c r="H898" i="7" s="1"/>
  <c r="H18" i="8" s="1"/>
  <c r="H132" i="8" s="1"/>
  <c r="H146" i="9" s="1"/>
  <c r="H852" i="7"/>
  <c r="H897" i="7" s="1"/>
  <c r="H17" i="8" s="1"/>
  <c r="H131" i="8" s="1"/>
  <c r="H145" i="9" s="1"/>
  <c r="H851" i="7"/>
  <c r="H896" i="7" s="1"/>
  <c r="H16" i="8" s="1"/>
  <c r="H130" i="8" s="1"/>
  <c r="H144" i="9" s="1"/>
  <c r="H873" i="7"/>
  <c r="H945" i="7" s="1"/>
  <c r="H864" i="7"/>
  <c r="H925" i="7" s="1"/>
  <c r="H855" i="7"/>
  <c r="H900" i="7" s="1"/>
  <c r="C864" i="7"/>
  <c r="C925" i="7" s="1"/>
  <c r="G851" i="7"/>
  <c r="G896" i="7" s="1"/>
  <c r="G16" i="8" s="1"/>
  <c r="G130" i="8" s="1"/>
  <c r="G144" i="9" s="1"/>
  <c r="G873" i="7"/>
  <c r="G945" i="7" s="1"/>
  <c r="G864" i="7"/>
  <c r="G925" i="7" s="1"/>
  <c r="G855" i="7"/>
  <c r="G900" i="7" s="1"/>
  <c r="G854" i="7"/>
  <c r="G899" i="7" s="1"/>
  <c r="G19" i="8" s="1"/>
  <c r="G133" i="8" s="1"/>
  <c r="G147" i="9" s="1"/>
  <c r="G853" i="7"/>
  <c r="G898" i="7" s="1"/>
  <c r="G18" i="8" s="1"/>
  <c r="G132" i="8" s="1"/>
  <c r="G146" i="9" s="1"/>
  <c r="G852" i="7"/>
  <c r="G897" i="7" s="1"/>
  <c r="G17" i="8" s="1"/>
  <c r="G131" i="8" s="1"/>
  <c r="G145" i="9" s="1"/>
  <c r="T296" i="7"/>
  <c r="T366" i="7" s="1"/>
  <c r="AI296" i="7"/>
  <c r="AI366" i="7" s="1"/>
  <c r="L296" i="7"/>
  <c r="L366" i="7" s="1"/>
  <c r="W296" i="7"/>
  <c r="W366" i="7" s="1"/>
  <c r="Y296" i="7"/>
  <c r="Y366" i="7" s="1"/>
  <c r="M296" i="7"/>
  <c r="M366" i="7" s="1"/>
  <c r="Q296" i="7"/>
  <c r="Q366" i="7" s="1"/>
  <c r="G296" i="7"/>
  <c r="G366" i="7" s="1"/>
  <c r="H296" i="7"/>
  <c r="H366" i="7" s="1"/>
  <c r="AF296" i="7"/>
  <c r="AF366" i="7" s="1"/>
  <c r="K296" i="7"/>
  <c r="K366" i="7" s="1"/>
  <c r="O296" i="7"/>
  <c r="O366" i="7" s="1"/>
  <c r="AG296" i="7"/>
  <c r="AG366" i="7" s="1"/>
  <c r="U296" i="7"/>
  <c r="U366" i="7" s="1"/>
  <c r="X296" i="7"/>
  <c r="X366" i="7" s="1"/>
  <c r="AB296" i="7"/>
  <c r="AB366" i="7" s="1"/>
  <c r="AJ296" i="7"/>
  <c r="AJ366" i="7" s="1"/>
  <c r="AE296" i="7"/>
  <c r="AE366" i="7" s="1"/>
  <c r="AC296" i="7"/>
  <c r="AC366" i="7" s="1"/>
  <c r="AK296" i="7"/>
  <c r="AK366" i="7" s="1"/>
  <c r="P296" i="7"/>
  <c r="P366" i="7" s="1"/>
  <c r="D296" i="7"/>
  <c r="D366" i="7" s="1"/>
  <c r="S296" i="7"/>
  <c r="S366" i="7" s="1"/>
  <c r="C296" i="7"/>
  <c r="C366" i="7" s="1"/>
  <c r="E296" i="7"/>
  <c r="E366" i="7" s="1"/>
  <c r="I296" i="7"/>
  <c r="I366" i="7" s="1"/>
  <c r="AA296" i="7"/>
  <c r="AA366" i="7" s="1"/>
  <c r="H385" i="7" s="1"/>
  <c r="H473" i="7" s="1"/>
  <c r="F853" i="7"/>
  <c r="F898" i="7" s="1"/>
  <c r="F18" i="8" s="1"/>
  <c r="F132" i="8" s="1"/>
  <c r="F146" i="9" s="1"/>
  <c r="F864" i="7"/>
  <c r="F925" i="7" s="1"/>
  <c r="E854" i="7"/>
  <c r="E899" i="7" s="1"/>
  <c r="E19" i="8" s="1"/>
  <c r="E133" i="8" s="1"/>
  <c r="E147" i="9" s="1"/>
  <c r="E853" i="7"/>
  <c r="E898" i="7" s="1"/>
  <c r="E18" i="8" s="1"/>
  <c r="E132" i="8" s="1"/>
  <c r="E146" i="9" s="1"/>
  <c r="E852" i="7"/>
  <c r="E897" i="7" s="1"/>
  <c r="E17" i="8" s="1"/>
  <c r="E131" i="8" s="1"/>
  <c r="E145" i="9" s="1"/>
  <c r="E851" i="7"/>
  <c r="E896" i="7" s="1"/>
  <c r="E16" i="8" s="1"/>
  <c r="E130" i="8" s="1"/>
  <c r="E144" i="9" s="1"/>
  <c r="E873" i="7"/>
  <c r="E945" i="7" s="1"/>
  <c r="E864" i="7"/>
  <c r="E925" i="7" s="1"/>
  <c r="E855" i="7"/>
  <c r="E900" i="7" s="1"/>
  <c r="B77" i="14"/>
  <c r="B72" i="14"/>
  <c r="B76" i="14"/>
  <c r="B73" i="14"/>
  <c r="B79" i="14"/>
  <c r="B80" i="14"/>
  <c r="B74" i="14"/>
  <c r="B78" i="14"/>
  <c r="B75" i="14"/>
  <c r="G55" i="8"/>
  <c r="G129" i="8" s="1"/>
  <c r="G143" i="9" s="1"/>
  <c r="F459" i="7"/>
  <c r="F497" i="7"/>
  <c r="D54" i="8"/>
  <c r="D128" i="8" s="1"/>
  <c r="D142" i="9" s="1"/>
  <c r="D55" i="8"/>
  <c r="D129" i="8" s="1"/>
  <c r="D143" i="9" s="1"/>
  <c r="I55" i="8"/>
  <c r="I129" i="8" s="1"/>
  <c r="I143" i="9" s="1"/>
  <c r="D53" i="8"/>
  <c r="D127" i="8" s="1"/>
  <c r="D141" i="9" s="1"/>
  <c r="F54" i="8"/>
  <c r="F128" i="8" s="1"/>
  <c r="F142" i="9" s="1"/>
  <c r="H34" i="8"/>
  <c r="H122" i="8" s="1"/>
  <c r="H136" i="9" s="1"/>
  <c r="F34" i="8"/>
  <c r="F122" i="8" s="1"/>
  <c r="F136" i="9" s="1"/>
  <c r="G36" i="8"/>
  <c r="G124" i="8" s="1"/>
  <c r="G138" i="9" s="1"/>
  <c r="C34" i="8"/>
  <c r="C122" i="8" s="1"/>
  <c r="C136" i="9" s="1"/>
  <c r="D34" i="8"/>
  <c r="D122" i="8" s="1"/>
  <c r="D136" i="9" s="1"/>
  <c r="I36" i="8"/>
  <c r="I124" i="8" s="1"/>
  <c r="I138" i="9" s="1"/>
  <c r="F55" i="8"/>
  <c r="F129" i="8" s="1"/>
  <c r="F143" i="9" s="1"/>
  <c r="B80" i="12"/>
  <c r="B92" i="13" s="1"/>
  <c r="B28" i="16" s="1"/>
  <c r="B55" i="8"/>
  <c r="B129" i="8" s="1"/>
  <c r="B143" i="9" s="1"/>
  <c r="E497" i="7"/>
  <c r="E459" i="7"/>
  <c r="C497" i="7"/>
  <c r="C459" i="7"/>
  <c r="I459" i="7"/>
  <c r="I497" i="7"/>
  <c r="B78" i="12"/>
  <c r="B90" i="13" s="1"/>
  <c r="B26" i="16" s="1"/>
  <c r="B53" i="8"/>
  <c r="B127" i="8" s="1"/>
  <c r="B141" i="9" s="1"/>
  <c r="G53" i="8"/>
  <c r="G127" i="8" s="1"/>
  <c r="G141" i="9" s="1"/>
  <c r="G458" i="7"/>
  <c r="G496" i="7"/>
  <c r="E458" i="7"/>
  <c r="E496" i="7"/>
  <c r="E506" i="7" s="1"/>
  <c r="I54" i="8"/>
  <c r="I128" i="8" s="1"/>
  <c r="I142" i="9" s="1"/>
  <c r="C54" i="8"/>
  <c r="C128" i="8" s="1"/>
  <c r="C142" i="9" s="1"/>
  <c r="J53" i="8"/>
  <c r="J127" i="8" s="1"/>
  <c r="J141" i="9" s="1"/>
  <c r="B79" i="12"/>
  <c r="B91" i="13" s="1"/>
  <c r="B27" i="16" s="1"/>
  <c r="B54" i="8"/>
  <c r="B128" i="8" s="1"/>
  <c r="B142" i="9" s="1"/>
  <c r="G459" i="7"/>
  <c r="G497" i="7"/>
  <c r="H497" i="7"/>
  <c r="H459" i="7"/>
  <c r="B459" i="7"/>
  <c r="B497" i="7"/>
  <c r="G54" i="8"/>
  <c r="G128" i="8" s="1"/>
  <c r="G142" i="9" s="1"/>
  <c r="B458" i="7"/>
  <c r="B496" i="7"/>
  <c r="D496" i="7"/>
  <c r="D506" i="7" s="1"/>
  <c r="D458" i="7"/>
  <c r="C458" i="7"/>
  <c r="C496" i="7"/>
  <c r="C506" i="7" s="1"/>
  <c r="H458" i="7"/>
  <c r="H496" i="7"/>
  <c r="E55" i="8"/>
  <c r="E129" i="8" s="1"/>
  <c r="E143" i="9" s="1"/>
  <c r="I53" i="8"/>
  <c r="I127" i="8" s="1"/>
  <c r="I141" i="9" s="1"/>
  <c r="E54" i="8"/>
  <c r="E128" i="8" s="1"/>
  <c r="E142" i="9" s="1"/>
  <c r="D459" i="7"/>
  <c r="D497" i="7"/>
  <c r="J497" i="7"/>
  <c r="J459" i="7"/>
  <c r="I458" i="7"/>
  <c r="I496" i="7"/>
  <c r="I506" i="7" s="1"/>
  <c r="F458" i="7"/>
  <c r="F496" i="7"/>
  <c r="J458" i="7"/>
  <c r="J496" i="7"/>
  <c r="E36" i="8"/>
  <c r="E124" i="8" s="1"/>
  <c r="E138" i="9" s="1"/>
  <c r="H36" i="8"/>
  <c r="H124" i="8" s="1"/>
  <c r="H138" i="9" s="1"/>
  <c r="G34" i="8"/>
  <c r="G122" i="8" s="1"/>
  <c r="G136" i="9" s="1"/>
  <c r="D36" i="8"/>
  <c r="D124" i="8" s="1"/>
  <c r="D138" i="9" s="1"/>
  <c r="I34" i="8"/>
  <c r="I122" i="8" s="1"/>
  <c r="I136" i="9" s="1"/>
  <c r="B73" i="12"/>
  <c r="B85" i="13" s="1"/>
  <c r="B21" i="16" s="1"/>
  <c r="B34" i="8"/>
  <c r="B122" i="8" s="1"/>
  <c r="B136" i="9" s="1"/>
  <c r="B36" i="8"/>
  <c r="B124" i="8" s="1"/>
  <c r="B138" i="9" s="1"/>
  <c r="B75" i="12"/>
  <c r="B87" i="13" s="1"/>
  <c r="B23" i="16" s="1"/>
  <c r="D54" i="4"/>
  <c r="B192" i="9" s="1"/>
  <c r="H203" i="9" s="1"/>
  <c r="C55" i="4"/>
  <c r="B86" i="4" s="1"/>
  <c r="B114" i="4" s="1"/>
  <c r="B85" i="4"/>
  <c r="B113" i="4" s="1"/>
  <c r="B506" i="7" l="1"/>
  <c r="F855" i="7"/>
  <c r="F900" i="7" s="1"/>
  <c r="B873" i="7"/>
  <c r="B945" i="7" s="1"/>
  <c r="B136" i="12" s="1"/>
  <c r="D852" i="7"/>
  <c r="D897" i="7" s="1"/>
  <c r="D17" i="8" s="1"/>
  <c r="D131" i="8" s="1"/>
  <c r="D145" i="9" s="1"/>
  <c r="F506" i="7"/>
  <c r="F852" i="7"/>
  <c r="F897" i="7" s="1"/>
  <c r="F17" i="8" s="1"/>
  <c r="F131" i="8" s="1"/>
  <c r="F145" i="9" s="1"/>
  <c r="C855" i="7"/>
  <c r="C900" i="7" s="1"/>
  <c r="C56" i="8" s="1"/>
  <c r="C134" i="8" s="1"/>
  <c r="C148" i="9" s="1"/>
  <c r="C852" i="7"/>
  <c r="C897" i="7" s="1"/>
  <c r="C17" i="8" s="1"/>
  <c r="C131" i="8" s="1"/>
  <c r="C145" i="9" s="1"/>
  <c r="B854" i="7"/>
  <c r="B899" i="7" s="1"/>
  <c r="B851" i="7"/>
  <c r="B896" i="7" s="1"/>
  <c r="B16" i="8" s="1"/>
  <c r="B130" i="8" s="1"/>
  <c r="B144" i="9" s="1"/>
  <c r="D853" i="7"/>
  <c r="D898" i="7" s="1"/>
  <c r="D18" i="8" s="1"/>
  <c r="D132" i="8" s="1"/>
  <c r="D146" i="9" s="1"/>
  <c r="D873" i="7"/>
  <c r="D945" i="7" s="1"/>
  <c r="J506" i="7"/>
  <c r="F873" i="7"/>
  <c r="F945" i="7" s="1"/>
  <c r="F854" i="7"/>
  <c r="F899" i="7" s="1"/>
  <c r="F19" i="8" s="1"/>
  <c r="F133" i="8" s="1"/>
  <c r="F147" i="9" s="1"/>
  <c r="C853" i="7"/>
  <c r="C898" i="7" s="1"/>
  <c r="C18" i="8" s="1"/>
  <c r="C132" i="8" s="1"/>
  <c r="C146" i="9" s="1"/>
  <c r="C873" i="7"/>
  <c r="C945" i="7" s="1"/>
  <c r="B864" i="7"/>
  <c r="B925" i="7" s="1"/>
  <c r="B113" i="12" s="1"/>
  <c r="B116" i="13" s="1"/>
  <c r="B853" i="7"/>
  <c r="B898" i="7" s="1"/>
  <c r="B83" i="12" s="1"/>
  <c r="D855" i="7"/>
  <c r="D900" i="7" s="1"/>
  <c r="G506" i="7"/>
  <c r="H506" i="7"/>
  <c r="F851" i="7"/>
  <c r="F896" i="7" s="1"/>
  <c r="F16" i="8" s="1"/>
  <c r="F130" i="8" s="1"/>
  <c r="F144" i="9" s="1"/>
  <c r="C854" i="7"/>
  <c r="C899" i="7" s="1"/>
  <c r="C19" i="8" s="1"/>
  <c r="C133" i="8" s="1"/>
  <c r="C147" i="9" s="1"/>
  <c r="D864" i="7"/>
  <c r="D925" i="7" s="1"/>
  <c r="I385" i="7"/>
  <c r="I473" i="7" s="1"/>
  <c r="I507" i="7" s="1"/>
  <c r="I524" i="7" s="1"/>
  <c r="F385" i="7"/>
  <c r="F473" i="7" s="1"/>
  <c r="F507" i="7" s="1"/>
  <c r="F524" i="7" s="1"/>
  <c r="D385" i="7"/>
  <c r="D473" i="7" s="1"/>
  <c r="D507" i="7" s="1"/>
  <c r="D524" i="7" s="1"/>
  <c r="K544" i="7" s="1"/>
  <c r="K581" i="7" s="1"/>
  <c r="H507" i="7"/>
  <c r="J385" i="7"/>
  <c r="J473" i="7" s="1"/>
  <c r="J507" i="7" s="1"/>
  <c r="J524" i="7" s="1"/>
  <c r="B85" i="12"/>
  <c r="B17" i="8"/>
  <c r="B131" i="8" s="1"/>
  <c r="B145" i="9" s="1"/>
  <c r="B82" i="12"/>
  <c r="E56" i="8"/>
  <c r="E134" i="8" s="1"/>
  <c r="E148" i="9" s="1"/>
  <c r="B77" i="16"/>
  <c r="D56" i="8"/>
  <c r="D134" i="8" s="1"/>
  <c r="D148" i="9" s="1"/>
  <c r="B84" i="12"/>
  <c r="B19" i="8"/>
  <c r="B133" i="8" s="1"/>
  <c r="B147" i="9" s="1"/>
  <c r="F56" i="8"/>
  <c r="F134" i="8" s="1"/>
  <c r="F148" i="9" s="1"/>
  <c r="B385" i="7"/>
  <c r="B473" i="7" s="1"/>
  <c r="B507" i="7" s="1"/>
  <c r="B524" i="7" s="1"/>
  <c r="E385" i="7"/>
  <c r="E473" i="7" s="1"/>
  <c r="E507" i="7" s="1"/>
  <c r="E524" i="7" s="1"/>
  <c r="C385" i="7"/>
  <c r="C473" i="7" s="1"/>
  <c r="C507" i="7" s="1"/>
  <c r="C524" i="7" s="1"/>
  <c r="G385" i="7"/>
  <c r="G473" i="7" s="1"/>
  <c r="G507" i="7" s="1"/>
  <c r="G56" i="8"/>
  <c r="G134" i="8" s="1"/>
  <c r="G148" i="9" s="1"/>
  <c r="H56" i="8"/>
  <c r="H134" i="8" s="1"/>
  <c r="H148" i="9" s="1"/>
  <c r="J56" i="8"/>
  <c r="J134" i="8" s="1"/>
  <c r="J148" i="9" s="1"/>
  <c r="B121" i="16"/>
  <c r="B130" i="13"/>
  <c r="E523" i="7"/>
  <c r="O553" i="7" s="1"/>
  <c r="O579" i="7" s="1"/>
  <c r="F523" i="7"/>
  <c r="C523" i="7"/>
  <c r="B523" i="7"/>
  <c r="G523" i="7"/>
  <c r="J523" i="7"/>
  <c r="I523" i="7"/>
  <c r="H524" i="7"/>
  <c r="O543" i="7"/>
  <c r="O578" i="7" s="1"/>
  <c r="H523" i="7"/>
  <c r="D523" i="7"/>
  <c r="B130" i="4"/>
  <c r="C11" i="12" s="1"/>
  <c r="B118" i="4"/>
  <c r="B115" i="4"/>
  <c r="B119" i="4"/>
  <c r="B117" i="4"/>
  <c r="B116" i="4"/>
  <c r="B131" i="4"/>
  <c r="D11" i="12" s="1"/>
  <c r="B120" i="4"/>
  <c r="B186" i="9"/>
  <c r="B203" i="9" s="1"/>
  <c r="B11" i="13" s="1"/>
  <c r="B190" i="9"/>
  <c r="F203" i="9" s="1"/>
  <c r="B187" i="9"/>
  <c r="C203" i="9" s="1"/>
  <c r="C11" i="13" s="1"/>
  <c r="C37" i="13" s="1"/>
  <c r="B193" i="9"/>
  <c r="I203" i="9" s="1"/>
  <c r="B188" i="9"/>
  <c r="D203" i="9" s="1"/>
  <c r="B189" i="9"/>
  <c r="E203" i="9" s="1"/>
  <c r="B194" i="9"/>
  <c r="B191" i="9"/>
  <c r="G203" i="9" s="1"/>
  <c r="B37" i="13"/>
  <c r="B199" i="16" s="1"/>
  <c r="B42" i="13"/>
  <c r="B160" i="13"/>
  <c r="B40" i="13"/>
  <c r="B32" i="13"/>
  <c r="B94" i="14" s="1"/>
  <c r="B154" i="16" s="1"/>
  <c r="B33" i="13"/>
  <c r="B95" i="14" s="1"/>
  <c r="B155" i="16" s="1"/>
  <c r="B152" i="13"/>
  <c r="B147" i="13"/>
  <c r="B146" i="13"/>
  <c r="B153" i="13"/>
  <c r="B238" i="16" s="1"/>
  <c r="B29" i="13"/>
  <c r="B92" i="14" s="1"/>
  <c r="B151" i="16" s="1"/>
  <c r="B28" i="13"/>
  <c r="B91" i="14" s="1"/>
  <c r="B150" i="16" s="1"/>
  <c r="B41" i="13"/>
  <c r="B151" i="13"/>
  <c r="B35" i="13"/>
  <c r="B97" i="14" s="1"/>
  <c r="B157" i="16" s="1"/>
  <c r="B155" i="13"/>
  <c r="B240" i="16" s="1"/>
  <c r="B30" i="13"/>
  <c r="B145" i="13"/>
  <c r="B158" i="13"/>
  <c r="B156" i="13"/>
  <c r="B154" i="13"/>
  <c r="B239" i="16" s="1"/>
  <c r="B157" i="13"/>
  <c r="B150" i="13"/>
  <c r="B31" i="13"/>
  <c r="B93" i="14" s="1"/>
  <c r="B153" i="16" s="1"/>
  <c r="B149" i="13"/>
  <c r="B26" i="13"/>
  <c r="B90" i="14" s="1"/>
  <c r="B148" i="16" s="1"/>
  <c r="B39" i="13"/>
  <c r="B38" i="13"/>
  <c r="B200" i="16" s="1"/>
  <c r="B36" i="13"/>
  <c r="B198" i="16" s="1"/>
  <c r="B34" i="13"/>
  <c r="B96" i="14" s="1"/>
  <c r="B156" i="16" s="1"/>
  <c r="B144" i="13"/>
  <c r="B27" i="13"/>
  <c r="B43" i="13"/>
  <c r="B143" i="13"/>
  <c r="B142" i="13"/>
  <c r="B148" i="13"/>
  <c r="B159" i="13"/>
  <c r="B25" i="13"/>
  <c r="B89" i="14" s="1"/>
  <c r="B147" i="16" s="1"/>
  <c r="C36" i="13"/>
  <c r="C154" i="13"/>
  <c r="C40" i="13"/>
  <c r="C150" i="13"/>
  <c r="C147" i="13"/>
  <c r="C25" i="13"/>
  <c r="C89" i="14" s="1"/>
  <c r="C149" i="13"/>
  <c r="C34" i="13"/>
  <c r="C96" i="14" s="1"/>
  <c r="C41" i="13"/>
  <c r="C151" i="13"/>
  <c r="C26" i="13"/>
  <c r="C90" i="14" s="1"/>
  <c r="C142" i="13"/>
  <c r="C148" i="13"/>
  <c r="C146" i="13"/>
  <c r="C143" i="13"/>
  <c r="C144" i="13"/>
  <c r="C158" i="13"/>
  <c r="C33" i="13"/>
  <c r="C95" i="14" s="1"/>
  <c r="C145" i="13"/>
  <c r="C38" i="13"/>
  <c r="O533" i="7" l="1"/>
  <c r="O577" i="7" s="1"/>
  <c r="O564" i="7"/>
  <c r="O586" i="7" s="1"/>
  <c r="Q543" i="7"/>
  <c r="Q578" i="7" s="1"/>
  <c r="Q533" i="7"/>
  <c r="Q577" i="7" s="1"/>
  <c r="E605" i="7" s="1"/>
  <c r="E882" i="7" s="1"/>
  <c r="E12" i="8" s="1"/>
  <c r="E116" i="8" s="1"/>
  <c r="B81" i="12"/>
  <c r="P543" i="7"/>
  <c r="P578" i="7" s="1"/>
  <c r="P533" i="7"/>
  <c r="P577" i="7" s="1"/>
  <c r="B18" i="8"/>
  <c r="B132" i="8" s="1"/>
  <c r="B146" i="9" s="1"/>
  <c r="P553" i="7"/>
  <c r="P579" i="7" s="1"/>
  <c r="P564" i="7"/>
  <c r="P586" i="7" s="1"/>
  <c r="B56" i="8"/>
  <c r="B134" i="8" s="1"/>
  <c r="B148" i="9" s="1"/>
  <c r="B31" i="16"/>
  <c r="B95" i="13"/>
  <c r="B30" i="16"/>
  <c r="B94" i="13"/>
  <c r="M544" i="7"/>
  <c r="M581" i="7" s="1"/>
  <c r="L534" i="7"/>
  <c r="L580" i="7" s="1"/>
  <c r="K565" i="7"/>
  <c r="K587" i="7" s="1"/>
  <c r="L565" i="7"/>
  <c r="L587" i="7" s="1"/>
  <c r="K534" i="7"/>
  <c r="K580" i="7" s="1"/>
  <c r="M565" i="7"/>
  <c r="M587" i="7" s="1"/>
  <c r="M554" i="7"/>
  <c r="M582" i="7" s="1"/>
  <c r="M534" i="7"/>
  <c r="M580" i="7" s="1"/>
  <c r="L554" i="7"/>
  <c r="L582" i="7" s="1"/>
  <c r="K554" i="7"/>
  <c r="K582" i="7" s="1"/>
  <c r="B32" i="16"/>
  <c r="B96" i="13"/>
  <c r="B29" i="16"/>
  <c r="B93" i="13"/>
  <c r="G524" i="7"/>
  <c r="B97" i="13"/>
  <c r="B33" i="16"/>
  <c r="L544" i="7"/>
  <c r="L581" i="7" s="1"/>
  <c r="AK565" i="7"/>
  <c r="AK587" i="7" s="1"/>
  <c r="AI534" i="7"/>
  <c r="AI580" i="7" s="1"/>
  <c r="AJ534" i="7"/>
  <c r="AJ580" i="7" s="1"/>
  <c r="AK554" i="7"/>
  <c r="AK582" i="7" s="1"/>
  <c r="AK534" i="7"/>
  <c r="AK580" i="7" s="1"/>
  <c r="AI544" i="7"/>
  <c r="AI581" i="7" s="1"/>
  <c r="AJ544" i="7"/>
  <c r="AJ581" i="7" s="1"/>
  <c r="AI554" i="7"/>
  <c r="AI582" i="7" s="1"/>
  <c r="AK544" i="7"/>
  <c r="AK581" i="7" s="1"/>
  <c r="AI565" i="7"/>
  <c r="AI587" i="7" s="1"/>
  <c r="AJ565" i="7"/>
  <c r="AJ587" i="7" s="1"/>
  <c r="AJ554" i="7"/>
  <c r="AJ582" i="7" s="1"/>
  <c r="Q553" i="7"/>
  <c r="Q579" i="7" s="1"/>
  <c r="E607" i="7" s="1"/>
  <c r="E884" i="7" s="1"/>
  <c r="E13" i="8" s="1"/>
  <c r="E118" i="8" s="1"/>
  <c r="E132" i="9" s="1"/>
  <c r="Q564" i="7"/>
  <c r="Q586" i="7" s="1"/>
  <c r="E614" i="7" s="1"/>
  <c r="E891" i="7" s="1"/>
  <c r="T554" i="7"/>
  <c r="T582" i="7" s="1"/>
  <c r="U534" i="7"/>
  <c r="U580" i="7" s="1"/>
  <c r="T544" i="7"/>
  <c r="T581" i="7" s="1"/>
  <c r="T534" i="7"/>
  <c r="T580" i="7" s="1"/>
  <c r="T565" i="7"/>
  <c r="T587" i="7" s="1"/>
  <c r="S544" i="7"/>
  <c r="S581" i="7" s="1"/>
  <c r="S565" i="7"/>
  <c r="S587" i="7" s="1"/>
  <c r="U565" i="7"/>
  <c r="U587" i="7" s="1"/>
  <c r="S534" i="7"/>
  <c r="S580" i="7" s="1"/>
  <c r="U554" i="7"/>
  <c r="U582" i="7" s="1"/>
  <c r="S554" i="7"/>
  <c r="S582" i="7" s="1"/>
  <c r="U544" i="7"/>
  <c r="U581" i="7" s="1"/>
  <c r="AG554" i="7"/>
  <c r="AG582" i="7" s="1"/>
  <c r="AE565" i="7"/>
  <c r="AE587" i="7" s="1"/>
  <c r="AF534" i="7"/>
  <c r="AF580" i="7" s="1"/>
  <c r="AF544" i="7"/>
  <c r="AF581" i="7" s="1"/>
  <c r="AG534" i="7"/>
  <c r="AG580" i="7" s="1"/>
  <c r="AG544" i="7"/>
  <c r="AG581" i="7" s="1"/>
  <c r="AF554" i="7"/>
  <c r="AF582" i="7" s="1"/>
  <c r="AE554" i="7"/>
  <c r="AE582" i="7" s="1"/>
  <c r="AF565" i="7"/>
  <c r="AF587" i="7" s="1"/>
  <c r="AE544" i="7"/>
  <c r="AE581" i="7" s="1"/>
  <c r="AE534" i="7"/>
  <c r="AE580" i="7" s="1"/>
  <c r="AG565" i="7"/>
  <c r="AG587" i="7" s="1"/>
  <c r="H544" i="7"/>
  <c r="H581" i="7" s="1"/>
  <c r="I554" i="7"/>
  <c r="I582" i="7" s="1"/>
  <c r="I565" i="7"/>
  <c r="I587" i="7" s="1"/>
  <c r="I534" i="7"/>
  <c r="I580" i="7" s="1"/>
  <c r="G544" i="7"/>
  <c r="G581" i="7" s="1"/>
  <c r="G565" i="7"/>
  <c r="G587" i="7" s="1"/>
  <c r="I544" i="7"/>
  <c r="I581" i="7" s="1"/>
  <c r="H554" i="7"/>
  <c r="H582" i="7" s="1"/>
  <c r="H534" i="7"/>
  <c r="H580" i="7" s="1"/>
  <c r="H565" i="7"/>
  <c r="H587" i="7" s="1"/>
  <c r="G534" i="7"/>
  <c r="G580" i="7" s="1"/>
  <c r="G554" i="7"/>
  <c r="G582" i="7" s="1"/>
  <c r="C42" i="13"/>
  <c r="C156" i="13"/>
  <c r="C153" i="13"/>
  <c r="C155" i="13"/>
  <c r="C160" i="13"/>
  <c r="C35" i="13"/>
  <c r="C97" i="14" s="1"/>
  <c r="C157" i="13"/>
  <c r="C152" i="13"/>
  <c r="C39" i="13"/>
  <c r="C28" i="13"/>
  <c r="C91" i="14" s="1"/>
  <c r="C29" i="13"/>
  <c r="C92" i="14" s="1"/>
  <c r="C43" i="13"/>
  <c r="C32" i="13"/>
  <c r="C94" i="14" s="1"/>
  <c r="C31" i="13"/>
  <c r="C93" i="14" s="1"/>
  <c r="C30" i="13"/>
  <c r="C159" i="13"/>
  <c r="C27" i="13"/>
  <c r="D11" i="13"/>
  <c r="E606" i="7"/>
  <c r="E883" i="7" s="1"/>
  <c r="E633" i="7"/>
  <c r="E915" i="7" s="1"/>
  <c r="AG564" i="7"/>
  <c r="AG586" i="7" s="1"/>
  <c r="AE543" i="7"/>
  <c r="AE578" i="7" s="1"/>
  <c r="AE533" i="7"/>
  <c r="AE577" i="7" s="1"/>
  <c r="AG553" i="7"/>
  <c r="AG579" i="7" s="1"/>
  <c r="AF553" i="7"/>
  <c r="AF579" i="7" s="1"/>
  <c r="AF533" i="7"/>
  <c r="AF577" i="7" s="1"/>
  <c r="AG533" i="7"/>
  <c r="AG577" i="7" s="1"/>
  <c r="AG543" i="7"/>
  <c r="AG578" i="7" s="1"/>
  <c r="AF564" i="7"/>
  <c r="AF586" i="7" s="1"/>
  <c r="AF543" i="7"/>
  <c r="AF578" i="7" s="1"/>
  <c r="AE553" i="7"/>
  <c r="AE579" i="7" s="1"/>
  <c r="AE564" i="7"/>
  <c r="AE586" i="7" s="1"/>
  <c r="E544" i="7"/>
  <c r="E581" i="7" s="1"/>
  <c r="C554" i="7"/>
  <c r="C582" i="7" s="1"/>
  <c r="C544" i="7"/>
  <c r="C581" i="7" s="1"/>
  <c r="C565" i="7"/>
  <c r="C587" i="7" s="1"/>
  <c r="D554" i="7"/>
  <c r="D582" i="7" s="1"/>
  <c r="D544" i="7"/>
  <c r="D581" i="7" s="1"/>
  <c r="E554" i="7"/>
  <c r="E582" i="7" s="1"/>
  <c r="D565" i="7"/>
  <c r="D587" i="7" s="1"/>
  <c r="E565" i="7"/>
  <c r="E587" i="7" s="1"/>
  <c r="E534" i="7"/>
  <c r="E580" i="7" s="1"/>
  <c r="D534" i="7"/>
  <c r="D580" i="7" s="1"/>
  <c r="C534" i="7"/>
  <c r="C580" i="7" s="1"/>
  <c r="AJ564" i="7"/>
  <c r="AJ586" i="7" s="1"/>
  <c r="AI553" i="7"/>
  <c r="AI579" i="7" s="1"/>
  <c r="AI564" i="7"/>
  <c r="AI586" i="7" s="1"/>
  <c r="AI543" i="7"/>
  <c r="AI578" i="7" s="1"/>
  <c r="AJ553" i="7"/>
  <c r="AJ579" i="7" s="1"/>
  <c r="AK553" i="7"/>
  <c r="AK579" i="7" s="1"/>
  <c r="AJ543" i="7"/>
  <c r="AJ578" i="7" s="1"/>
  <c r="AI533" i="7"/>
  <c r="AI577" i="7" s="1"/>
  <c r="AJ533" i="7"/>
  <c r="AJ577" i="7" s="1"/>
  <c r="AK533" i="7"/>
  <c r="AK577" i="7" s="1"/>
  <c r="AK564" i="7"/>
  <c r="AK586" i="7" s="1"/>
  <c r="AK543" i="7"/>
  <c r="AK578" i="7" s="1"/>
  <c r="D553" i="7"/>
  <c r="D579" i="7" s="1"/>
  <c r="E553" i="7"/>
  <c r="E579" i="7" s="1"/>
  <c r="D533" i="7"/>
  <c r="D577" i="7" s="1"/>
  <c r="C543" i="7"/>
  <c r="C578" i="7" s="1"/>
  <c r="E543" i="7"/>
  <c r="E578" i="7" s="1"/>
  <c r="E564" i="7"/>
  <c r="E586" i="7" s="1"/>
  <c r="C553" i="7"/>
  <c r="C579" i="7" s="1"/>
  <c r="B607" i="7" s="1"/>
  <c r="B884" i="7" s="1"/>
  <c r="C533" i="7"/>
  <c r="C577" i="7" s="1"/>
  <c r="C564" i="7"/>
  <c r="C586" i="7" s="1"/>
  <c r="D543" i="7"/>
  <c r="D578" i="7" s="1"/>
  <c r="D564" i="7"/>
  <c r="D586" i="7" s="1"/>
  <c r="E533" i="7"/>
  <c r="E577" i="7" s="1"/>
  <c r="K543" i="7"/>
  <c r="K578" i="7" s="1"/>
  <c r="M543" i="7"/>
  <c r="M578" i="7" s="1"/>
  <c r="L533" i="7"/>
  <c r="L577" i="7" s="1"/>
  <c r="M553" i="7"/>
  <c r="M579" i="7" s="1"/>
  <c r="K553" i="7"/>
  <c r="K579" i="7" s="1"/>
  <c r="L543" i="7"/>
  <c r="L578" i="7" s="1"/>
  <c r="M564" i="7"/>
  <c r="M586" i="7" s="1"/>
  <c r="K533" i="7"/>
  <c r="K577" i="7" s="1"/>
  <c r="L553" i="7"/>
  <c r="L579" i="7" s="1"/>
  <c r="M533" i="7"/>
  <c r="M577" i="7" s="1"/>
  <c r="L564" i="7"/>
  <c r="L586" i="7" s="1"/>
  <c r="K564" i="7"/>
  <c r="K586" i="7" s="1"/>
  <c r="Q534" i="7"/>
  <c r="Q580" i="7" s="1"/>
  <c r="O544" i="7"/>
  <c r="O581" i="7" s="1"/>
  <c r="P565" i="7"/>
  <c r="P587" i="7" s="1"/>
  <c r="Q544" i="7"/>
  <c r="Q581" i="7" s="1"/>
  <c r="Q565" i="7"/>
  <c r="Q587" i="7" s="1"/>
  <c r="P544" i="7"/>
  <c r="P581" i="7" s="1"/>
  <c r="O554" i="7"/>
  <c r="O582" i="7" s="1"/>
  <c r="O534" i="7"/>
  <c r="O580" i="7" s="1"/>
  <c r="O565" i="7"/>
  <c r="O587" i="7" s="1"/>
  <c r="P534" i="7"/>
  <c r="P580" i="7" s="1"/>
  <c r="P554" i="7"/>
  <c r="P582" i="7" s="1"/>
  <c r="Q554" i="7"/>
  <c r="Q582" i="7" s="1"/>
  <c r="X564" i="7"/>
  <c r="X586" i="7" s="1"/>
  <c r="Y543" i="7"/>
  <c r="Y578" i="7" s="1"/>
  <c r="Y533" i="7"/>
  <c r="Y577" i="7" s="1"/>
  <c r="W543" i="7"/>
  <c r="W578" i="7" s="1"/>
  <c r="Y553" i="7"/>
  <c r="Y579" i="7" s="1"/>
  <c r="W564" i="7"/>
  <c r="W586" i="7" s="1"/>
  <c r="X533" i="7"/>
  <c r="X577" i="7" s="1"/>
  <c r="W553" i="7"/>
  <c r="W579" i="7" s="1"/>
  <c r="X553" i="7"/>
  <c r="X579" i="7" s="1"/>
  <c r="Y564" i="7"/>
  <c r="Y586" i="7" s="1"/>
  <c r="W533" i="7"/>
  <c r="W577" i="7" s="1"/>
  <c r="G605" i="7" s="1"/>
  <c r="G882" i="7" s="1"/>
  <c r="G12" i="8" s="1"/>
  <c r="G116" i="8" s="1"/>
  <c r="X543" i="7"/>
  <c r="X578" i="7" s="1"/>
  <c r="I553" i="7"/>
  <c r="I579" i="7" s="1"/>
  <c r="G543" i="7"/>
  <c r="G578" i="7" s="1"/>
  <c r="G553" i="7"/>
  <c r="G579" i="7" s="1"/>
  <c r="I543" i="7"/>
  <c r="I578" i="7" s="1"/>
  <c r="H533" i="7"/>
  <c r="H577" i="7" s="1"/>
  <c r="H543" i="7"/>
  <c r="H578" i="7" s="1"/>
  <c r="G533" i="7"/>
  <c r="G577" i="7" s="1"/>
  <c r="I533" i="7"/>
  <c r="I577" i="7" s="1"/>
  <c r="G564" i="7"/>
  <c r="G586" i="7" s="1"/>
  <c r="H564" i="7"/>
  <c r="H586" i="7" s="1"/>
  <c r="I564" i="7"/>
  <c r="I586" i="7" s="1"/>
  <c r="H553" i="7"/>
  <c r="H579" i="7" s="1"/>
  <c r="AA564" i="7"/>
  <c r="AA586" i="7" s="1"/>
  <c r="AC564" i="7"/>
  <c r="AC586" i="7" s="1"/>
  <c r="AC543" i="7"/>
  <c r="AC578" i="7" s="1"/>
  <c r="AB543" i="7"/>
  <c r="AB578" i="7" s="1"/>
  <c r="AC553" i="7"/>
  <c r="AC579" i="7" s="1"/>
  <c r="AA533" i="7"/>
  <c r="AA577" i="7" s="1"/>
  <c r="AB553" i="7"/>
  <c r="AB579" i="7" s="1"/>
  <c r="AC533" i="7"/>
  <c r="AC577" i="7" s="1"/>
  <c r="AB533" i="7"/>
  <c r="AB577" i="7" s="1"/>
  <c r="AB564" i="7"/>
  <c r="AB586" i="7" s="1"/>
  <c r="AA543" i="7"/>
  <c r="AA578" i="7" s="1"/>
  <c r="AA553" i="7"/>
  <c r="AA579" i="7" s="1"/>
  <c r="AB534" i="7"/>
  <c r="AB580" i="7" s="1"/>
  <c r="AB554" i="7"/>
  <c r="AB582" i="7" s="1"/>
  <c r="AB565" i="7"/>
  <c r="AB587" i="7" s="1"/>
  <c r="AC534" i="7"/>
  <c r="AC580" i="7" s="1"/>
  <c r="AC554" i="7"/>
  <c r="AC582" i="7" s="1"/>
  <c r="AC544" i="7"/>
  <c r="AC581" i="7" s="1"/>
  <c r="AA534" i="7"/>
  <c r="AA580" i="7" s="1"/>
  <c r="AA544" i="7"/>
  <c r="AA581" i="7" s="1"/>
  <c r="AA565" i="7"/>
  <c r="AA587" i="7" s="1"/>
  <c r="AB544" i="7"/>
  <c r="AB581" i="7" s="1"/>
  <c r="AA554" i="7"/>
  <c r="AA582" i="7" s="1"/>
  <c r="AC565" i="7"/>
  <c r="AC587" i="7" s="1"/>
  <c r="Y544" i="7"/>
  <c r="Y581" i="7" s="1"/>
  <c r="W565" i="7"/>
  <c r="W587" i="7" s="1"/>
  <c r="Y554" i="7"/>
  <c r="Y582" i="7" s="1"/>
  <c r="W544" i="7"/>
  <c r="W581" i="7" s="1"/>
  <c r="X544" i="7"/>
  <c r="X581" i="7" s="1"/>
  <c r="X565" i="7"/>
  <c r="X587" i="7" s="1"/>
  <c r="X534" i="7"/>
  <c r="X580" i="7" s="1"/>
  <c r="Y534" i="7"/>
  <c r="Y580" i="7" s="1"/>
  <c r="W554" i="7"/>
  <c r="W582" i="7" s="1"/>
  <c r="X554" i="7"/>
  <c r="X582" i="7" s="1"/>
  <c r="W534" i="7"/>
  <c r="W580" i="7" s="1"/>
  <c r="Y565" i="7"/>
  <c r="Y587" i="7" s="1"/>
  <c r="U553" i="7"/>
  <c r="U579" i="7" s="1"/>
  <c r="T564" i="7"/>
  <c r="T586" i="7" s="1"/>
  <c r="T533" i="7"/>
  <c r="T577" i="7" s="1"/>
  <c r="T553" i="7"/>
  <c r="T579" i="7" s="1"/>
  <c r="T543" i="7"/>
  <c r="T578" i="7" s="1"/>
  <c r="S564" i="7"/>
  <c r="S586" i="7" s="1"/>
  <c r="U533" i="7"/>
  <c r="U577" i="7" s="1"/>
  <c r="U543" i="7"/>
  <c r="U578" i="7" s="1"/>
  <c r="S543" i="7"/>
  <c r="S578" i="7" s="1"/>
  <c r="U564" i="7"/>
  <c r="U586" i="7" s="1"/>
  <c r="S533" i="7"/>
  <c r="S577" i="7" s="1"/>
  <c r="F605" i="7" s="1"/>
  <c r="F882" i="7" s="1"/>
  <c r="F12" i="8" s="1"/>
  <c r="F116" i="8" s="1"/>
  <c r="S553" i="7"/>
  <c r="S579" i="7" s="1"/>
  <c r="B133" i="4"/>
  <c r="F11" i="12" s="1"/>
  <c r="B135" i="4"/>
  <c r="H11" i="12" s="1"/>
  <c r="B137" i="4"/>
  <c r="J11" i="12" s="1"/>
  <c r="F20" i="10"/>
  <c r="G68" i="10" s="1"/>
  <c r="B134" i="4"/>
  <c r="G11" i="12" s="1"/>
  <c r="D73" i="12"/>
  <c r="D85" i="13" s="1"/>
  <c r="D78" i="12"/>
  <c r="D90" i="13" s="1"/>
  <c r="D111" i="12"/>
  <c r="D114" i="13" s="1"/>
  <c r="D85" i="12"/>
  <c r="D133" i="12"/>
  <c r="D127" i="13" s="1"/>
  <c r="D88" i="12"/>
  <c r="D89" i="12"/>
  <c r="D86" i="12"/>
  <c r="D136" i="12"/>
  <c r="D81" i="12"/>
  <c r="D74" i="12"/>
  <c r="D86" i="13" s="1"/>
  <c r="D113" i="12"/>
  <c r="D105" i="12"/>
  <c r="D108" i="13" s="1"/>
  <c r="D107" i="12"/>
  <c r="D110" i="13" s="1"/>
  <c r="D115" i="12"/>
  <c r="D80" i="12"/>
  <c r="D92" i="13" s="1"/>
  <c r="D119" i="12"/>
  <c r="D114" i="12"/>
  <c r="D90" i="12"/>
  <c r="D135" i="12"/>
  <c r="D129" i="13" s="1"/>
  <c r="D137" i="12"/>
  <c r="D118" i="12"/>
  <c r="D82" i="12"/>
  <c r="D112" i="12"/>
  <c r="D115" i="13" s="1"/>
  <c r="D75" i="12"/>
  <c r="D87" i="13" s="1"/>
  <c r="D87" i="12"/>
  <c r="D66" i="15"/>
  <c r="D81" i="15" s="1"/>
  <c r="D53" i="12"/>
  <c r="D45" i="12"/>
  <c r="D37" i="12"/>
  <c r="D66" i="13" s="1"/>
  <c r="D34" i="12"/>
  <c r="D63" i="13" s="1"/>
  <c r="D21" i="15" s="1"/>
  <c r="D33" i="15" s="1"/>
  <c r="D26" i="12"/>
  <c r="D55" i="13" s="1"/>
  <c r="D38" i="12"/>
  <c r="D67" i="13" s="1"/>
  <c r="D31" i="12"/>
  <c r="D60" i="13" s="1"/>
  <c r="D23" i="12"/>
  <c r="D52" i="13" s="1"/>
  <c r="D138" i="12"/>
  <c r="D83" i="12"/>
  <c r="D139" i="12"/>
  <c r="D84" i="12"/>
  <c r="D142" i="12"/>
  <c r="D67" i="15"/>
  <c r="D82" i="15" s="1"/>
  <c r="D64" i="15"/>
  <c r="D79" i="15" s="1"/>
  <c r="D51" i="12"/>
  <c r="D43" i="12"/>
  <c r="D48" i="12"/>
  <c r="D32" i="12"/>
  <c r="D61" i="13" s="1"/>
  <c r="D24" i="12"/>
  <c r="D53" i="13" s="1"/>
  <c r="D52" i="12"/>
  <c r="D29" i="12"/>
  <c r="D58" i="13" s="1"/>
  <c r="D50" i="12"/>
  <c r="D106" i="12"/>
  <c r="D109" i="13" s="1"/>
  <c r="D141" i="12"/>
  <c r="D65" i="15"/>
  <c r="D80" i="15" s="1"/>
  <c r="D62" i="15"/>
  <c r="D77" i="15" s="1"/>
  <c r="D49" i="12"/>
  <c r="D41" i="12"/>
  <c r="D70" i="13" s="1"/>
  <c r="D40" i="12"/>
  <c r="D69" i="13" s="1"/>
  <c r="D30" i="12"/>
  <c r="D59" i="13" s="1"/>
  <c r="D54" i="12"/>
  <c r="D44" i="12"/>
  <c r="D27" i="12"/>
  <c r="D56" i="13" s="1"/>
  <c r="D42" i="12"/>
  <c r="D134" i="12"/>
  <c r="D128" i="13" s="1"/>
  <c r="D91" i="12"/>
  <c r="D117" i="12"/>
  <c r="D79" i="12"/>
  <c r="D91" i="13" s="1"/>
  <c r="D140" i="12"/>
  <c r="D110" i="12"/>
  <c r="D113" i="13" s="1"/>
  <c r="D116" i="12"/>
  <c r="D63" i="15"/>
  <c r="D78" i="15" s="1"/>
  <c r="D55" i="12"/>
  <c r="D47" i="12"/>
  <c r="D39" i="12"/>
  <c r="D68" i="13" s="1"/>
  <c r="D35" i="12"/>
  <c r="D64" i="13" s="1"/>
  <c r="D22" i="15" s="1"/>
  <c r="D34" i="15" s="1"/>
  <c r="D28" i="12"/>
  <c r="D57" i="13" s="1"/>
  <c r="D46" i="12"/>
  <c r="D33" i="12"/>
  <c r="D62" i="13" s="1"/>
  <c r="D25" i="12"/>
  <c r="D54" i="13" s="1"/>
  <c r="D36" i="12"/>
  <c r="D65" i="13" s="1"/>
  <c r="D23" i="15" s="1"/>
  <c r="D35" i="15" s="1"/>
  <c r="B136" i="4"/>
  <c r="I11" i="12" s="1"/>
  <c r="I11" i="13" s="1"/>
  <c r="G11" i="13"/>
  <c r="B132" i="4"/>
  <c r="E11" i="12" s="1"/>
  <c r="E11" i="13" s="1"/>
  <c r="C134" i="12"/>
  <c r="C128" i="13" s="1"/>
  <c r="C74" i="12"/>
  <c r="C86" i="13" s="1"/>
  <c r="C116" i="12"/>
  <c r="C133" i="12"/>
  <c r="C127" i="13" s="1"/>
  <c r="C118" i="12"/>
  <c r="C85" i="12"/>
  <c r="C80" i="12"/>
  <c r="C92" i="13" s="1"/>
  <c r="C139" i="12"/>
  <c r="C110" i="12"/>
  <c r="C113" i="13" s="1"/>
  <c r="C86" i="12"/>
  <c r="C114" i="12"/>
  <c r="C82" i="12"/>
  <c r="C79" i="12"/>
  <c r="C91" i="13" s="1"/>
  <c r="C106" i="12"/>
  <c r="C109" i="13" s="1"/>
  <c r="C140" i="12"/>
  <c r="C141" i="12"/>
  <c r="C89" i="12"/>
  <c r="C75" i="12"/>
  <c r="C87" i="13" s="1"/>
  <c r="C81" i="12"/>
  <c r="C142" i="12"/>
  <c r="C135" i="12"/>
  <c r="C129" i="13" s="1"/>
  <c r="C137" i="12"/>
  <c r="C83" i="12"/>
  <c r="C91" i="12"/>
  <c r="C78" i="12"/>
  <c r="C90" i="13" s="1"/>
  <c r="C117" i="12"/>
  <c r="C138" i="12"/>
  <c r="C111" i="12"/>
  <c r="C114" i="13" s="1"/>
  <c r="C119" i="12"/>
  <c r="C112" i="12"/>
  <c r="C115" i="13" s="1"/>
  <c r="C87" i="12"/>
  <c r="C73" i="12"/>
  <c r="C85" i="13" s="1"/>
  <c r="C107" i="12"/>
  <c r="C110" i="13" s="1"/>
  <c r="C67" i="15"/>
  <c r="C82" i="15" s="1"/>
  <c r="C64" i="15"/>
  <c r="C79" i="15" s="1"/>
  <c r="C50" i="12"/>
  <c r="C42" i="12"/>
  <c r="C55" i="12"/>
  <c r="C47" i="12"/>
  <c r="C39" i="12"/>
  <c r="C68" i="13" s="1"/>
  <c r="C32" i="12"/>
  <c r="C61" i="13" s="1"/>
  <c r="C24" i="12"/>
  <c r="C53" i="13" s="1"/>
  <c r="C27" i="12"/>
  <c r="C56" i="13" s="1"/>
  <c r="C65" i="15"/>
  <c r="C80" i="15" s="1"/>
  <c r="C62" i="15"/>
  <c r="C77" i="15" s="1"/>
  <c r="C48" i="12"/>
  <c r="C40" i="12"/>
  <c r="C69" i="13" s="1"/>
  <c r="C53" i="12"/>
  <c r="C45" i="12"/>
  <c r="C37" i="12"/>
  <c r="C66" i="13" s="1"/>
  <c r="C30" i="12"/>
  <c r="C59" i="13" s="1"/>
  <c r="C33" i="12"/>
  <c r="C62" i="13" s="1"/>
  <c r="C25" i="12"/>
  <c r="C54" i="13" s="1"/>
  <c r="C63" i="15"/>
  <c r="C78" i="15" s="1"/>
  <c r="C54" i="12"/>
  <c r="C46" i="12"/>
  <c r="C38" i="12"/>
  <c r="C67" i="13" s="1"/>
  <c r="C51" i="12"/>
  <c r="C43" i="12"/>
  <c r="C35" i="12"/>
  <c r="C64" i="13" s="1"/>
  <c r="C22" i="15" s="1"/>
  <c r="C34" i="15" s="1"/>
  <c r="C28" i="12"/>
  <c r="C57" i="13" s="1"/>
  <c r="C31" i="12"/>
  <c r="C60" i="13" s="1"/>
  <c r="C23" i="12"/>
  <c r="C52" i="13" s="1"/>
  <c r="C113" i="12"/>
  <c r="C66" i="15"/>
  <c r="C81" i="15" s="1"/>
  <c r="C52" i="12"/>
  <c r="C44" i="12"/>
  <c r="C36" i="12"/>
  <c r="C65" i="13" s="1"/>
  <c r="C23" i="15" s="1"/>
  <c r="C35" i="15" s="1"/>
  <c r="C49" i="12"/>
  <c r="C41" i="12"/>
  <c r="C70" i="13" s="1"/>
  <c r="C34" i="12"/>
  <c r="C63" i="13" s="1"/>
  <c r="C21" i="15" s="1"/>
  <c r="C33" i="15" s="1"/>
  <c r="C26" i="12"/>
  <c r="C55" i="13" s="1"/>
  <c r="C29" i="12"/>
  <c r="C58" i="13" s="1"/>
  <c r="C90" i="12"/>
  <c r="C115" i="12"/>
  <c r="C88" i="12"/>
  <c r="C136" i="12"/>
  <c r="C105" i="12"/>
  <c r="C108" i="13" s="1"/>
  <c r="C84" i="12"/>
  <c r="F453" i="22"/>
  <c r="C200" i="16"/>
  <c r="E325" i="22"/>
  <c r="C156" i="16"/>
  <c r="C45" i="22"/>
  <c r="C147" i="16"/>
  <c r="D77" i="22"/>
  <c r="C148" i="16"/>
  <c r="G421" i="22"/>
  <c r="C239" i="16"/>
  <c r="F389" i="22"/>
  <c r="C198" i="16"/>
  <c r="D293" i="22"/>
  <c r="C155" i="16"/>
  <c r="C238" i="16"/>
  <c r="G389" i="22"/>
  <c r="G453" i="22"/>
  <c r="C240" i="16"/>
  <c r="E357" i="22"/>
  <c r="C157" i="16"/>
  <c r="C137" i="22"/>
  <c r="C150" i="16"/>
  <c r="C151" i="16"/>
  <c r="D169" i="22"/>
  <c r="D261" i="22"/>
  <c r="C154" i="16"/>
  <c r="D229" i="22"/>
  <c r="C153" i="16"/>
  <c r="F421" i="22"/>
  <c r="C199" i="16"/>
  <c r="E638" i="7" l="1"/>
  <c r="E920" i="7" s="1"/>
  <c r="F607" i="7"/>
  <c r="F884" i="7" s="1"/>
  <c r="F13" i="8" s="1"/>
  <c r="F118" i="8" s="1"/>
  <c r="F132" i="9" s="1"/>
  <c r="E657" i="7"/>
  <c r="E940" i="7" s="1"/>
  <c r="C605" i="7"/>
  <c r="C882" i="7" s="1"/>
  <c r="C607" i="7"/>
  <c r="C884" i="7" s="1"/>
  <c r="B608" i="7"/>
  <c r="B885" i="7" s="1"/>
  <c r="B70" i="12" s="1"/>
  <c r="B82" i="13" s="1"/>
  <c r="B18" i="16" s="1"/>
  <c r="I610" i="7"/>
  <c r="I887" i="7" s="1"/>
  <c r="I15" i="8" s="1"/>
  <c r="I121" i="8" s="1"/>
  <c r="I135" i="9" s="1"/>
  <c r="G99" i="10"/>
  <c r="B610" i="7"/>
  <c r="B887" i="7" s="1"/>
  <c r="J608" i="7"/>
  <c r="J885" i="7" s="1"/>
  <c r="J14" i="8" s="1"/>
  <c r="J119" i="8" s="1"/>
  <c r="J133" i="9" s="1"/>
  <c r="G610" i="7"/>
  <c r="G887" i="7" s="1"/>
  <c r="G15" i="8" s="1"/>
  <c r="G121" i="8" s="1"/>
  <c r="G135" i="9" s="1"/>
  <c r="H607" i="7"/>
  <c r="H884" i="7" s="1"/>
  <c r="H13" i="8" s="1"/>
  <c r="H118" i="8" s="1"/>
  <c r="H132" i="9" s="1"/>
  <c r="G607" i="7"/>
  <c r="G884" i="7" s="1"/>
  <c r="G13" i="8" s="1"/>
  <c r="G118" i="8" s="1"/>
  <c r="G132" i="9" s="1"/>
  <c r="E608" i="7"/>
  <c r="E885" i="7" s="1"/>
  <c r="E14" i="8" s="1"/>
  <c r="E119" i="8" s="1"/>
  <c r="E133" i="9" s="1"/>
  <c r="D605" i="7"/>
  <c r="D882" i="7" s="1"/>
  <c r="B605" i="7"/>
  <c r="B882" i="7" s="1"/>
  <c r="J605" i="7"/>
  <c r="J882" i="7" s="1"/>
  <c r="J12" i="8" s="1"/>
  <c r="J116" i="8" s="1"/>
  <c r="C608" i="7"/>
  <c r="C885" i="7" s="1"/>
  <c r="C14" i="8" s="1"/>
  <c r="C119" i="8" s="1"/>
  <c r="C133" i="9" s="1"/>
  <c r="I608" i="7"/>
  <c r="I885" i="7" s="1"/>
  <c r="I14" i="8" s="1"/>
  <c r="I119" i="8" s="1"/>
  <c r="I133" i="9" s="1"/>
  <c r="F610" i="7"/>
  <c r="F887" i="7" s="1"/>
  <c r="F15" i="8" s="1"/>
  <c r="F121" i="8" s="1"/>
  <c r="F135" i="9" s="1"/>
  <c r="E610" i="7"/>
  <c r="E887" i="7" s="1"/>
  <c r="E15" i="8" s="1"/>
  <c r="E121" i="8" s="1"/>
  <c r="E135" i="9" s="1"/>
  <c r="J610" i="7"/>
  <c r="J887" i="7" s="1"/>
  <c r="J15" i="8" s="1"/>
  <c r="J121" i="8" s="1"/>
  <c r="J135" i="9" s="1"/>
  <c r="D634" i="7"/>
  <c r="D916" i="7" s="1"/>
  <c r="D104" i="12" s="1"/>
  <c r="D107" i="13" s="1"/>
  <c r="D609" i="7"/>
  <c r="D886" i="7" s="1"/>
  <c r="D639" i="7"/>
  <c r="D921" i="7" s="1"/>
  <c r="D109" i="12" s="1"/>
  <c r="D112" i="13" s="1"/>
  <c r="D658" i="7"/>
  <c r="D941" i="7" s="1"/>
  <c r="D132" i="12" s="1"/>
  <c r="D126" i="13" s="1"/>
  <c r="D358" i="22" s="1"/>
  <c r="D615" i="7"/>
  <c r="D892" i="7" s="1"/>
  <c r="G608" i="7"/>
  <c r="G885" i="7" s="1"/>
  <c r="G14" i="8" s="1"/>
  <c r="G119" i="8" s="1"/>
  <c r="G133" i="9" s="1"/>
  <c r="H610" i="7"/>
  <c r="H887" i="7" s="1"/>
  <c r="H15" i="8" s="1"/>
  <c r="H121" i="8" s="1"/>
  <c r="H135" i="9" s="1"/>
  <c r="H608" i="7"/>
  <c r="H885" i="7" s="1"/>
  <c r="H14" i="8" s="1"/>
  <c r="H119" i="8" s="1"/>
  <c r="H133" i="9" s="1"/>
  <c r="H605" i="7"/>
  <c r="H882" i="7" s="1"/>
  <c r="H12" i="8" s="1"/>
  <c r="H116" i="8" s="1"/>
  <c r="J607" i="7"/>
  <c r="J884" i="7" s="1"/>
  <c r="J13" i="8" s="1"/>
  <c r="J118" i="8" s="1"/>
  <c r="J132" i="9" s="1"/>
  <c r="I607" i="7"/>
  <c r="I884" i="7" s="1"/>
  <c r="I13" i="8" s="1"/>
  <c r="I118" i="8" s="1"/>
  <c r="I132" i="9" s="1"/>
  <c r="I605" i="7"/>
  <c r="I882" i="7" s="1"/>
  <c r="I12" i="8" s="1"/>
  <c r="I116" i="8" s="1"/>
  <c r="I130" i="9" s="1"/>
  <c r="F608" i="7"/>
  <c r="F885" i="7" s="1"/>
  <c r="F14" i="8" s="1"/>
  <c r="F119" i="8" s="1"/>
  <c r="F133" i="9" s="1"/>
  <c r="D610" i="7"/>
  <c r="D887" i="7" s="1"/>
  <c r="D607" i="7"/>
  <c r="D884" i="7" s="1"/>
  <c r="C610" i="7"/>
  <c r="C887" i="7" s="1"/>
  <c r="C72" i="12" s="1"/>
  <c r="C84" i="13" s="1"/>
  <c r="E130" i="9"/>
  <c r="D608" i="7"/>
  <c r="D885" i="7" s="1"/>
  <c r="C658" i="7"/>
  <c r="C941" i="7" s="1"/>
  <c r="C132" i="12" s="1"/>
  <c r="C126" i="13" s="1"/>
  <c r="C639" i="7"/>
  <c r="C921" i="7" s="1"/>
  <c r="C109" i="12" s="1"/>
  <c r="C112" i="13" s="1"/>
  <c r="C357" i="22" s="1"/>
  <c r="C615" i="7"/>
  <c r="C892" i="7" s="1"/>
  <c r="I609" i="7"/>
  <c r="I886" i="7" s="1"/>
  <c r="I634" i="7"/>
  <c r="I916" i="7" s="1"/>
  <c r="I104" i="12" s="1"/>
  <c r="I107" i="13" s="1"/>
  <c r="I658" i="7"/>
  <c r="I941" i="7" s="1"/>
  <c r="I132" i="12" s="1"/>
  <c r="I126" i="13" s="1"/>
  <c r="D363" i="22" s="1"/>
  <c r="I639" i="7"/>
  <c r="I921" i="7" s="1"/>
  <c r="I109" i="12" s="1"/>
  <c r="I112" i="13" s="1"/>
  <c r="I615" i="7"/>
  <c r="I892" i="7" s="1"/>
  <c r="F634" i="7"/>
  <c r="F916" i="7" s="1"/>
  <c r="F104" i="12" s="1"/>
  <c r="F107" i="13" s="1"/>
  <c r="F609" i="7"/>
  <c r="F886" i="7" s="1"/>
  <c r="E51" i="8"/>
  <c r="E125" i="8" s="1"/>
  <c r="E139" i="9" s="1"/>
  <c r="E32" i="8"/>
  <c r="E117" i="8" s="1"/>
  <c r="E131" i="9" s="1"/>
  <c r="C634" i="7"/>
  <c r="C916" i="7" s="1"/>
  <c r="C104" i="12" s="1"/>
  <c r="C107" i="13" s="1"/>
  <c r="C609" i="7"/>
  <c r="C886" i="7" s="1"/>
  <c r="J639" i="7"/>
  <c r="J921" i="7" s="1"/>
  <c r="J109" i="12" s="1"/>
  <c r="J112" i="13" s="1"/>
  <c r="J615" i="7"/>
  <c r="J892" i="7" s="1"/>
  <c r="J658" i="7"/>
  <c r="J941" i="7" s="1"/>
  <c r="J132" i="12" s="1"/>
  <c r="J126" i="13" s="1"/>
  <c r="J634" i="7"/>
  <c r="J916" i="7" s="1"/>
  <c r="J104" i="12" s="1"/>
  <c r="J107" i="13" s="1"/>
  <c r="J609" i="7"/>
  <c r="J886" i="7" s="1"/>
  <c r="C70" i="12"/>
  <c r="C82" i="13" s="1"/>
  <c r="F639" i="7"/>
  <c r="F921" i="7" s="1"/>
  <c r="F109" i="12" s="1"/>
  <c r="F112" i="13" s="1"/>
  <c r="F615" i="7"/>
  <c r="F892" i="7" s="1"/>
  <c r="F658" i="7"/>
  <c r="F941" i="7" s="1"/>
  <c r="F132" i="12" s="1"/>
  <c r="F126" i="13" s="1"/>
  <c r="D360" i="22" s="1"/>
  <c r="D32" i="13"/>
  <c r="D94" i="14" s="1"/>
  <c r="D30" i="13"/>
  <c r="D144" i="13"/>
  <c r="D34" i="13"/>
  <c r="D96" i="14" s="1"/>
  <c r="D154" i="13"/>
  <c r="D159" i="13"/>
  <c r="D145" i="13"/>
  <c r="D37" i="13"/>
  <c r="D38" i="13"/>
  <c r="D148" i="13"/>
  <c r="D33" i="13"/>
  <c r="D95" i="14" s="1"/>
  <c r="D35" i="13"/>
  <c r="D97" i="14" s="1"/>
  <c r="D36" i="13"/>
  <c r="D160" i="13"/>
  <c r="D149" i="13"/>
  <c r="D31" i="13"/>
  <c r="D93" i="14" s="1"/>
  <c r="D27" i="13"/>
  <c r="D151" i="13"/>
  <c r="D153" i="13"/>
  <c r="D43" i="13"/>
  <c r="D39" i="13"/>
  <c r="D158" i="13"/>
  <c r="D150" i="13"/>
  <c r="D155" i="13"/>
  <c r="D146" i="13"/>
  <c r="D40" i="13"/>
  <c r="D41" i="13"/>
  <c r="D143" i="13"/>
  <c r="D152" i="13"/>
  <c r="D142" i="13"/>
  <c r="D28" i="13"/>
  <c r="D91" i="14" s="1"/>
  <c r="D147" i="13"/>
  <c r="D156" i="13"/>
  <c r="D26" i="13"/>
  <c r="D90" i="14" s="1"/>
  <c r="D157" i="13"/>
  <c r="D25" i="13"/>
  <c r="D89" i="14" s="1"/>
  <c r="D42" i="13"/>
  <c r="D29" i="13"/>
  <c r="D92" i="14" s="1"/>
  <c r="F638" i="7"/>
  <c r="F920" i="7" s="1"/>
  <c r="F614" i="7"/>
  <c r="F891" i="7" s="1"/>
  <c r="F76" i="12" s="1"/>
  <c r="F88" i="13" s="1"/>
  <c r="F657" i="7"/>
  <c r="F940" i="7" s="1"/>
  <c r="G615" i="7"/>
  <c r="G892" i="7" s="1"/>
  <c r="G658" i="7"/>
  <c r="G941" i="7" s="1"/>
  <c r="G639" i="7"/>
  <c r="G921" i="7" s="1"/>
  <c r="G109" i="12" s="1"/>
  <c r="G112" i="13" s="1"/>
  <c r="C361" i="22" s="1"/>
  <c r="H638" i="7"/>
  <c r="H920" i="7" s="1"/>
  <c r="H108" i="12" s="1"/>
  <c r="H111" i="13" s="1"/>
  <c r="H614" i="7"/>
  <c r="H891" i="7" s="1"/>
  <c r="H657" i="7"/>
  <c r="H940" i="7" s="1"/>
  <c r="H131" i="12" s="1"/>
  <c r="H125" i="13" s="1"/>
  <c r="C657" i="7"/>
  <c r="C940" i="7" s="1"/>
  <c r="C131" i="12" s="1"/>
  <c r="C125" i="13" s="1"/>
  <c r="C638" i="7"/>
  <c r="C920" i="7" s="1"/>
  <c r="C108" i="12" s="1"/>
  <c r="C111" i="13" s="1"/>
  <c r="C614" i="7"/>
  <c r="C891" i="7" s="1"/>
  <c r="E615" i="7"/>
  <c r="E892" i="7" s="1"/>
  <c r="E658" i="7"/>
  <c r="E941" i="7" s="1"/>
  <c r="E132" i="12" s="1"/>
  <c r="E126" i="13" s="1"/>
  <c r="D359" i="22" s="1"/>
  <c r="E639" i="7"/>
  <c r="E921" i="7" s="1"/>
  <c r="E109" i="12" s="1"/>
  <c r="E112" i="13" s="1"/>
  <c r="D633" i="7"/>
  <c r="D915" i="7" s="1"/>
  <c r="D103" i="12" s="1"/>
  <c r="D106" i="13" s="1"/>
  <c r="D606" i="7"/>
  <c r="D883" i="7" s="1"/>
  <c r="B638" i="7"/>
  <c r="B920" i="7" s="1"/>
  <c r="B108" i="12" s="1"/>
  <c r="B111" i="13" s="1"/>
  <c r="B68" i="16" s="1"/>
  <c r="B614" i="7"/>
  <c r="B891" i="7" s="1"/>
  <c r="B657" i="7"/>
  <c r="B940" i="7" s="1"/>
  <c r="B131" i="12" s="1"/>
  <c r="B125" i="13" s="1"/>
  <c r="B112" i="16" s="1"/>
  <c r="B15" i="8"/>
  <c r="B121" i="8" s="1"/>
  <c r="B135" i="9" s="1"/>
  <c r="B72" i="12"/>
  <c r="B84" i="13" s="1"/>
  <c r="B20" i="16" s="1"/>
  <c r="I606" i="7"/>
  <c r="I883" i="7" s="1"/>
  <c r="I633" i="7"/>
  <c r="I915" i="7" s="1"/>
  <c r="F606" i="7"/>
  <c r="F883" i="7" s="1"/>
  <c r="F633" i="7"/>
  <c r="F915" i="7" s="1"/>
  <c r="F103" i="12" s="1"/>
  <c r="F106" i="13" s="1"/>
  <c r="H615" i="7"/>
  <c r="H892" i="7" s="1"/>
  <c r="H639" i="7"/>
  <c r="H921" i="7" s="1"/>
  <c r="H109" i="12" s="1"/>
  <c r="H112" i="13" s="1"/>
  <c r="H658" i="7"/>
  <c r="H941" i="7" s="1"/>
  <c r="H132" i="12" s="1"/>
  <c r="H126" i="13" s="1"/>
  <c r="G606" i="7"/>
  <c r="G883" i="7" s="1"/>
  <c r="G68" i="12" s="1"/>
  <c r="G80" i="13" s="1"/>
  <c r="G633" i="7"/>
  <c r="G915" i="7" s="1"/>
  <c r="D638" i="7"/>
  <c r="D920" i="7" s="1"/>
  <c r="D108" i="12" s="1"/>
  <c r="D111" i="13" s="1"/>
  <c r="D614" i="7"/>
  <c r="D891" i="7" s="1"/>
  <c r="D657" i="7"/>
  <c r="D940" i="7" s="1"/>
  <c r="D131" i="12" s="1"/>
  <c r="D125" i="13" s="1"/>
  <c r="B12" i="8"/>
  <c r="B116" i="8" s="1"/>
  <c r="B67" i="12"/>
  <c r="B79" i="13" s="1"/>
  <c r="B15" i="16" s="1"/>
  <c r="B606" i="7"/>
  <c r="B883" i="7" s="1"/>
  <c r="B633" i="7"/>
  <c r="B915" i="7" s="1"/>
  <c r="B103" i="12" s="1"/>
  <c r="B106" i="13" s="1"/>
  <c r="B60" i="16" s="1"/>
  <c r="J130" i="9"/>
  <c r="J606" i="7"/>
  <c r="J883" i="7" s="1"/>
  <c r="J633" i="7"/>
  <c r="J915" i="7" s="1"/>
  <c r="G634" i="7"/>
  <c r="G916" i="7" s="1"/>
  <c r="G104" i="12" s="1"/>
  <c r="G107" i="13" s="1"/>
  <c r="C173" i="22" s="1"/>
  <c r="G609" i="7"/>
  <c r="G886" i="7" s="1"/>
  <c r="H609" i="7"/>
  <c r="H886" i="7" s="1"/>
  <c r="H634" i="7"/>
  <c r="H916" i="7" s="1"/>
  <c r="H104" i="12" s="1"/>
  <c r="H107" i="13" s="1"/>
  <c r="H633" i="7"/>
  <c r="H915" i="7" s="1"/>
  <c r="H103" i="12" s="1"/>
  <c r="H106" i="13" s="1"/>
  <c r="C82" i="22" s="1"/>
  <c r="H606" i="7"/>
  <c r="H883" i="7" s="1"/>
  <c r="G130" i="9"/>
  <c r="B69" i="12"/>
  <c r="B81" i="13" s="1"/>
  <c r="B17" i="16" s="1"/>
  <c r="B13" i="8"/>
  <c r="B118" i="8" s="1"/>
  <c r="B132" i="9" s="1"/>
  <c r="J638" i="7"/>
  <c r="J920" i="7" s="1"/>
  <c r="J614" i="7"/>
  <c r="J891" i="7" s="1"/>
  <c r="J657" i="7"/>
  <c r="J940" i="7" s="1"/>
  <c r="J131" i="12" s="1"/>
  <c r="J125" i="13" s="1"/>
  <c r="B658" i="7"/>
  <c r="B941" i="7" s="1"/>
  <c r="B639" i="7"/>
  <c r="B921" i="7" s="1"/>
  <c r="B109" i="12" s="1"/>
  <c r="B112" i="13" s="1"/>
  <c r="B69" i="16" s="1"/>
  <c r="B615" i="7"/>
  <c r="B892" i="7" s="1"/>
  <c r="I614" i="7"/>
  <c r="I891" i="7" s="1"/>
  <c r="I657" i="7"/>
  <c r="I940" i="7" s="1"/>
  <c r="I638" i="7"/>
  <c r="I920" i="7" s="1"/>
  <c r="I108" i="12" s="1"/>
  <c r="I111" i="13" s="1"/>
  <c r="F130" i="9"/>
  <c r="C606" i="7"/>
  <c r="C883" i="7" s="1"/>
  <c r="C633" i="7"/>
  <c r="C915" i="7" s="1"/>
  <c r="C103" i="12" s="1"/>
  <c r="C106" i="13" s="1"/>
  <c r="G614" i="7"/>
  <c r="G891" i="7" s="1"/>
  <c r="G76" i="12" s="1"/>
  <c r="G88" i="13" s="1"/>
  <c r="G657" i="7"/>
  <c r="G940" i="7" s="1"/>
  <c r="G638" i="7"/>
  <c r="G920" i="7" s="1"/>
  <c r="E634" i="7"/>
  <c r="E916" i="7" s="1"/>
  <c r="E104" i="12" s="1"/>
  <c r="E107" i="13" s="1"/>
  <c r="E609" i="7"/>
  <c r="E886" i="7" s="1"/>
  <c r="B634" i="7"/>
  <c r="B916" i="7" s="1"/>
  <c r="B104" i="12" s="1"/>
  <c r="B107" i="13" s="1"/>
  <c r="B63" i="16" s="1"/>
  <c r="B609" i="7"/>
  <c r="B886" i="7" s="1"/>
  <c r="E31" i="13"/>
  <c r="E93" i="14" s="1"/>
  <c r="E39" i="13"/>
  <c r="E158" i="13"/>
  <c r="E153" i="13"/>
  <c r="E148" i="13"/>
  <c r="E143" i="13"/>
  <c r="E32" i="13"/>
  <c r="E94" i="14" s="1"/>
  <c r="E33" i="13"/>
  <c r="E95" i="14" s="1"/>
  <c r="E41" i="13"/>
  <c r="E28" i="13"/>
  <c r="E91" i="14" s="1"/>
  <c r="E38" i="13"/>
  <c r="E34" i="13"/>
  <c r="E96" i="14" s="1"/>
  <c r="E155" i="13"/>
  <c r="E35" i="13"/>
  <c r="E97" i="14" s="1"/>
  <c r="E40" i="13"/>
  <c r="E30" i="13"/>
  <c r="E159" i="13"/>
  <c r="E144" i="13"/>
  <c r="E157" i="13"/>
  <c r="E147" i="13"/>
  <c r="E150" i="13"/>
  <c r="E37" i="13"/>
  <c r="E29" i="13"/>
  <c r="E92" i="14" s="1"/>
  <c r="E156" i="13"/>
  <c r="E151" i="13"/>
  <c r="E154" i="13"/>
  <c r="E142" i="13"/>
  <c r="E36" i="13"/>
  <c r="E149" i="13"/>
  <c r="E43" i="13"/>
  <c r="E145" i="13"/>
  <c r="E152" i="13"/>
  <c r="E25" i="13"/>
  <c r="E89" i="14" s="1"/>
  <c r="E160" i="13"/>
  <c r="E42" i="13"/>
  <c r="E146" i="13"/>
  <c r="E27" i="13"/>
  <c r="E26" i="13"/>
  <c r="E90" i="14" s="1"/>
  <c r="C65" i="16"/>
  <c r="C229" i="22"/>
  <c r="B1019" i="22"/>
  <c r="C46" i="16"/>
  <c r="B955" i="22"/>
  <c r="C44" i="16"/>
  <c r="F763" i="22"/>
  <c r="C291" i="16"/>
  <c r="B827" i="22"/>
  <c r="C40" i="16"/>
  <c r="F1019" i="22"/>
  <c r="C299" i="16"/>
  <c r="C453" i="22"/>
  <c r="C72" i="16"/>
  <c r="C923" i="22"/>
  <c r="C87" i="16"/>
  <c r="D763" i="22"/>
  <c r="C126" i="16"/>
  <c r="B293" i="22"/>
  <c r="C23" i="16"/>
  <c r="C261" i="22"/>
  <c r="C66" i="16"/>
  <c r="B763" i="22"/>
  <c r="C38" i="16"/>
  <c r="B605" i="22"/>
  <c r="C33" i="16"/>
  <c r="C97" i="13"/>
  <c r="B261" i="22"/>
  <c r="C22" i="16"/>
  <c r="I146" i="13"/>
  <c r="I144" i="13"/>
  <c r="I145" i="13"/>
  <c r="I159" i="13"/>
  <c r="I143" i="13"/>
  <c r="I29" i="13"/>
  <c r="I92" i="14" s="1"/>
  <c r="I36" i="13"/>
  <c r="I152" i="13"/>
  <c r="I28" i="13"/>
  <c r="I91" i="14" s="1"/>
  <c r="I35" i="13"/>
  <c r="I97" i="14" s="1"/>
  <c r="I148" i="13"/>
  <c r="I33" i="13"/>
  <c r="I95" i="14" s="1"/>
  <c r="I38" i="13"/>
  <c r="I42" i="13"/>
  <c r="I41" i="13"/>
  <c r="I37" i="13"/>
  <c r="I160" i="13"/>
  <c r="I158" i="13"/>
  <c r="I151" i="13"/>
  <c r="I27" i="13"/>
  <c r="I157" i="13"/>
  <c r="I142" i="13"/>
  <c r="I40" i="13"/>
  <c r="I34" i="13"/>
  <c r="I96" i="14" s="1"/>
  <c r="I31" i="13"/>
  <c r="I93" i="14" s="1"/>
  <c r="I25" i="13"/>
  <c r="I89" i="14" s="1"/>
  <c r="I149" i="13"/>
  <c r="I147" i="13"/>
  <c r="I43" i="13"/>
  <c r="I154" i="13"/>
  <c r="I30" i="13"/>
  <c r="I39" i="13"/>
  <c r="I32" i="13"/>
  <c r="I94" i="14" s="1"/>
  <c r="I153" i="13"/>
  <c r="I156" i="13"/>
  <c r="I150" i="13"/>
  <c r="I26" i="13"/>
  <c r="I90" i="14" s="1"/>
  <c r="I155" i="13"/>
  <c r="H454" i="22"/>
  <c r="D281" i="16"/>
  <c r="D924" i="22"/>
  <c r="D131" i="16"/>
  <c r="D422" i="22"/>
  <c r="D115" i="16"/>
  <c r="D41" i="16"/>
  <c r="B860" i="22"/>
  <c r="D860" i="22" s="1"/>
  <c r="C34" i="23" s="1"/>
  <c r="C262" i="22"/>
  <c r="D66" i="16"/>
  <c r="D96" i="13"/>
  <c r="B576" i="22"/>
  <c r="C576" i="22" s="1"/>
  <c r="C25" i="23" s="1"/>
  <c r="D32" i="16"/>
  <c r="H390" i="22"/>
  <c r="D279" i="16"/>
  <c r="D956" i="22"/>
  <c r="D297" i="16"/>
  <c r="D94" i="13"/>
  <c r="B516" i="22"/>
  <c r="C516" i="22" s="1"/>
  <c r="D30" i="16"/>
  <c r="D46" i="16"/>
  <c r="B1020" i="22"/>
  <c r="C796" i="22"/>
  <c r="D83" i="16"/>
  <c r="B262" i="22"/>
  <c r="E262" i="22" s="1"/>
  <c r="D22" i="16"/>
  <c r="D43" i="16"/>
  <c r="B924" i="22"/>
  <c r="C422" i="22"/>
  <c r="D71" i="16"/>
  <c r="D605" i="22"/>
  <c r="C121" i="16"/>
  <c r="C130" i="13"/>
  <c r="B859" i="22"/>
  <c r="C41" i="16"/>
  <c r="C297" i="16"/>
  <c r="D955" i="22"/>
  <c r="B731" i="22"/>
  <c r="C37" i="16"/>
  <c r="D699" i="22"/>
  <c r="C289" i="16"/>
  <c r="C34" i="16"/>
  <c r="B635" i="22"/>
  <c r="C293" i="22"/>
  <c r="C67" i="16"/>
  <c r="C1051" i="22"/>
  <c r="C91" i="16"/>
  <c r="C26" i="16"/>
  <c r="B389" i="22"/>
  <c r="C116" i="16"/>
  <c r="D453" i="22"/>
  <c r="B923" i="22"/>
  <c r="C43" i="16"/>
  <c r="B421" i="22"/>
  <c r="C27" i="16"/>
  <c r="C389" i="22"/>
  <c r="C70" i="16"/>
  <c r="C1019" i="22"/>
  <c r="C90" i="16"/>
  <c r="C115" i="16"/>
  <c r="D421" i="22"/>
  <c r="G147" i="13"/>
  <c r="G40" i="13"/>
  <c r="G30" i="13"/>
  <c r="G26" i="13"/>
  <c r="G90" i="14" s="1"/>
  <c r="G43" i="13"/>
  <c r="G36" i="13"/>
  <c r="G42" i="13"/>
  <c r="G155" i="13"/>
  <c r="G33" i="13"/>
  <c r="G95" i="14" s="1"/>
  <c r="G41" i="13"/>
  <c r="G144" i="13"/>
  <c r="G143" i="13"/>
  <c r="G157" i="13"/>
  <c r="G38" i="13"/>
  <c r="G29" i="13"/>
  <c r="G92" i="14" s="1"/>
  <c r="G158" i="13"/>
  <c r="G39" i="13"/>
  <c r="G149" i="13"/>
  <c r="G151" i="13"/>
  <c r="G32" i="13"/>
  <c r="G94" i="14" s="1"/>
  <c r="G28" i="13"/>
  <c r="G91" i="14" s="1"/>
  <c r="G27" i="13"/>
  <c r="G156" i="13"/>
  <c r="G142" i="13"/>
  <c r="G150" i="13"/>
  <c r="G35" i="13"/>
  <c r="G97" i="14" s="1"/>
  <c r="G25" i="13"/>
  <c r="G89" i="14" s="1"/>
  <c r="G34" i="13"/>
  <c r="G96" i="14" s="1"/>
  <c r="G145" i="13"/>
  <c r="G154" i="13"/>
  <c r="G153" i="13"/>
  <c r="G31" i="13"/>
  <c r="G93" i="14" s="1"/>
  <c r="G160" i="13"/>
  <c r="G146" i="13"/>
  <c r="G159" i="13"/>
  <c r="G37" i="13"/>
  <c r="G152" i="13"/>
  <c r="G148" i="13"/>
  <c r="I105" i="12"/>
  <c r="I108" i="13" s="1"/>
  <c r="I78" i="12"/>
  <c r="I90" i="13" s="1"/>
  <c r="I82" i="12"/>
  <c r="I107" i="12"/>
  <c r="I110" i="13" s="1"/>
  <c r="I66" i="15"/>
  <c r="I81" i="15" s="1"/>
  <c r="I65" i="15"/>
  <c r="I80" i="15" s="1"/>
  <c r="I51" i="12"/>
  <c r="I43" i="12"/>
  <c r="I35" i="12"/>
  <c r="I64" i="13" s="1"/>
  <c r="I22" i="15" s="1"/>
  <c r="I34" i="15" s="1"/>
  <c r="I48" i="12"/>
  <c r="I40" i="12"/>
  <c r="I69" i="13" s="1"/>
  <c r="I140" i="12"/>
  <c r="I90" i="12"/>
  <c r="I83" i="12"/>
  <c r="I64" i="15"/>
  <c r="I79" i="15" s="1"/>
  <c r="I84" i="12"/>
  <c r="I134" i="12"/>
  <c r="I128" i="13" s="1"/>
  <c r="I136" i="12"/>
  <c r="I88" i="12"/>
  <c r="I62" i="15"/>
  <c r="I77" i="15" s="1"/>
  <c r="I55" i="12"/>
  <c r="I47" i="12"/>
  <c r="I39" i="12"/>
  <c r="I68" i="13" s="1"/>
  <c r="I52" i="12"/>
  <c r="I44" i="12"/>
  <c r="I67" i="15"/>
  <c r="I82" i="15" s="1"/>
  <c r="I45" i="12"/>
  <c r="I50" i="12"/>
  <c r="I36" i="12"/>
  <c r="I65" i="13" s="1"/>
  <c r="I23" i="15" s="1"/>
  <c r="I35" i="15" s="1"/>
  <c r="I27" i="12"/>
  <c r="I56" i="13" s="1"/>
  <c r="I32" i="12"/>
  <c r="I61" i="13" s="1"/>
  <c r="I24" i="12"/>
  <c r="I53" i="13" s="1"/>
  <c r="I80" i="12"/>
  <c r="I92" i="13" s="1"/>
  <c r="I114" i="12"/>
  <c r="I111" i="12"/>
  <c r="I114" i="13" s="1"/>
  <c r="I75" i="12"/>
  <c r="I87" i="13" s="1"/>
  <c r="I137" i="12"/>
  <c r="I73" i="12"/>
  <c r="I85" i="13" s="1"/>
  <c r="I63" i="15"/>
  <c r="I78" i="15" s="1"/>
  <c r="I41" i="12"/>
  <c r="I70" i="13" s="1"/>
  <c r="I46" i="12"/>
  <c r="I33" i="12"/>
  <c r="I62" i="13" s="1"/>
  <c r="I25" i="12"/>
  <c r="I54" i="13" s="1"/>
  <c r="I30" i="12"/>
  <c r="I59" i="13" s="1"/>
  <c r="I106" i="12"/>
  <c r="I109" i="13" s="1"/>
  <c r="I74" i="12"/>
  <c r="I86" i="13" s="1"/>
  <c r="I53" i="12"/>
  <c r="I37" i="12"/>
  <c r="I66" i="13" s="1"/>
  <c r="I42" i="12"/>
  <c r="I31" i="12"/>
  <c r="I60" i="13" s="1"/>
  <c r="I23" i="12"/>
  <c r="I52" i="13" s="1"/>
  <c r="I28" i="12"/>
  <c r="I57" i="13" s="1"/>
  <c r="I118" i="12"/>
  <c r="I116" i="12"/>
  <c r="I115" i="12"/>
  <c r="I89" i="12"/>
  <c r="I49" i="12"/>
  <c r="I54" i="12"/>
  <c r="I38" i="12"/>
  <c r="I67" i="13" s="1"/>
  <c r="I29" i="12"/>
  <c r="I58" i="13" s="1"/>
  <c r="I34" i="12"/>
  <c r="I63" i="13" s="1"/>
  <c r="I21" i="15" s="1"/>
  <c r="I33" i="15" s="1"/>
  <c r="I26" i="12"/>
  <c r="I55" i="13" s="1"/>
  <c r="I138" i="12"/>
  <c r="I135" i="12"/>
  <c r="I129" i="13" s="1"/>
  <c r="I133" i="12"/>
  <c r="I127" i="13" s="1"/>
  <c r="I141" i="12"/>
  <c r="I142" i="12"/>
  <c r="I87" i="12"/>
  <c r="I117" i="12"/>
  <c r="I110" i="12"/>
  <c r="I113" i="13" s="1"/>
  <c r="I113" i="12"/>
  <c r="I139" i="12"/>
  <c r="I91" i="12"/>
  <c r="I119" i="12"/>
  <c r="I81" i="12"/>
  <c r="I112" i="12"/>
  <c r="I115" i="13" s="1"/>
  <c r="I85" i="12"/>
  <c r="I86" i="12"/>
  <c r="I79" i="12"/>
  <c r="I91" i="13" s="1"/>
  <c r="I69" i="12"/>
  <c r="I81" i="13" s="1"/>
  <c r="I103" i="12"/>
  <c r="I106" i="13" s="1"/>
  <c r="I76" i="12"/>
  <c r="I88" i="13" s="1"/>
  <c r="I68" i="12"/>
  <c r="I80" i="13" s="1"/>
  <c r="I70" i="12"/>
  <c r="I82" i="13" s="1"/>
  <c r="I72" i="12"/>
  <c r="I84" i="13" s="1"/>
  <c r="I131" i="12"/>
  <c r="I125" i="13" s="1"/>
  <c r="H422" i="22"/>
  <c r="D280" i="16"/>
  <c r="F764" i="22"/>
  <c r="D291" i="16"/>
  <c r="B422" i="22"/>
  <c r="I422" i="22" s="1"/>
  <c r="D27" i="16"/>
  <c r="B636" i="22"/>
  <c r="D636" i="22" s="1"/>
  <c r="D34" i="16"/>
  <c r="D700" i="22"/>
  <c r="D289" i="16"/>
  <c r="D828" i="22"/>
  <c r="D293" i="16"/>
  <c r="D892" i="22"/>
  <c r="D130" i="16"/>
  <c r="D39" i="16"/>
  <c r="B796" i="22"/>
  <c r="D90" i="16"/>
  <c r="C1020" i="22"/>
  <c r="D82" i="16"/>
  <c r="C764" i="22"/>
  <c r="C294" i="22"/>
  <c r="D67" i="16"/>
  <c r="B486" i="22"/>
  <c r="C486" i="22" s="1"/>
  <c r="D29" i="16"/>
  <c r="D93" i="13"/>
  <c r="B892" i="22"/>
  <c r="D42" i="16"/>
  <c r="B390" i="22"/>
  <c r="D26" i="16"/>
  <c r="J106" i="12"/>
  <c r="J109" i="13" s="1"/>
  <c r="J141" i="12"/>
  <c r="J138" i="12"/>
  <c r="J90" i="12"/>
  <c r="J86" i="12"/>
  <c r="J107" i="12"/>
  <c r="J110" i="13" s="1"/>
  <c r="J75" i="12"/>
  <c r="J87" i="13" s="1"/>
  <c r="J113" i="12"/>
  <c r="J139" i="12"/>
  <c r="J112" i="12"/>
  <c r="J115" i="13" s="1"/>
  <c r="J79" i="12"/>
  <c r="J91" i="13" s="1"/>
  <c r="J142" i="12"/>
  <c r="J105" i="12"/>
  <c r="J108" i="13" s="1"/>
  <c r="J64" i="15"/>
  <c r="J79" i="15" s="1"/>
  <c r="J63" i="15"/>
  <c r="J78" i="15" s="1"/>
  <c r="J48" i="12"/>
  <c r="J40" i="12"/>
  <c r="J69" i="13" s="1"/>
  <c r="J45" i="12"/>
  <c r="J29" i="12"/>
  <c r="J58" i="13" s="1"/>
  <c r="J51" i="12"/>
  <c r="J41" i="12"/>
  <c r="J70" i="13" s="1"/>
  <c r="J28" i="12"/>
  <c r="J57" i="13" s="1"/>
  <c r="J47" i="12"/>
  <c r="J88" i="12"/>
  <c r="J140" i="12"/>
  <c r="J134" i="12"/>
  <c r="J128" i="13" s="1"/>
  <c r="J80" i="12"/>
  <c r="J92" i="13" s="1"/>
  <c r="J62" i="15"/>
  <c r="J77" i="15" s="1"/>
  <c r="J54" i="12"/>
  <c r="J46" i="12"/>
  <c r="J38" i="12"/>
  <c r="J67" i="13" s="1"/>
  <c r="J37" i="12"/>
  <c r="J66" i="13" s="1"/>
  <c r="J27" i="12"/>
  <c r="J56" i="13" s="1"/>
  <c r="J43" i="12"/>
  <c r="J34" i="12"/>
  <c r="J63" i="13" s="1"/>
  <c r="J21" i="15" s="1"/>
  <c r="J33" i="15" s="1"/>
  <c r="J26" i="12"/>
  <c r="J55" i="13" s="1"/>
  <c r="J39" i="12"/>
  <c r="J68" i="13" s="1"/>
  <c r="J82" i="12"/>
  <c r="J118" i="12"/>
  <c r="J133" i="12"/>
  <c r="J127" i="13" s="1"/>
  <c r="J67" i="15"/>
  <c r="J82" i="15" s="1"/>
  <c r="J52" i="12"/>
  <c r="J44" i="12"/>
  <c r="J36" i="12"/>
  <c r="J65" i="13" s="1"/>
  <c r="J23" i="15" s="1"/>
  <c r="J35" i="15" s="1"/>
  <c r="J33" i="12"/>
  <c r="J62" i="13" s="1"/>
  <c r="J25" i="12"/>
  <c r="J54" i="13" s="1"/>
  <c r="J35" i="12"/>
  <c r="J64" i="13" s="1"/>
  <c r="J22" i="15" s="1"/>
  <c r="J34" i="15" s="1"/>
  <c r="J32" i="12"/>
  <c r="J61" i="13" s="1"/>
  <c r="J24" i="12"/>
  <c r="J53" i="13" s="1"/>
  <c r="J66" i="15"/>
  <c r="J81" i="15" s="1"/>
  <c r="J65" i="15"/>
  <c r="J80" i="15" s="1"/>
  <c r="J50" i="12"/>
  <c r="J42" i="12"/>
  <c r="J53" i="12"/>
  <c r="J31" i="12"/>
  <c r="J60" i="13" s="1"/>
  <c r="J23" i="12"/>
  <c r="J52" i="13" s="1"/>
  <c r="J49" i="12"/>
  <c r="J30" i="12"/>
  <c r="J59" i="13" s="1"/>
  <c r="J55" i="12"/>
  <c r="J117" i="12"/>
  <c r="J87" i="12"/>
  <c r="J78" i="12"/>
  <c r="J90" i="13" s="1"/>
  <c r="J81" i="12"/>
  <c r="J91" i="12"/>
  <c r="J119" i="12"/>
  <c r="J73" i="12"/>
  <c r="J85" i="13" s="1"/>
  <c r="J74" i="12"/>
  <c r="J86" i="13" s="1"/>
  <c r="J135" i="12"/>
  <c r="J129" i="13" s="1"/>
  <c r="J115" i="12"/>
  <c r="J85" i="12"/>
  <c r="J114" i="12"/>
  <c r="J116" i="12"/>
  <c r="J137" i="12"/>
  <c r="J84" i="12"/>
  <c r="J89" i="12"/>
  <c r="J136" i="12"/>
  <c r="J111" i="12"/>
  <c r="J114" i="13" s="1"/>
  <c r="J110" i="12"/>
  <c r="J113" i="13" s="1"/>
  <c r="J83" i="12"/>
  <c r="J67" i="12"/>
  <c r="J79" i="13" s="1"/>
  <c r="J69" i="12"/>
  <c r="J81" i="13" s="1"/>
  <c r="J68" i="12"/>
  <c r="J80" i="13" s="1"/>
  <c r="J76" i="12"/>
  <c r="J88" i="13" s="1"/>
  <c r="J108" i="12"/>
  <c r="J111" i="13" s="1"/>
  <c r="J70" i="12"/>
  <c r="J82" i="13" s="1"/>
  <c r="J103" i="12"/>
  <c r="J106" i="13" s="1"/>
  <c r="F133" i="12"/>
  <c r="F127" i="13" s="1"/>
  <c r="F81" i="12"/>
  <c r="F84" i="12"/>
  <c r="F116" i="12"/>
  <c r="F74" i="12"/>
  <c r="F86" i="13" s="1"/>
  <c r="F111" i="12"/>
  <c r="F114" i="13" s="1"/>
  <c r="F91" i="12"/>
  <c r="F115" i="12"/>
  <c r="F114" i="12"/>
  <c r="F78" i="12"/>
  <c r="F90" i="13" s="1"/>
  <c r="F106" i="12"/>
  <c r="F109" i="13" s="1"/>
  <c r="F105" i="12"/>
  <c r="F108" i="13" s="1"/>
  <c r="F135" i="12"/>
  <c r="F129" i="13" s="1"/>
  <c r="F75" i="12"/>
  <c r="F87" i="13" s="1"/>
  <c r="F83" i="12"/>
  <c r="F119" i="12"/>
  <c r="F73" i="12"/>
  <c r="F85" i="13" s="1"/>
  <c r="F140" i="12"/>
  <c r="F80" i="12"/>
  <c r="F92" i="13" s="1"/>
  <c r="F67" i="15"/>
  <c r="F82" i="15" s="1"/>
  <c r="F52" i="12"/>
  <c r="F44" i="12"/>
  <c r="F55" i="12"/>
  <c r="F31" i="12"/>
  <c r="F60" i="13" s="1"/>
  <c r="F23" i="12"/>
  <c r="F52" i="13" s="1"/>
  <c r="F51" i="12"/>
  <c r="F32" i="12"/>
  <c r="F61" i="13" s="1"/>
  <c r="F24" i="12"/>
  <c r="F53" i="13" s="1"/>
  <c r="F86" i="12"/>
  <c r="F79" i="12"/>
  <c r="F91" i="13" s="1"/>
  <c r="F113" i="12"/>
  <c r="F66" i="15"/>
  <c r="F81" i="15" s="1"/>
  <c r="F65" i="15"/>
  <c r="F80" i="15" s="1"/>
  <c r="F50" i="12"/>
  <c r="F42" i="12"/>
  <c r="F47" i="12"/>
  <c r="F29" i="12"/>
  <c r="F58" i="13" s="1"/>
  <c r="F53" i="12"/>
  <c r="F43" i="12"/>
  <c r="F30" i="12"/>
  <c r="F59" i="13" s="1"/>
  <c r="F49" i="12"/>
  <c r="F87" i="12"/>
  <c r="F64" i="15"/>
  <c r="F79" i="15" s="1"/>
  <c r="F63" i="15"/>
  <c r="F78" i="15" s="1"/>
  <c r="F48" i="12"/>
  <c r="F40" i="12"/>
  <c r="F69" i="13" s="1"/>
  <c r="F39" i="12"/>
  <c r="F68" i="13" s="1"/>
  <c r="F27" i="12"/>
  <c r="F56" i="13" s="1"/>
  <c r="F45" i="12"/>
  <c r="F36" i="12"/>
  <c r="F65" i="13" s="1"/>
  <c r="F23" i="15" s="1"/>
  <c r="F35" i="15" s="1"/>
  <c r="F28" i="12"/>
  <c r="F57" i="13" s="1"/>
  <c r="F41" i="12"/>
  <c r="F70" i="13" s="1"/>
  <c r="F117" i="12"/>
  <c r="F118" i="12"/>
  <c r="F62" i="15"/>
  <c r="F77" i="15" s="1"/>
  <c r="F54" i="12"/>
  <c r="F46" i="12"/>
  <c r="F38" i="12"/>
  <c r="F67" i="13" s="1"/>
  <c r="F33" i="12"/>
  <c r="F62" i="13" s="1"/>
  <c r="F25" i="12"/>
  <c r="F54" i="13" s="1"/>
  <c r="F37" i="12"/>
  <c r="F66" i="13" s="1"/>
  <c r="F34" i="12"/>
  <c r="F63" i="13" s="1"/>
  <c r="F21" i="15" s="1"/>
  <c r="F33" i="15" s="1"/>
  <c r="F26" i="12"/>
  <c r="F55" i="13" s="1"/>
  <c r="F35" i="12"/>
  <c r="F64" i="13" s="1"/>
  <c r="F22" i="15" s="1"/>
  <c r="F34" i="15" s="1"/>
  <c r="F82" i="12"/>
  <c r="F89" i="12"/>
  <c r="F90" i="12"/>
  <c r="F141" i="12"/>
  <c r="F88" i="12"/>
  <c r="F137" i="12"/>
  <c r="F134" i="12"/>
  <c r="F128" i="13" s="1"/>
  <c r="F112" i="12"/>
  <c r="F115" i="13" s="1"/>
  <c r="F85" i="12"/>
  <c r="F110" i="12"/>
  <c r="F113" i="13" s="1"/>
  <c r="F138" i="12"/>
  <c r="F107" i="12"/>
  <c r="F110" i="13" s="1"/>
  <c r="F142" i="12"/>
  <c r="F139" i="12"/>
  <c r="F136" i="12"/>
  <c r="F67" i="12"/>
  <c r="F79" i="13" s="1"/>
  <c r="F108" i="12"/>
  <c r="F111" i="13" s="1"/>
  <c r="F70" i="12"/>
  <c r="F82" i="13" s="1"/>
  <c r="F68" i="12"/>
  <c r="F80" i="13" s="1"/>
  <c r="F72" i="12"/>
  <c r="F84" i="13" s="1"/>
  <c r="F131" i="12"/>
  <c r="F125" i="13" s="1"/>
  <c r="C42" i="16"/>
  <c r="B891" i="22"/>
  <c r="H453" i="22"/>
  <c r="C281" i="16"/>
  <c r="C605" i="22"/>
  <c r="C77" i="16"/>
  <c r="C116" i="13"/>
  <c r="C280" i="16"/>
  <c r="H421" i="22"/>
  <c r="B987" i="22"/>
  <c r="C45" i="16"/>
  <c r="C295" i="16"/>
  <c r="F891" i="22"/>
  <c r="B229" i="22"/>
  <c r="C21" i="16"/>
  <c r="C71" i="16"/>
  <c r="C421" i="22"/>
  <c r="B1051" i="22"/>
  <c r="C47" i="16"/>
  <c r="D1051" i="22"/>
  <c r="C135" i="16"/>
  <c r="D1019" i="22"/>
  <c r="C134" i="16"/>
  <c r="B515" i="22"/>
  <c r="C30" i="16"/>
  <c r="C94" i="13"/>
  <c r="D891" i="22"/>
  <c r="C130" i="16"/>
  <c r="D389" i="22"/>
  <c r="C114" i="16"/>
  <c r="E116" i="12"/>
  <c r="E83" i="12"/>
  <c r="E86" i="12"/>
  <c r="E112" i="12"/>
  <c r="E115" i="13" s="1"/>
  <c r="E119" i="12"/>
  <c r="E81" i="12"/>
  <c r="E90" i="12"/>
  <c r="E111" i="12"/>
  <c r="E114" i="13" s="1"/>
  <c r="E113" i="12"/>
  <c r="E88" i="12"/>
  <c r="E79" i="12"/>
  <c r="E91" i="13" s="1"/>
  <c r="E82" i="12"/>
  <c r="E91" i="12"/>
  <c r="E140" i="12"/>
  <c r="E85" i="12"/>
  <c r="E107" i="12"/>
  <c r="E110" i="13" s="1"/>
  <c r="E115" i="12"/>
  <c r="E74" i="12"/>
  <c r="E86" i="13" s="1"/>
  <c r="E75" i="12"/>
  <c r="E87" i="13" s="1"/>
  <c r="E84" i="12"/>
  <c r="E139" i="12"/>
  <c r="E66" i="15"/>
  <c r="E81" i="15" s="1"/>
  <c r="E65" i="15"/>
  <c r="E80" i="15" s="1"/>
  <c r="E51" i="12"/>
  <c r="E43" i="12"/>
  <c r="E35" i="12"/>
  <c r="E64" i="13" s="1"/>
  <c r="E22" i="15" s="1"/>
  <c r="E34" i="15" s="1"/>
  <c r="E48" i="12"/>
  <c r="E40" i="12"/>
  <c r="E69" i="13" s="1"/>
  <c r="E31" i="12"/>
  <c r="E60" i="13" s="1"/>
  <c r="E23" i="12"/>
  <c r="E52" i="13" s="1"/>
  <c r="E28" i="12"/>
  <c r="E57" i="13" s="1"/>
  <c r="E105" i="12"/>
  <c r="E108" i="13" s="1"/>
  <c r="E87" i="12"/>
  <c r="E141" i="12"/>
  <c r="E64" i="15"/>
  <c r="E79" i="15" s="1"/>
  <c r="E63" i="15"/>
  <c r="E78" i="15" s="1"/>
  <c r="E49" i="12"/>
  <c r="E41" i="12"/>
  <c r="E70" i="13" s="1"/>
  <c r="E54" i="12"/>
  <c r="E46" i="12"/>
  <c r="E38" i="12"/>
  <c r="E67" i="13" s="1"/>
  <c r="E29" i="12"/>
  <c r="E58" i="13" s="1"/>
  <c r="E34" i="12"/>
  <c r="E63" i="13" s="1"/>
  <c r="E21" i="15" s="1"/>
  <c r="E33" i="15" s="1"/>
  <c r="E26" i="12"/>
  <c r="E55" i="13" s="1"/>
  <c r="E137" i="12"/>
  <c r="E62" i="15"/>
  <c r="E77" i="15" s="1"/>
  <c r="E55" i="12"/>
  <c r="E47" i="12"/>
  <c r="E39" i="12"/>
  <c r="E68" i="13" s="1"/>
  <c r="E52" i="12"/>
  <c r="E44" i="12"/>
  <c r="E36" i="12"/>
  <c r="E65" i="13" s="1"/>
  <c r="E23" i="15" s="1"/>
  <c r="E35" i="15" s="1"/>
  <c r="E27" i="12"/>
  <c r="E56" i="13" s="1"/>
  <c r="E32" i="12"/>
  <c r="E61" i="13" s="1"/>
  <c r="E24" i="12"/>
  <c r="E53" i="13" s="1"/>
  <c r="E106" i="12"/>
  <c r="E109" i="13" s="1"/>
  <c r="E73" i="12"/>
  <c r="E85" i="13" s="1"/>
  <c r="E135" i="12"/>
  <c r="E129" i="13" s="1"/>
  <c r="E78" i="12"/>
  <c r="E90" i="13" s="1"/>
  <c r="E136" i="12"/>
  <c r="E67" i="15"/>
  <c r="E82" i="15" s="1"/>
  <c r="E53" i="12"/>
  <c r="E45" i="12"/>
  <c r="E37" i="12"/>
  <c r="E66" i="13" s="1"/>
  <c r="E50" i="12"/>
  <c r="E42" i="12"/>
  <c r="E25" i="12"/>
  <c r="E54" i="13" s="1"/>
  <c r="E110" i="12"/>
  <c r="E113" i="13" s="1"/>
  <c r="E117" i="12"/>
  <c r="E89" i="12"/>
  <c r="E134" i="12"/>
  <c r="E128" i="13" s="1"/>
  <c r="E118" i="12"/>
  <c r="E114" i="12"/>
  <c r="E30" i="12"/>
  <c r="E59" i="13" s="1"/>
  <c r="E80" i="12"/>
  <c r="E92" i="13" s="1"/>
  <c r="E138" i="12"/>
  <c r="E133" i="12"/>
  <c r="E127" i="13" s="1"/>
  <c r="E33" i="12"/>
  <c r="E62" i="13" s="1"/>
  <c r="E142" i="12"/>
  <c r="E67" i="12"/>
  <c r="E79" i="13" s="1"/>
  <c r="E69" i="12"/>
  <c r="E81" i="13" s="1"/>
  <c r="E76" i="12"/>
  <c r="E88" i="13" s="1"/>
  <c r="E131" i="12"/>
  <c r="E125" i="13" s="1"/>
  <c r="E72" i="12"/>
  <c r="E84" i="13" s="1"/>
  <c r="E68" i="12"/>
  <c r="E80" i="13" s="1"/>
  <c r="E70" i="12"/>
  <c r="E82" i="13" s="1"/>
  <c r="E108" i="12"/>
  <c r="E111" i="13" s="1"/>
  <c r="E103" i="12"/>
  <c r="E106" i="13" s="1"/>
  <c r="C892" i="22"/>
  <c r="D86" i="16"/>
  <c r="C924" i="22"/>
  <c r="D87" i="16"/>
  <c r="D295" i="16"/>
  <c r="F892" i="22"/>
  <c r="B828" i="22"/>
  <c r="E828" i="22" s="1"/>
  <c r="D40" i="16"/>
  <c r="F1020" i="22"/>
  <c r="D299" i="16"/>
  <c r="B546" i="22"/>
  <c r="C546" i="22" s="1"/>
  <c r="D31" i="16"/>
  <c r="D95" i="13"/>
  <c r="D37" i="16"/>
  <c r="B732" i="22"/>
  <c r="D732" i="22" s="1"/>
  <c r="C30" i="23" s="1"/>
  <c r="D23" i="16"/>
  <c r="B294" i="22"/>
  <c r="E294" i="22" s="1"/>
  <c r="D764" i="22"/>
  <c r="D126" i="16"/>
  <c r="C1052" i="22"/>
  <c r="D91" i="16"/>
  <c r="D65" i="16"/>
  <c r="C230" i="22"/>
  <c r="D606" i="22"/>
  <c r="D121" i="16"/>
  <c r="D130" i="13"/>
  <c r="D114" i="16"/>
  <c r="D390" i="22"/>
  <c r="D21" i="16"/>
  <c r="B230" i="22"/>
  <c r="C32" i="16"/>
  <c r="C96" i="13"/>
  <c r="B575" i="22"/>
  <c r="C795" i="22"/>
  <c r="C83" i="16"/>
  <c r="H389" i="22"/>
  <c r="C279" i="16"/>
  <c r="B699" i="22"/>
  <c r="C36" i="16"/>
  <c r="B667" i="22"/>
  <c r="C35" i="16"/>
  <c r="D827" i="22"/>
  <c r="C293" i="16"/>
  <c r="B795" i="22"/>
  <c r="C39" i="16"/>
  <c r="D795" i="22"/>
  <c r="C127" i="16"/>
  <c r="C95" i="13"/>
  <c r="B545" i="22"/>
  <c r="C31" i="16"/>
  <c r="B485" i="22"/>
  <c r="C29" i="16"/>
  <c r="C93" i="13"/>
  <c r="D923" i="22"/>
  <c r="C131" i="16"/>
  <c r="C763" i="22"/>
  <c r="C82" i="16"/>
  <c r="B453" i="22"/>
  <c r="J453" i="22" s="1"/>
  <c r="C28" i="16"/>
  <c r="C891" i="22"/>
  <c r="C86" i="16"/>
  <c r="C390" i="22"/>
  <c r="D70" i="16"/>
  <c r="B1052" i="22"/>
  <c r="D47" i="16"/>
  <c r="D36" i="16"/>
  <c r="B700" i="22"/>
  <c r="E700" i="22" s="1"/>
  <c r="D1020" i="22"/>
  <c r="D134" i="16"/>
  <c r="D44" i="16"/>
  <c r="B956" i="22"/>
  <c r="E956" i="22" s="1"/>
  <c r="B668" i="22"/>
  <c r="D668" i="22" s="1"/>
  <c r="C28" i="23" s="1"/>
  <c r="D35" i="16"/>
  <c r="D1052" i="22"/>
  <c r="D135" i="16"/>
  <c r="D796" i="22"/>
  <c r="D127" i="16"/>
  <c r="B988" i="22"/>
  <c r="D988" i="22" s="1"/>
  <c r="C38" i="23" s="1"/>
  <c r="D45" i="16"/>
  <c r="C454" i="22"/>
  <c r="D72" i="16"/>
  <c r="D116" i="16"/>
  <c r="D454" i="22"/>
  <c r="B454" i="22"/>
  <c r="D28" i="16"/>
  <c r="D116" i="13"/>
  <c r="C606" i="22"/>
  <c r="D77" i="16"/>
  <c r="B764" i="22"/>
  <c r="H764" i="22" s="1"/>
  <c r="D38" i="16"/>
  <c r="B606" i="22"/>
  <c r="D33" i="16"/>
  <c r="D97" i="13"/>
  <c r="G118" i="12"/>
  <c r="G110" i="12"/>
  <c r="G113" i="13" s="1"/>
  <c r="G75" i="12"/>
  <c r="G87" i="13" s="1"/>
  <c r="G83" i="12"/>
  <c r="G138" i="12"/>
  <c r="G114" i="12"/>
  <c r="G116" i="12"/>
  <c r="G79" i="12"/>
  <c r="G91" i="13" s="1"/>
  <c r="G74" i="12"/>
  <c r="G86" i="13" s="1"/>
  <c r="G117" i="12"/>
  <c r="G86" i="12"/>
  <c r="G85" i="12"/>
  <c r="G119" i="12"/>
  <c r="G90" i="12"/>
  <c r="G136" i="12"/>
  <c r="G112" i="12"/>
  <c r="G115" i="13" s="1"/>
  <c r="G88" i="12"/>
  <c r="G111" i="12"/>
  <c r="G114" i="13" s="1"/>
  <c r="G107" i="12"/>
  <c r="G110" i="13" s="1"/>
  <c r="G82" i="12"/>
  <c r="G135" i="12"/>
  <c r="G129" i="13" s="1"/>
  <c r="G81" i="12"/>
  <c r="G80" i="12"/>
  <c r="G92" i="13" s="1"/>
  <c r="G113" i="12"/>
  <c r="G89" i="12"/>
  <c r="G105" i="12"/>
  <c r="G108" i="13" s="1"/>
  <c r="G106" i="12"/>
  <c r="G109" i="13" s="1"/>
  <c r="G73" i="12"/>
  <c r="G85" i="13" s="1"/>
  <c r="G115" i="12"/>
  <c r="G141" i="12"/>
  <c r="G65" i="15"/>
  <c r="G80" i="15" s="1"/>
  <c r="G62" i="15"/>
  <c r="G77" i="15" s="1"/>
  <c r="G48" i="12"/>
  <c r="G40" i="12"/>
  <c r="G69" i="13" s="1"/>
  <c r="G53" i="12"/>
  <c r="G45" i="12"/>
  <c r="G37" i="12"/>
  <c r="G66" i="13" s="1"/>
  <c r="G30" i="12"/>
  <c r="G59" i="13" s="1"/>
  <c r="G33" i="12"/>
  <c r="G62" i="13" s="1"/>
  <c r="G25" i="12"/>
  <c r="G54" i="13" s="1"/>
  <c r="G139" i="12"/>
  <c r="G140" i="12"/>
  <c r="G91" i="12"/>
  <c r="G67" i="15"/>
  <c r="G82" i="15" s="1"/>
  <c r="G54" i="12"/>
  <c r="G44" i="12"/>
  <c r="G55" i="12"/>
  <c r="G43" i="12"/>
  <c r="G34" i="12"/>
  <c r="G63" i="13" s="1"/>
  <c r="G21" i="15" s="1"/>
  <c r="G33" i="15" s="1"/>
  <c r="G24" i="12"/>
  <c r="G53" i="13" s="1"/>
  <c r="G23" i="12"/>
  <c r="G52" i="13" s="1"/>
  <c r="G63" i="15"/>
  <c r="G78" i="15" s="1"/>
  <c r="G52" i="12"/>
  <c r="G42" i="12"/>
  <c r="G51" i="12"/>
  <c r="G41" i="12"/>
  <c r="G70" i="13" s="1"/>
  <c r="G32" i="12"/>
  <c r="G61" i="13" s="1"/>
  <c r="G31" i="12"/>
  <c r="G60" i="13" s="1"/>
  <c r="G142" i="12"/>
  <c r="G84" i="12"/>
  <c r="G133" i="12"/>
  <c r="G127" i="13" s="1"/>
  <c r="G66" i="15"/>
  <c r="G81" i="15" s="1"/>
  <c r="G50" i="12"/>
  <c r="G38" i="12"/>
  <c r="G67" i="13" s="1"/>
  <c r="G49" i="12"/>
  <c r="G39" i="12"/>
  <c r="G68" i="13" s="1"/>
  <c r="G28" i="12"/>
  <c r="G57" i="13" s="1"/>
  <c r="G29" i="12"/>
  <c r="G58" i="13" s="1"/>
  <c r="G134" i="12"/>
  <c r="G128" i="13" s="1"/>
  <c r="G87" i="12"/>
  <c r="G64" i="15"/>
  <c r="G79" i="15" s="1"/>
  <c r="G46" i="12"/>
  <c r="G36" i="12"/>
  <c r="G65" i="13" s="1"/>
  <c r="G23" i="15" s="1"/>
  <c r="G35" i="15" s="1"/>
  <c r="G47" i="12"/>
  <c r="G35" i="12"/>
  <c r="G64" i="13" s="1"/>
  <c r="G22" i="15" s="1"/>
  <c r="G34" i="15" s="1"/>
  <c r="G26" i="12"/>
  <c r="G55" i="13" s="1"/>
  <c r="G27" i="12"/>
  <c r="G56" i="13" s="1"/>
  <c r="G78" i="12"/>
  <c r="G90" i="13" s="1"/>
  <c r="G137" i="12"/>
  <c r="G67" i="12"/>
  <c r="G79" i="13" s="1"/>
  <c r="G69" i="12"/>
  <c r="G81" i="13" s="1"/>
  <c r="G131" i="12"/>
  <c r="G125" i="13" s="1"/>
  <c r="G108" i="12"/>
  <c r="G111" i="13" s="1"/>
  <c r="G70" i="12"/>
  <c r="G82" i="13" s="1"/>
  <c r="G72" i="12"/>
  <c r="G84" i="13" s="1"/>
  <c r="G103" i="12"/>
  <c r="G106" i="13" s="1"/>
  <c r="F11" i="13"/>
  <c r="H115" i="12"/>
  <c r="H106" i="12"/>
  <c r="H109" i="13" s="1"/>
  <c r="H89" i="12"/>
  <c r="H112" i="12"/>
  <c r="H115" i="13" s="1"/>
  <c r="H82" i="12"/>
  <c r="H139" i="12"/>
  <c r="H87" i="12"/>
  <c r="H110" i="12"/>
  <c r="H113" i="13" s="1"/>
  <c r="H73" i="12"/>
  <c r="H85" i="13" s="1"/>
  <c r="H90" i="12"/>
  <c r="H79" i="12"/>
  <c r="H91" i="13" s="1"/>
  <c r="H137" i="12"/>
  <c r="H75" i="12"/>
  <c r="H87" i="13" s="1"/>
  <c r="H113" i="12"/>
  <c r="H83" i="12"/>
  <c r="H136" i="12"/>
  <c r="H105" i="12"/>
  <c r="H108" i="13" s="1"/>
  <c r="H118" i="12"/>
  <c r="H138" i="12"/>
  <c r="H111" i="12"/>
  <c r="H114" i="13" s="1"/>
  <c r="H84" i="12"/>
  <c r="H135" i="12"/>
  <c r="H129" i="13" s="1"/>
  <c r="H81" i="12"/>
  <c r="H114" i="12"/>
  <c r="H133" i="12"/>
  <c r="H127" i="13" s="1"/>
  <c r="H91" i="12"/>
  <c r="H78" i="12"/>
  <c r="H90" i="13" s="1"/>
  <c r="H117" i="12"/>
  <c r="H119" i="12"/>
  <c r="H140" i="12"/>
  <c r="H74" i="12"/>
  <c r="H86" i="13" s="1"/>
  <c r="H85" i="12"/>
  <c r="H80" i="12"/>
  <c r="H92" i="13" s="1"/>
  <c r="H116" i="12"/>
  <c r="H142" i="12"/>
  <c r="H86" i="12"/>
  <c r="H63" i="15"/>
  <c r="H78" i="15" s="1"/>
  <c r="H55" i="12"/>
  <c r="H47" i="12"/>
  <c r="H39" i="12"/>
  <c r="H68" i="13" s="1"/>
  <c r="H38" i="12"/>
  <c r="H67" i="13" s="1"/>
  <c r="H28" i="12"/>
  <c r="H57" i="13" s="1"/>
  <c r="H44" i="12"/>
  <c r="H35" i="12"/>
  <c r="H64" i="13" s="1"/>
  <c r="H22" i="15" s="1"/>
  <c r="H34" i="15" s="1"/>
  <c r="H27" i="12"/>
  <c r="H56" i="13" s="1"/>
  <c r="H40" i="12"/>
  <c r="H69" i="13" s="1"/>
  <c r="H66" i="15"/>
  <c r="H81" i="15" s="1"/>
  <c r="H53" i="12"/>
  <c r="H45" i="12"/>
  <c r="H37" i="12"/>
  <c r="H66" i="13" s="1"/>
  <c r="H34" i="12"/>
  <c r="H63" i="13" s="1"/>
  <c r="H21" i="15" s="1"/>
  <c r="H33" i="15" s="1"/>
  <c r="H26" i="12"/>
  <c r="H55" i="13" s="1"/>
  <c r="H36" i="12"/>
  <c r="H65" i="13" s="1"/>
  <c r="H23" i="15" s="1"/>
  <c r="H35" i="15" s="1"/>
  <c r="H33" i="12"/>
  <c r="H62" i="13" s="1"/>
  <c r="H25" i="12"/>
  <c r="H54" i="13" s="1"/>
  <c r="H67" i="15"/>
  <c r="H82" i="15" s="1"/>
  <c r="H64" i="15"/>
  <c r="H79" i="15" s="1"/>
  <c r="H51" i="12"/>
  <c r="H43" i="12"/>
  <c r="H54" i="12"/>
  <c r="H32" i="12"/>
  <c r="H61" i="13" s="1"/>
  <c r="H24" i="12"/>
  <c r="H53" i="13" s="1"/>
  <c r="H50" i="12"/>
  <c r="H31" i="12"/>
  <c r="H60" i="13" s="1"/>
  <c r="H23" i="12"/>
  <c r="H52" i="13" s="1"/>
  <c r="H141" i="12"/>
  <c r="H134" i="12"/>
  <c r="H128" i="13" s="1"/>
  <c r="H88" i="12"/>
  <c r="H65" i="15"/>
  <c r="H80" i="15" s="1"/>
  <c r="H62" i="15"/>
  <c r="H77" i="15" s="1"/>
  <c r="H49" i="12"/>
  <c r="H41" i="12"/>
  <c r="H70" i="13" s="1"/>
  <c r="H46" i="12"/>
  <c r="H30" i="12"/>
  <c r="H59" i="13" s="1"/>
  <c r="H52" i="12"/>
  <c r="H42" i="12"/>
  <c r="H29" i="12"/>
  <c r="H58" i="13" s="1"/>
  <c r="H48" i="12"/>
  <c r="H107" i="12"/>
  <c r="H110" i="13" s="1"/>
  <c r="H67" i="12"/>
  <c r="H79" i="13" s="1"/>
  <c r="H69" i="12"/>
  <c r="H81" i="13" s="1"/>
  <c r="H72" i="12"/>
  <c r="H84" i="13" s="1"/>
  <c r="H11" i="13"/>
  <c r="F229" i="22"/>
  <c r="J421" i="22"/>
  <c r="F261" i="22"/>
  <c r="J389" i="22"/>
  <c r="D113" i="16"/>
  <c r="C171" i="22"/>
  <c r="E63" i="16"/>
  <c r="I113" i="16"/>
  <c r="C169" i="22"/>
  <c r="C63" i="16"/>
  <c r="C359" i="22"/>
  <c r="E69" i="16"/>
  <c r="C358" i="22"/>
  <c r="D69" i="16"/>
  <c r="C363" i="22"/>
  <c r="I69" i="16"/>
  <c r="G63" i="16"/>
  <c r="C364" i="22"/>
  <c r="J69" i="16"/>
  <c r="C175" i="22"/>
  <c r="I63" i="16"/>
  <c r="D362" i="22"/>
  <c r="H113" i="16"/>
  <c r="C174" i="22"/>
  <c r="H63" i="16"/>
  <c r="G69" i="16"/>
  <c r="D357" i="22"/>
  <c r="C113" i="16"/>
  <c r="D364" i="22"/>
  <c r="J113" i="16"/>
  <c r="C330" i="22"/>
  <c r="H68" i="16"/>
  <c r="E113" i="16"/>
  <c r="C362" i="22"/>
  <c r="H69" i="16"/>
  <c r="D330" i="22"/>
  <c r="H112" i="16"/>
  <c r="C172" i="22"/>
  <c r="F63" i="16"/>
  <c r="C176" i="22"/>
  <c r="J63" i="16"/>
  <c r="C170" i="22"/>
  <c r="D63" i="16"/>
  <c r="C360" i="22"/>
  <c r="F69" i="16"/>
  <c r="F293" i="22" l="1"/>
  <c r="F69" i="12"/>
  <c r="F81" i="13" s="1"/>
  <c r="C13" i="8"/>
  <c r="C118" i="8" s="1"/>
  <c r="C132" i="9" s="1"/>
  <c r="C69" i="12"/>
  <c r="C81" i="13" s="1"/>
  <c r="C69" i="16"/>
  <c r="H60" i="16"/>
  <c r="F113" i="16"/>
  <c r="H70" i="12"/>
  <c r="H82" i="13" s="1"/>
  <c r="B14" i="8"/>
  <c r="B119" i="8" s="1"/>
  <c r="B133" i="9" s="1"/>
  <c r="C15" i="8"/>
  <c r="C121" i="8" s="1"/>
  <c r="C135" i="9" s="1"/>
  <c r="C12" i="8"/>
  <c r="C116" i="8" s="1"/>
  <c r="C130" i="9" s="1"/>
  <c r="C67" i="12"/>
  <c r="C79" i="13" s="1"/>
  <c r="J72" i="12"/>
  <c r="J84" i="13" s="1"/>
  <c r="I67" i="12"/>
  <c r="I79" i="13" s="1"/>
  <c r="E230" i="22"/>
  <c r="L421" i="22"/>
  <c r="M421" i="22"/>
  <c r="K421" i="22"/>
  <c r="I454" i="22"/>
  <c r="C24" i="23"/>
  <c r="D546" i="22"/>
  <c r="C33" i="23"/>
  <c r="G828" i="22"/>
  <c r="F828" i="22"/>
  <c r="I389" i="22"/>
  <c r="C23" i="23"/>
  <c r="D516" i="22"/>
  <c r="D12" i="8"/>
  <c r="D116" i="8" s="1"/>
  <c r="D67" i="12"/>
  <c r="D79" i="13" s="1"/>
  <c r="L389" i="22"/>
  <c r="M389" i="22"/>
  <c r="K389" i="22"/>
  <c r="F606" i="22"/>
  <c r="E606" i="22"/>
  <c r="C37" i="23"/>
  <c r="G956" i="22"/>
  <c r="F956" i="22"/>
  <c r="C29" i="23"/>
  <c r="G700" i="22"/>
  <c r="F700" i="22"/>
  <c r="I453" i="22"/>
  <c r="E229" i="22"/>
  <c r="E605" i="22"/>
  <c r="D72" i="12"/>
  <c r="D84" i="13" s="1"/>
  <c r="D15" i="8"/>
  <c r="D121" i="8" s="1"/>
  <c r="D135" i="9" s="1"/>
  <c r="H261" i="22"/>
  <c r="G261" i="22"/>
  <c r="L453" i="22"/>
  <c r="M453" i="22"/>
  <c r="K453" i="22"/>
  <c r="I390" i="22"/>
  <c r="E261" i="22"/>
  <c r="D14" i="8"/>
  <c r="D119" i="8" s="1"/>
  <c r="D133" i="9" s="1"/>
  <c r="D70" i="12"/>
  <c r="D82" i="13" s="1"/>
  <c r="D71" i="12"/>
  <c r="D83" i="13" s="1"/>
  <c r="D33" i="8"/>
  <c r="D120" i="8" s="1"/>
  <c r="D134" i="9" s="1"/>
  <c r="H229" i="22"/>
  <c r="G229" i="22"/>
  <c r="H293" i="22"/>
  <c r="G293" i="22"/>
  <c r="C31" i="23"/>
  <c r="J764" i="22"/>
  <c r="I764" i="22"/>
  <c r="C22" i="23"/>
  <c r="D486" i="22"/>
  <c r="C27" i="23"/>
  <c r="F636" i="22"/>
  <c r="E636" i="22"/>
  <c r="I421" i="22"/>
  <c r="E293" i="22"/>
  <c r="D13" i="8"/>
  <c r="D118" i="8" s="1"/>
  <c r="D132" i="9" s="1"/>
  <c r="D69" i="12"/>
  <c r="D81" i="13" s="1"/>
  <c r="H130" i="9"/>
  <c r="D77" i="12"/>
  <c r="D89" i="13" s="1"/>
  <c r="D52" i="8"/>
  <c r="D126" i="8" s="1"/>
  <c r="D140" i="9" s="1"/>
  <c r="I77" i="12"/>
  <c r="I89" i="13" s="1"/>
  <c r="I52" i="8"/>
  <c r="I126" i="8" s="1"/>
  <c r="I140" i="9" s="1"/>
  <c r="I71" i="12"/>
  <c r="I83" i="13" s="1"/>
  <c r="I33" i="8"/>
  <c r="I120" i="8" s="1"/>
  <c r="I134" i="9" s="1"/>
  <c r="B201" i="22"/>
  <c r="C20" i="16"/>
  <c r="C52" i="8"/>
  <c r="C126" i="8" s="1"/>
  <c r="C140" i="9" s="1"/>
  <c r="C77" i="12"/>
  <c r="C89" i="13" s="1"/>
  <c r="B137" i="22"/>
  <c r="C18" i="16"/>
  <c r="J77" i="12"/>
  <c r="J89" i="13" s="1"/>
  <c r="J52" i="8"/>
  <c r="J126" i="8" s="1"/>
  <c r="J140" i="9" s="1"/>
  <c r="C71" i="12"/>
  <c r="C83" i="13" s="1"/>
  <c r="C33" i="8"/>
  <c r="C120" i="8" s="1"/>
  <c r="C134" i="9" s="1"/>
  <c r="F33" i="8"/>
  <c r="F120" i="8" s="1"/>
  <c r="F134" i="9" s="1"/>
  <c r="F71" i="12"/>
  <c r="F83" i="13" s="1"/>
  <c r="F77" i="12"/>
  <c r="F89" i="13" s="1"/>
  <c r="F52" i="8"/>
  <c r="F126" i="8" s="1"/>
  <c r="F140" i="9" s="1"/>
  <c r="J33" i="8"/>
  <c r="J120" i="8" s="1"/>
  <c r="J134" i="9" s="1"/>
  <c r="J71" i="12"/>
  <c r="J83" i="13" s="1"/>
  <c r="D198" i="16"/>
  <c r="F390" i="22"/>
  <c r="F454" i="22"/>
  <c r="D200" i="16"/>
  <c r="D239" i="16"/>
  <c r="G422" i="22"/>
  <c r="D154" i="16"/>
  <c r="D262" i="22"/>
  <c r="D147" i="16"/>
  <c r="C46" i="22"/>
  <c r="D240" i="16"/>
  <c r="G454" i="22"/>
  <c r="D153" i="16"/>
  <c r="D230" i="22"/>
  <c r="D157" i="16"/>
  <c r="E358" i="22"/>
  <c r="D199" i="16"/>
  <c r="F422" i="22"/>
  <c r="D156" i="16"/>
  <c r="E326" i="22"/>
  <c r="D150" i="16"/>
  <c r="C138" i="22"/>
  <c r="D238" i="16"/>
  <c r="G390" i="22"/>
  <c r="D155" i="16"/>
  <c r="D294" i="22"/>
  <c r="D151" i="16"/>
  <c r="D170" i="22"/>
  <c r="D148" i="16"/>
  <c r="D78" i="22"/>
  <c r="C77" i="22"/>
  <c r="C60" i="16"/>
  <c r="H33" i="8"/>
  <c r="H120" i="8" s="1"/>
  <c r="H134" i="9" s="1"/>
  <c r="H71" i="12"/>
  <c r="H83" i="13" s="1"/>
  <c r="J32" i="8"/>
  <c r="J117" i="8" s="1"/>
  <c r="B32" i="8"/>
  <c r="B117" i="8" s="1"/>
  <c r="B131" i="9" s="1"/>
  <c r="B68" i="12"/>
  <c r="B80" i="13" s="1"/>
  <c r="B16" i="16" s="1"/>
  <c r="H77" i="12"/>
  <c r="H89" i="13" s="1"/>
  <c r="H52" i="8"/>
  <c r="H126" i="8" s="1"/>
  <c r="H140" i="9" s="1"/>
  <c r="I32" i="8"/>
  <c r="I117" i="8" s="1"/>
  <c r="B76" i="12"/>
  <c r="B88" i="13" s="1"/>
  <c r="B24" i="16" s="1"/>
  <c r="B51" i="8"/>
  <c r="B125" i="8" s="1"/>
  <c r="B139" i="9" s="1"/>
  <c r="C68" i="16"/>
  <c r="C325" i="22"/>
  <c r="B71" i="12"/>
  <c r="B83" i="13" s="1"/>
  <c r="B19" i="16" s="1"/>
  <c r="B33" i="8"/>
  <c r="B120" i="8" s="1"/>
  <c r="B134" i="9" s="1"/>
  <c r="C32" i="8"/>
  <c r="C117" i="8" s="1"/>
  <c r="C68" i="12"/>
  <c r="C80" i="13" s="1"/>
  <c r="B132" i="12"/>
  <c r="B126" i="13" s="1"/>
  <c r="B113" i="16" s="1"/>
  <c r="J51" i="8"/>
  <c r="J125" i="8" s="1"/>
  <c r="J139" i="9" s="1"/>
  <c r="H32" i="8"/>
  <c r="H117" i="8" s="1"/>
  <c r="H131" i="9" s="1"/>
  <c r="H68" i="12"/>
  <c r="H80" i="13" s="1"/>
  <c r="G71" i="12"/>
  <c r="G83" i="13" s="1"/>
  <c r="G33" i="8"/>
  <c r="G120" i="8" s="1"/>
  <c r="G134" i="9" s="1"/>
  <c r="D112" i="16"/>
  <c r="D326" i="22"/>
  <c r="G32" i="8"/>
  <c r="G117" i="8" s="1"/>
  <c r="D325" i="22"/>
  <c r="C112" i="16"/>
  <c r="F51" i="8"/>
  <c r="F125" i="8" s="1"/>
  <c r="F139" i="9" s="1"/>
  <c r="I51" i="8"/>
  <c r="I125" i="8" s="1"/>
  <c r="I139" i="9" s="1"/>
  <c r="B130" i="9"/>
  <c r="D51" i="8"/>
  <c r="D125" i="8" s="1"/>
  <c r="D139" i="9" s="1"/>
  <c r="D76" i="12"/>
  <c r="D88" i="13" s="1"/>
  <c r="F32" i="8"/>
  <c r="F117" i="8" s="1"/>
  <c r="D68" i="12"/>
  <c r="D80" i="13" s="1"/>
  <c r="D32" i="8"/>
  <c r="D117" i="8" s="1"/>
  <c r="D131" i="9" s="1"/>
  <c r="E77" i="12"/>
  <c r="E89" i="13" s="1"/>
  <c r="E52" i="8"/>
  <c r="E126" i="8" s="1"/>
  <c r="E140" i="9" s="1"/>
  <c r="G132" i="12"/>
  <c r="G126" i="13" s="1"/>
  <c r="E71" i="12"/>
  <c r="E83" i="13" s="1"/>
  <c r="E33" i="8"/>
  <c r="E120" i="8" s="1"/>
  <c r="E134" i="9" s="1"/>
  <c r="G51" i="8"/>
  <c r="G125" i="8" s="1"/>
  <c r="G139" i="9" s="1"/>
  <c r="B52" i="8"/>
  <c r="B126" i="8" s="1"/>
  <c r="B140" i="9" s="1"/>
  <c r="B77" i="12"/>
  <c r="B89" i="13" s="1"/>
  <c r="B25" i="16" s="1"/>
  <c r="C326" i="22"/>
  <c r="D68" i="16"/>
  <c r="C78" i="22"/>
  <c r="D60" i="16"/>
  <c r="C76" i="12"/>
  <c r="C88" i="13" s="1"/>
  <c r="C51" i="8"/>
  <c r="C125" i="8" s="1"/>
  <c r="C139" i="9" s="1"/>
  <c r="H76" i="12"/>
  <c r="H88" i="13" s="1"/>
  <c r="H51" i="8"/>
  <c r="H125" i="8" s="1"/>
  <c r="H139" i="9" s="1"/>
  <c r="G52" i="8"/>
  <c r="G126" i="8" s="1"/>
  <c r="G140" i="9" s="1"/>
  <c r="G77" i="12"/>
  <c r="G89" i="13" s="1"/>
  <c r="G1052" i="22"/>
  <c r="C40" i="23" s="1"/>
  <c r="B206" i="22"/>
  <c r="C206" i="22" s="1"/>
  <c r="H20" i="16"/>
  <c r="C298" i="22"/>
  <c r="H67" i="16"/>
  <c r="B960" i="22"/>
  <c r="H44" i="16"/>
  <c r="H41" i="16"/>
  <c r="B864" i="22"/>
  <c r="D864" i="22" s="1"/>
  <c r="G34" i="23" s="1"/>
  <c r="H115" i="16"/>
  <c r="D426" i="22"/>
  <c r="B672" i="22"/>
  <c r="D672" i="22" s="1"/>
  <c r="G28" i="23" s="1"/>
  <c r="H35" i="16"/>
  <c r="H279" i="16"/>
  <c r="H394" i="22"/>
  <c r="H297" i="16"/>
  <c r="D960" i="22"/>
  <c r="B704" i="22"/>
  <c r="H36" i="16"/>
  <c r="D1056" i="22"/>
  <c r="H135" i="16"/>
  <c r="B266" i="22"/>
  <c r="H22" i="16"/>
  <c r="B394" i="22"/>
  <c r="H26" i="16"/>
  <c r="B490" i="22"/>
  <c r="C490" i="22" s="1"/>
  <c r="H29" i="16"/>
  <c r="H93" i="13"/>
  <c r="D800" i="22"/>
  <c r="H127" i="16"/>
  <c r="H95" i="13"/>
  <c r="B550" i="22"/>
  <c r="C550" i="22" s="1"/>
  <c r="H31" i="16"/>
  <c r="B426" i="22"/>
  <c r="H27" i="16"/>
  <c r="B800" i="22"/>
  <c r="H39" i="16"/>
  <c r="B928" i="22"/>
  <c r="H43" i="16"/>
  <c r="C81" i="22"/>
  <c r="G60" i="16"/>
  <c r="G18" i="16"/>
  <c r="B141" i="22"/>
  <c r="B49" i="22"/>
  <c r="G15" i="16"/>
  <c r="B579" i="22"/>
  <c r="C579" i="22" s="1"/>
  <c r="F25" i="23" s="1"/>
  <c r="G32" i="16"/>
  <c r="G96" i="13"/>
  <c r="F767" i="22"/>
  <c r="G291" i="16"/>
  <c r="G35" i="16"/>
  <c r="B671" i="22"/>
  <c r="D671" i="22" s="1"/>
  <c r="F28" i="23" s="1"/>
  <c r="F1023" i="22"/>
  <c r="G299" i="16"/>
  <c r="G37" i="16"/>
  <c r="B735" i="22"/>
  <c r="D735" i="22" s="1"/>
  <c r="F30" i="23" s="1"/>
  <c r="D703" i="22"/>
  <c r="G289" i="16"/>
  <c r="G21" i="16"/>
  <c r="B233" i="22"/>
  <c r="G77" i="16"/>
  <c r="G116" i="13"/>
  <c r="C609" i="22"/>
  <c r="G30" i="16"/>
  <c r="G94" i="13"/>
  <c r="B519" i="22"/>
  <c r="C519" i="22" s="1"/>
  <c r="G72" i="16"/>
  <c r="C457" i="22"/>
  <c r="G97" i="13"/>
  <c r="B609" i="22"/>
  <c r="G33" i="16"/>
  <c r="B425" i="22"/>
  <c r="G27" i="16"/>
  <c r="B549" i="22"/>
  <c r="C549" i="22" s="1"/>
  <c r="G31" i="16"/>
  <c r="G95" i="13"/>
  <c r="E699" i="22"/>
  <c r="E60" i="16"/>
  <c r="C79" i="22"/>
  <c r="B203" i="22"/>
  <c r="C203" i="22" s="1"/>
  <c r="E20" i="16"/>
  <c r="B47" i="22"/>
  <c r="E15" i="16"/>
  <c r="D797" i="22"/>
  <c r="E127" i="16"/>
  <c r="C1021" i="22"/>
  <c r="E90" i="16"/>
  <c r="C391" i="22"/>
  <c r="E70" i="16"/>
  <c r="D607" i="22"/>
  <c r="E121" i="16"/>
  <c r="E130" i="13"/>
  <c r="C263" i="22"/>
  <c r="E66" i="16"/>
  <c r="H455" i="22"/>
  <c r="E281" i="16"/>
  <c r="F765" i="22"/>
  <c r="E291" i="16"/>
  <c r="E65" i="16"/>
  <c r="C231" i="22"/>
  <c r="B577" i="22"/>
  <c r="C577" i="22" s="1"/>
  <c r="D25" i="23" s="1"/>
  <c r="E32" i="16"/>
  <c r="E96" i="13"/>
  <c r="E67" i="16"/>
  <c r="C295" i="22"/>
  <c r="B517" i="22"/>
  <c r="C517" i="22" s="1"/>
  <c r="E30" i="16"/>
  <c r="E94" i="13"/>
  <c r="E71" i="16"/>
  <c r="C423" i="22"/>
  <c r="C455" i="22"/>
  <c r="E72" i="16"/>
  <c r="G1051" i="22"/>
  <c r="D987" i="22"/>
  <c r="H891" i="22"/>
  <c r="B328" i="22"/>
  <c r="F24" i="16"/>
  <c r="B112" i="22"/>
  <c r="C112" i="22" s="1"/>
  <c r="F17" i="16"/>
  <c r="D1054" i="22"/>
  <c r="F135" i="16"/>
  <c r="F97" i="13"/>
  <c r="B608" i="22"/>
  <c r="F33" i="16"/>
  <c r="B894" i="22"/>
  <c r="F42" i="16"/>
  <c r="B518" i="22"/>
  <c r="C518" i="22" s="1"/>
  <c r="F30" i="16"/>
  <c r="F94" i="13"/>
  <c r="C926" i="22"/>
  <c r="F87" i="16"/>
  <c r="B734" i="22"/>
  <c r="D734" i="22" s="1"/>
  <c r="E30" i="23" s="1"/>
  <c r="F37" i="16"/>
  <c r="B830" i="22"/>
  <c r="F40" i="16"/>
  <c r="B862" i="22"/>
  <c r="D862" i="22" s="1"/>
  <c r="E34" i="23" s="1"/>
  <c r="F41" i="16"/>
  <c r="F894" i="22"/>
  <c r="F295" i="16"/>
  <c r="B766" i="22"/>
  <c r="F38" i="16"/>
  <c r="F44" i="16"/>
  <c r="B958" i="22"/>
  <c r="B232" i="22"/>
  <c r="F21" i="16"/>
  <c r="D456" i="22"/>
  <c r="F116" i="16"/>
  <c r="C766" i="22"/>
  <c r="F82" i="16"/>
  <c r="F22" i="16"/>
  <c r="B264" i="22"/>
  <c r="D392" i="22"/>
  <c r="F114" i="16"/>
  <c r="C332" i="22"/>
  <c r="J68" i="16"/>
  <c r="B116" i="22"/>
  <c r="C116" i="22" s="1"/>
  <c r="J17" i="16"/>
  <c r="C428" i="22"/>
  <c r="J71" i="16"/>
  <c r="D770" i="22"/>
  <c r="J126" i="16"/>
  <c r="J83" i="16"/>
  <c r="C802" i="22"/>
  <c r="C1058" i="22"/>
  <c r="J91" i="16"/>
  <c r="B802" i="22"/>
  <c r="J39" i="16"/>
  <c r="B866" i="22"/>
  <c r="D866" i="22" s="1"/>
  <c r="I34" i="23" s="1"/>
  <c r="J41" i="16"/>
  <c r="B642" i="22"/>
  <c r="D642" i="22" s="1"/>
  <c r="J34" i="16"/>
  <c r="J299" i="16"/>
  <c r="F1026" i="22"/>
  <c r="D930" i="22"/>
  <c r="J131" i="16"/>
  <c r="C236" i="22"/>
  <c r="J65" i="16"/>
  <c r="D898" i="22"/>
  <c r="J130" i="16"/>
  <c r="J38" i="16"/>
  <c r="B770" i="22"/>
  <c r="C268" i="22"/>
  <c r="J66" i="16"/>
  <c r="H892" i="22"/>
  <c r="B207" i="22"/>
  <c r="C207" i="22" s="1"/>
  <c r="I20" i="16"/>
  <c r="C83" i="22"/>
  <c r="I60" i="16"/>
  <c r="B769" i="22"/>
  <c r="I38" i="16"/>
  <c r="C1057" i="22"/>
  <c r="I91" i="16"/>
  <c r="C395" i="22"/>
  <c r="I70" i="16"/>
  <c r="D1025" i="22"/>
  <c r="I134" i="16"/>
  <c r="C897" i="22"/>
  <c r="I86" i="16"/>
  <c r="B267" i="22"/>
  <c r="I22" i="16"/>
  <c r="B235" i="22"/>
  <c r="I21" i="16"/>
  <c r="C769" i="22"/>
  <c r="I82" i="16"/>
  <c r="F1025" i="22"/>
  <c r="I299" i="16"/>
  <c r="D611" i="22"/>
  <c r="I121" i="16"/>
  <c r="I130" i="13"/>
  <c r="I31" i="16"/>
  <c r="I95" i="13"/>
  <c r="B551" i="22"/>
  <c r="C551" i="22" s="1"/>
  <c r="B833" i="22"/>
  <c r="I40" i="16"/>
  <c r="F897" i="22"/>
  <c r="I295" i="16"/>
  <c r="I26" i="16"/>
  <c r="B395" i="22"/>
  <c r="G199" i="16"/>
  <c r="F425" i="22"/>
  <c r="D233" i="22"/>
  <c r="G153" i="16"/>
  <c r="G156" i="16"/>
  <c r="E329" i="22"/>
  <c r="G154" i="16"/>
  <c r="D265" i="22"/>
  <c r="G457" i="22"/>
  <c r="G240" i="16"/>
  <c r="D81" i="22"/>
  <c r="G148" i="16"/>
  <c r="G924" i="22"/>
  <c r="C36" i="23" s="1"/>
  <c r="G459" i="22"/>
  <c r="I240" i="16"/>
  <c r="G395" i="22"/>
  <c r="I238" i="16"/>
  <c r="G427" i="22"/>
  <c r="I239" i="16"/>
  <c r="I147" i="16"/>
  <c r="C51" i="22"/>
  <c r="I157" i="16"/>
  <c r="E363" i="22"/>
  <c r="D175" i="22"/>
  <c r="I151" i="16"/>
  <c r="H763" i="22"/>
  <c r="H1019" i="22"/>
  <c r="E198" i="16"/>
  <c r="F391" i="22"/>
  <c r="E327" i="22"/>
  <c r="E156" i="16"/>
  <c r="D295" i="22"/>
  <c r="E155" i="16"/>
  <c r="G391" i="22"/>
  <c r="E238" i="16"/>
  <c r="B142" i="22"/>
  <c r="H18" i="16"/>
  <c r="B832" i="22"/>
  <c r="H40" i="16"/>
  <c r="D704" i="22"/>
  <c r="H289" i="16"/>
  <c r="D1024" i="22"/>
  <c r="H134" i="16"/>
  <c r="C896" i="22"/>
  <c r="H86" i="16"/>
  <c r="D928" i="22"/>
  <c r="H131" i="16"/>
  <c r="B1056" i="22"/>
  <c r="H47" i="16"/>
  <c r="H116" i="16"/>
  <c r="D458" i="22"/>
  <c r="C1024" i="22"/>
  <c r="H90" i="16"/>
  <c r="H116" i="13"/>
  <c r="C610" i="22"/>
  <c r="H77" i="16"/>
  <c r="H46" i="16"/>
  <c r="B1024" i="22"/>
  <c r="D896" i="22"/>
  <c r="H130" i="16"/>
  <c r="C266" i="22"/>
  <c r="H66" i="16"/>
  <c r="G24" i="16"/>
  <c r="B329" i="22"/>
  <c r="G68" i="16"/>
  <c r="C329" i="22"/>
  <c r="D767" i="22"/>
  <c r="G126" i="16"/>
  <c r="H425" i="22"/>
  <c r="G280" i="16"/>
  <c r="D831" i="22"/>
  <c r="G293" i="16"/>
  <c r="G135" i="16"/>
  <c r="D1055" i="22"/>
  <c r="B1055" i="22"/>
  <c r="G47" i="16"/>
  <c r="B991" i="22"/>
  <c r="D991" i="22" s="1"/>
  <c r="F38" i="23" s="1"/>
  <c r="G45" i="16"/>
  <c r="F895" i="22"/>
  <c r="G295" i="16"/>
  <c r="C265" i="22"/>
  <c r="G66" i="16"/>
  <c r="B457" i="22"/>
  <c r="G28" i="16"/>
  <c r="C297" i="22"/>
  <c r="G67" i="16"/>
  <c r="G130" i="13"/>
  <c r="D609" i="22"/>
  <c r="G121" i="16"/>
  <c r="G38" i="16"/>
  <c r="B767" i="22"/>
  <c r="G86" i="16"/>
  <c r="C895" i="22"/>
  <c r="G23" i="16"/>
  <c r="B297" i="22"/>
  <c r="C545" i="22"/>
  <c r="D545" i="22" s="1"/>
  <c r="C575" i="22"/>
  <c r="C327" i="22"/>
  <c r="E68" i="16"/>
  <c r="D327" i="22"/>
  <c r="E112" i="16"/>
  <c r="E135" i="16"/>
  <c r="D1053" i="22"/>
  <c r="E28" i="16"/>
  <c r="B455" i="22"/>
  <c r="D423" i="22"/>
  <c r="E115" i="16"/>
  <c r="B733" i="22"/>
  <c r="D733" i="22" s="1"/>
  <c r="D30" i="23" s="1"/>
  <c r="E37" i="16"/>
  <c r="B391" i="22"/>
  <c r="E26" i="16"/>
  <c r="B701" i="22"/>
  <c r="E36" i="16"/>
  <c r="H391" i="22"/>
  <c r="E279" i="16"/>
  <c r="E293" i="16"/>
  <c r="D829" i="22"/>
  <c r="B829" i="22"/>
  <c r="E40" i="16"/>
  <c r="F893" i="22"/>
  <c r="E295" i="16"/>
  <c r="E23" i="16"/>
  <c r="B295" i="22"/>
  <c r="E295" i="22" s="1"/>
  <c r="B607" i="22"/>
  <c r="E33" i="16"/>
  <c r="E97" i="13"/>
  <c r="E27" i="16"/>
  <c r="B423" i="22"/>
  <c r="B1021" i="22"/>
  <c r="E46" i="16"/>
  <c r="B765" i="22"/>
  <c r="E38" i="16"/>
  <c r="D328" i="22"/>
  <c r="F112" i="16"/>
  <c r="B140" i="22"/>
  <c r="F18" i="16"/>
  <c r="F15" i="16"/>
  <c r="B48" i="22"/>
  <c r="C296" i="22"/>
  <c r="F67" i="16"/>
  <c r="C456" i="22"/>
  <c r="F72" i="16"/>
  <c r="D1022" i="22"/>
  <c r="F134" i="16"/>
  <c r="F280" i="16"/>
  <c r="H424" i="22"/>
  <c r="F766" i="22"/>
  <c r="F291" i="16"/>
  <c r="F297" i="16"/>
  <c r="D958" i="22"/>
  <c r="F299" i="16"/>
  <c r="F1022" i="22"/>
  <c r="C1054" i="22"/>
  <c r="F91" i="16"/>
  <c r="C232" i="22"/>
  <c r="F65" i="16"/>
  <c r="F83" i="16"/>
  <c r="C798" i="22"/>
  <c r="C894" i="22"/>
  <c r="F86" i="16"/>
  <c r="C84" i="22"/>
  <c r="J60" i="16"/>
  <c r="D332" i="22"/>
  <c r="J112" i="16"/>
  <c r="J15" i="16"/>
  <c r="B52" i="22"/>
  <c r="J121" i="16"/>
  <c r="J130" i="13"/>
  <c r="D612" i="22"/>
  <c r="C898" i="22"/>
  <c r="J86" i="16"/>
  <c r="J116" i="16"/>
  <c r="D460" i="22"/>
  <c r="B1058" i="22"/>
  <c r="J47" i="16"/>
  <c r="C930" i="22"/>
  <c r="J87" i="16"/>
  <c r="J281" i="16"/>
  <c r="H460" i="22"/>
  <c r="D396" i="22"/>
  <c r="J114" i="16"/>
  <c r="D706" i="22"/>
  <c r="J289" i="16"/>
  <c r="B898" i="22"/>
  <c r="J42" i="16"/>
  <c r="B834" i="22"/>
  <c r="J40" i="16"/>
  <c r="D1058" i="22"/>
  <c r="J135" i="16"/>
  <c r="J116" i="13"/>
  <c r="C612" i="22"/>
  <c r="J77" i="16"/>
  <c r="J46" i="16"/>
  <c r="B1026" i="22"/>
  <c r="I18" i="16"/>
  <c r="B143" i="22"/>
  <c r="I17" i="16"/>
  <c r="B115" i="22"/>
  <c r="C115" i="22" s="1"/>
  <c r="B611" i="22"/>
  <c r="I33" i="16"/>
  <c r="I97" i="13"/>
  <c r="I47" i="16"/>
  <c r="B1057" i="22"/>
  <c r="C929" i="22"/>
  <c r="I87" i="16"/>
  <c r="D395" i="22"/>
  <c r="I114" i="16"/>
  <c r="H395" i="22"/>
  <c r="I279" i="16"/>
  <c r="B865" i="22"/>
  <c r="D865" i="22" s="1"/>
  <c r="H34" i="23" s="1"/>
  <c r="I41" i="16"/>
  <c r="C1025" i="22"/>
  <c r="I90" i="16"/>
  <c r="B641" i="22"/>
  <c r="D641" i="22" s="1"/>
  <c r="I34" i="16"/>
  <c r="C267" i="22"/>
  <c r="I66" i="16"/>
  <c r="I126" i="16"/>
  <c r="D769" i="22"/>
  <c r="I28" i="16"/>
  <c r="B459" i="22"/>
  <c r="I281" i="16"/>
  <c r="H459" i="22"/>
  <c r="B705" i="22"/>
  <c r="I36" i="16"/>
  <c r="D427" i="22"/>
  <c r="I115" i="16"/>
  <c r="I46" i="16"/>
  <c r="B1025" i="22"/>
  <c r="H427" i="22"/>
  <c r="I280" i="16"/>
  <c r="D961" i="22"/>
  <c r="I297" i="16"/>
  <c r="I65" i="16"/>
  <c r="C235" i="22"/>
  <c r="G238" i="16"/>
  <c r="G393" i="22"/>
  <c r="C49" i="22"/>
  <c r="G147" i="16"/>
  <c r="D173" i="22"/>
  <c r="G151" i="16"/>
  <c r="G923" i="22"/>
  <c r="D83" i="22"/>
  <c r="I148" i="16"/>
  <c r="D267" i="22"/>
  <c r="I154" i="16"/>
  <c r="I153" i="16"/>
  <c r="D235" i="22"/>
  <c r="F459" i="22"/>
  <c r="I200" i="16"/>
  <c r="I150" i="16"/>
  <c r="C143" i="22"/>
  <c r="E151" i="16"/>
  <c r="D171" i="22"/>
  <c r="F455" i="22"/>
  <c r="E200" i="16"/>
  <c r="E154" i="16"/>
  <c r="D263" i="22"/>
  <c r="B114" i="22"/>
  <c r="C114" i="22" s="1"/>
  <c r="H17" i="16"/>
  <c r="H295" i="16"/>
  <c r="F896" i="22"/>
  <c r="H293" i="16"/>
  <c r="D832" i="22"/>
  <c r="H458" i="22"/>
  <c r="H281" i="16"/>
  <c r="H37" i="16"/>
  <c r="B736" i="22"/>
  <c r="D736" i="22" s="1"/>
  <c r="G30" i="23" s="1"/>
  <c r="F768" i="22"/>
  <c r="H291" i="16"/>
  <c r="H28" i="16"/>
  <c r="B458" i="22"/>
  <c r="C1056" i="22"/>
  <c r="H91" i="16"/>
  <c r="H114" i="16"/>
  <c r="D394" i="22"/>
  <c r="B580" i="22"/>
  <c r="C580" i="22" s="1"/>
  <c r="G25" i="23" s="1"/>
  <c r="H32" i="16"/>
  <c r="H96" i="13"/>
  <c r="C234" i="22"/>
  <c r="H65" i="16"/>
  <c r="B298" i="22"/>
  <c r="H23" i="16"/>
  <c r="H21" i="16"/>
  <c r="B234" i="22"/>
  <c r="B520" i="22"/>
  <c r="C520" i="22" s="1"/>
  <c r="H30" i="16"/>
  <c r="H94" i="13"/>
  <c r="C800" i="22"/>
  <c r="H83" i="16"/>
  <c r="G16" i="16"/>
  <c r="B81" i="22"/>
  <c r="D329" i="22"/>
  <c r="G112" i="16"/>
  <c r="B393" i="22"/>
  <c r="G26" i="16"/>
  <c r="G39" i="16"/>
  <c r="B799" i="22"/>
  <c r="D959" i="22"/>
  <c r="G297" i="16"/>
  <c r="B639" i="22"/>
  <c r="D639" i="22" s="1"/>
  <c r="G34" i="16"/>
  <c r="B703" i="22"/>
  <c r="E703" i="22" s="1"/>
  <c r="G36" i="16"/>
  <c r="D927" i="22"/>
  <c r="G131" i="16"/>
  <c r="G134" i="16"/>
  <c r="D1023" i="22"/>
  <c r="C233" i="22"/>
  <c r="G65" i="16"/>
  <c r="B489" i="22"/>
  <c r="C489" i="22" s="1"/>
  <c r="G29" i="16"/>
  <c r="G93" i="13"/>
  <c r="C425" i="22"/>
  <c r="G71" i="16"/>
  <c r="G46" i="16"/>
  <c r="B1023" i="22"/>
  <c r="C927" i="22"/>
  <c r="G87" i="16"/>
  <c r="C767" i="22"/>
  <c r="G82" i="16"/>
  <c r="C393" i="22"/>
  <c r="G70" i="16"/>
  <c r="G795" i="22"/>
  <c r="D667" i="22"/>
  <c r="E18" i="16"/>
  <c r="B139" i="22"/>
  <c r="B327" i="22"/>
  <c r="F327" i="22" s="1"/>
  <c r="E24" i="16"/>
  <c r="B925" i="22"/>
  <c r="E43" i="16"/>
  <c r="B637" i="22"/>
  <c r="D637" i="22" s="1"/>
  <c r="E34" i="16"/>
  <c r="B989" i="22"/>
  <c r="D989" i="22" s="1"/>
  <c r="D38" i="23" s="1"/>
  <c r="E45" i="16"/>
  <c r="E116" i="16"/>
  <c r="D455" i="22"/>
  <c r="B957" i="22"/>
  <c r="E44" i="16"/>
  <c r="D701" i="22"/>
  <c r="E289" i="16"/>
  <c r="D1021" i="22"/>
  <c r="E134" i="16"/>
  <c r="H423" i="22"/>
  <c r="E280" i="16"/>
  <c r="D957" i="22"/>
  <c r="E297" i="16"/>
  <c r="B263" i="22"/>
  <c r="E263" i="22" s="1"/>
  <c r="E22" i="16"/>
  <c r="D925" i="22"/>
  <c r="E131" i="16"/>
  <c r="B893" i="22"/>
  <c r="E42" i="16"/>
  <c r="B487" i="22"/>
  <c r="C487" i="22" s="1"/>
  <c r="E29" i="16"/>
  <c r="E93" i="13"/>
  <c r="B547" i="22"/>
  <c r="C547" i="22" s="1"/>
  <c r="E31" i="16"/>
  <c r="E95" i="13"/>
  <c r="C515" i="22"/>
  <c r="D515" i="22" s="1"/>
  <c r="B204" i="22"/>
  <c r="C204" i="22" s="1"/>
  <c r="F20" i="16"/>
  <c r="C80" i="22"/>
  <c r="F60" i="16"/>
  <c r="D608" i="22"/>
  <c r="F121" i="16"/>
  <c r="F130" i="13"/>
  <c r="D798" i="22"/>
  <c r="F127" i="16"/>
  <c r="D424" i="22"/>
  <c r="F115" i="16"/>
  <c r="B1022" i="22"/>
  <c r="F46" i="16"/>
  <c r="D702" i="22"/>
  <c r="F289" i="16"/>
  <c r="D830" i="22"/>
  <c r="F293" i="16"/>
  <c r="B670" i="22"/>
  <c r="D670" i="22" s="1"/>
  <c r="E28" i="23" s="1"/>
  <c r="F35" i="16"/>
  <c r="B638" i="22"/>
  <c r="D638" i="22" s="1"/>
  <c r="F34" i="16"/>
  <c r="C608" i="22"/>
  <c r="F77" i="16"/>
  <c r="F116" i="13"/>
  <c r="B456" i="22"/>
  <c r="I456" i="22" s="1"/>
  <c r="F28" i="16"/>
  <c r="F31" i="16"/>
  <c r="F95" i="13"/>
  <c r="B548" i="22"/>
  <c r="C548" i="22" s="1"/>
  <c r="C264" i="22"/>
  <c r="F66" i="16"/>
  <c r="B1054" i="22"/>
  <c r="F47" i="16"/>
  <c r="F32" i="16"/>
  <c r="F96" i="13"/>
  <c r="B578" i="22"/>
  <c r="C578" i="22" s="1"/>
  <c r="E25" i="23" s="1"/>
  <c r="B208" i="22"/>
  <c r="C208" i="22" s="1"/>
  <c r="J20" i="16"/>
  <c r="B332" i="22"/>
  <c r="F332" i="22" s="1"/>
  <c r="J24" i="16"/>
  <c r="B552" i="22"/>
  <c r="C552" i="22" s="1"/>
  <c r="J31" i="16"/>
  <c r="J95" i="13"/>
  <c r="B930" i="22"/>
  <c r="G930" i="22" s="1"/>
  <c r="I36" i="23" s="1"/>
  <c r="J43" i="16"/>
  <c r="J82" i="16"/>
  <c r="C770" i="22"/>
  <c r="B268" i="22"/>
  <c r="E268" i="22" s="1"/>
  <c r="J22" i="16"/>
  <c r="J29" i="16"/>
  <c r="J93" i="13"/>
  <c r="B492" i="22"/>
  <c r="C492" i="22" s="1"/>
  <c r="F898" i="22"/>
  <c r="J295" i="16"/>
  <c r="H428" i="22"/>
  <c r="J280" i="16"/>
  <c r="J36" i="16"/>
  <c r="B706" i="22"/>
  <c r="E706" i="22" s="1"/>
  <c r="J90" i="16"/>
  <c r="C1026" i="22"/>
  <c r="J279" i="16"/>
  <c r="H396" i="22"/>
  <c r="B460" i="22"/>
  <c r="J28" i="16"/>
  <c r="J291" i="16"/>
  <c r="F770" i="22"/>
  <c r="J27" i="16"/>
  <c r="B428" i="22"/>
  <c r="B300" i="22"/>
  <c r="J23" i="16"/>
  <c r="D802" i="22"/>
  <c r="J127" i="16"/>
  <c r="G796" i="22"/>
  <c r="C32" i="23" s="1"/>
  <c r="C331" i="22"/>
  <c r="I68" i="16"/>
  <c r="B83" i="22"/>
  <c r="I16" i="16"/>
  <c r="B51" i="22"/>
  <c r="I15" i="16"/>
  <c r="C459" i="22"/>
  <c r="I72" i="16"/>
  <c r="D897" i="22"/>
  <c r="I130" i="16"/>
  <c r="B801" i="22"/>
  <c r="I39" i="16"/>
  <c r="D459" i="22"/>
  <c r="I116" i="16"/>
  <c r="I43" i="16"/>
  <c r="B929" i="22"/>
  <c r="I23" i="16"/>
  <c r="B299" i="22"/>
  <c r="I44" i="16"/>
  <c r="B961" i="22"/>
  <c r="E961" i="22" s="1"/>
  <c r="D705" i="22"/>
  <c r="I289" i="16"/>
  <c r="I32" i="16"/>
  <c r="I96" i="13"/>
  <c r="B581" i="22"/>
  <c r="C581" i="22" s="1"/>
  <c r="H25" i="23" s="1"/>
  <c r="D929" i="22"/>
  <c r="I131" i="16"/>
  <c r="B673" i="22"/>
  <c r="D673" i="22" s="1"/>
  <c r="H28" i="23" s="1"/>
  <c r="I35" i="16"/>
  <c r="C299" i="22"/>
  <c r="I67" i="16"/>
  <c r="G425" i="22"/>
  <c r="G239" i="16"/>
  <c r="G157" i="16"/>
  <c r="E361" i="22"/>
  <c r="G200" i="16"/>
  <c r="F457" i="22"/>
  <c r="F393" i="22"/>
  <c r="G198" i="16"/>
  <c r="D635" i="22"/>
  <c r="H1020" i="22"/>
  <c r="E331" i="22"/>
  <c r="I156" i="16"/>
  <c r="F427" i="22"/>
  <c r="I199" i="16"/>
  <c r="I155" i="16"/>
  <c r="D299" i="22"/>
  <c r="F605" i="22"/>
  <c r="G605" i="22" s="1"/>
  <c r="E827" i="22"/>
  <c r="E955" i="22"/>
  <c r="D79" i="22"/>
  <c r="E148" i="16"/>
  <c r="G423" i="22"/>
  <c r="E239" i="16"/>
  <c r="F423" i="22"/>
  <c r="E199" i="16"/>
  <c r="E359" i="22"/>
  <c r="E157" i="16"/>
  <c r="E150" i="16"/>
  <c r="C139" i="22"/>
  <c r="H28" i="13"/>
  <c r="H91" i="14" s="1"/>
  <c r="H40" i="13"/>
  <c r="H155" i="13"/>
  <c r="H154" i="13"/>
  <c r="H150" i="13"/>
  <c r="H145" i="13"/>
  <c r="H146" i="13"/>
  <c r="H38" i="13"/>
  <c r="H148" i="13"/>
  <c r="H143" i="13"/>
  <c r="H31" i="13"/>
  <c r="H93" i="14" s="1"/>
  <c r="H39" i="13"/>
  <c r="H147" i="13"/>
  <c r="H29" i="13"/>
  <c r="H92" i="14" s="1"/>
  <c r="H32" i="13"/>
  <c r="H94" i="14" s="1"/>
  <c r="H37" i="13"/>
  <c r="H153" i="13"/>
  <c r="H159" i="13"/>
  <c r="H36" i="13"/>
  <c r="H160" i="13"/>
  <c r="H25" i="13"/>
  <c r="H89" i="14" s="1"/>
  <c r="H142" i="13"/>
  <c r="H151" i="13"/>
  <c r="H42" i="13"/>
  <c r="H41" i="13"/>
  <c r="H156" i="13"/>
  <c r="H43" i="13"/>
  <c r="H157" i="13"/>
  <c r="H26" i="13"/>
  <c r="H90" i="14" s="1"/>
  <c r="H149" i="13"/>
  <c r="H152" i="13"/>
  <c r="H144" i="13"/>
  <c r="H33" i="13"/>
  <c r="H95" i="14" s="1"/>
  <c r="H27" i="13"/>
  <c r="H30" i="13"/>
  <c r="H35" i="13"/>
  <c r="H97" i="14" s="1"/>
  <c r="H158" i="13"/>
  <c r="H34" i="13"/>
  <c r="H96" i="14" s="1"/>
  <c r="B50" i="22"/>
  <c r="H15" i="16"/>
  <c r="B640" i="22"/>
  <c r="D640" i="22" s="1"/>
  <c r="H34" i="16"/>
  <c r="B896" i="22"/>
  <c r="H896" i="22" s="1"/>
  <c r="H42" i="16"/>
  <c r="F1024" i="22"/>
  <c r="H299" i="16"/>
  <c r="B992" i="22"/>
  <c r="D992" i="22" s="1"/>
  <c r="G38" i="23" s="1"/>
  <c r="H45" i="16"/>
  <c r="H280" i="16"/>
  <c r="H426" i="22"/>
  <c r="H38" i="16"/>
  <c r="B768" i="22"/>
  <c r="H97" i="13"/>
  <c r="B610" i="22"/>
  <c r="H33" i="16"/>
  <c r="C928" i="22"/>
  <c r="H87" i="16"/>
  <c r="H82" i="16"/>
  <c r="C768" i="22"/>
  <c r="C426" i="22"/>
  <c r="H71" i="16"/>
  <c r="H130" i="13"/>
  <c r="D610" i="22"/>
  <c r="H121" i="16"/>
  <c r="D768" i="22"/>
  <c r="H126" i="16"/>
  <c r="C394" i="22"/>
  <c r="H70" i="16"/>
  <c r="C458" i="22"/>
  <c r="H72" i="16"/>
  <c r="F153" i="13"/>
  <c r="F28" i="13"/>
  <c r="F91" i="14" s="1"/>
  <c r="F143" i="13"/>
  <c r="F157" i="13"/>
  <c r="F27" i="13"/>
  <c r="F148" i="13"/>
  <c r="F145" i="13"/>
  <c r="F160" i="13"/>
  <c r="F158" i="13"/>
  <c r="F37" i="13"/>
  <c r="F30" i="13"/>
  <c r="F35" i="13"/>
  <c r="F97" i="14" s="1"/>
  <c r="F144" i="13"/>
  <c r="F150" i="13"/>
  <c r="F39" i="13"/>
  <c r="F36" i="13"/>
  <c r="F26" i="13"/>
  <c r="F90" i="14" s="1"/>
  <c r="F151" i="13"/>
  <c r="F33" i="13"/>
  <c r="F95" i="14" s="1"/>
  <c r="F43" i="13"/>
  <c r="F156" i="13"/>
  <c r="F25" i="13"/>
  <c r="F89" i="14" s="1"/>
  <c r="F146" i="13"/>
  <c r="F31" i="13"/>
  <c r="F93" i="14" s="1"/>
  <c r="F149" i="13"/>
  <c r="F40" i="13"/>
  <c r="F29" i="13"/>
  <c r="F92" i="14" s="1"/>
  <c r="F154" i="13"/>
  <c r="F152" i="13"/>
  <c r="F142" i="13"/>
  <c r="F32" i="13"/>
  <c r="F94" i="14" s="1"/>
  <c r="F38" i="13"/>
  <c r="F34" i="13"/>
  <c r="F96" i="14" s="1"/>
  <c r="F42" i="13"/>
  <c r="F147" i="13"/>
  <c r="F159" i="13"/>
  <c r="F41" i="13"/>
  <c r="F155" i="13"/>
  <c r="B205" i="22"/>
  <c r="C205" i="22" s="1"/>
  <c r="G20" i="16"/>
  <c r="G17" i="16"/>
  <c r="B113" i="22"/>
  <c r="C113" i="22" s="1"/>
  <c r="H457" i="22"/>
  <c r="G281" i="16"/>
  <c r="G115" i="16"/>
  <c r="D425" i="22"/>
  <c r="B863" i="22"/>
  <c r="D863" i="22" s="1"/>
  <c r="F34" i="23" s="1"/>
  <c r="G41" i="16"/>
  <c r="D393" i="22"/>
  <c r="G114" i="16"/>
  <c r="B959" i="22"/>
  <c r="E959" i="22" s="1"/>
  <c r="G44" i="16"/>
  <c r="H393" i="22"/>
  <c r="G279" i="16"/>
  <c r="D895" i="22"/>
  <c r="G130" i="16"/>
  <c r="G40" i="16"/>
  <c r="B831" i="22"/>
  <c r="E831" i="22" s="1"/>
  <c r="C799" i="22"/>
  <c r="G83" i="16"/>
  <c r="B927" i="22"/>
  <c r="G927" i="22" s="1"/>
  <c r="F36" i="23" s="1"/>
  <c r="G43" i="16"/>
  <c r="G116" i="16"/>
  <c r="D457" i="22"/>
  <c r="B895" i="22"/>
  <c r="G42" i="16"/>
  <c r="C1055" i="22"/>
  <c r="G91" i="16"/>
  <c r="B265" i="22"/>
  <c r="G22" i="16"/>
  <c r="D799" i="22"/>
  <c r="G127" i="16"/>
  <c r="G90" i="16"/>
  <c r="C1023" i="22"/>
  <c r="C485" i="22"/>
  <c r="D485" i="22" s="1"/>
  <c r="B79" i="22"/>
  <c r="E79" i="22" s="1"/>
  <c r="E16" i="16"/>
  <c r="B111" i="22"/>
  <c r="C111" i="22" s="1"/>
  <c r="E17" i="16"/>
  <c r="D391" i="22"/>
  <c r="E114" i="16"/>
  <c r="C765" i="22"/>
  <c r="E82" i="16"/>
  <c r="C925" i="22"/>
  <c r="E87" i="16"/>
  <c r="F1021" i="22"/>
  <c r="E299" i="16"/>
  <c r="E21" i="16"/>
  <c r="B231" i="22"/>
  <c r="D765" i="22"/>
  <c r="E126" i="16"/>
  <c r="E41" i="16"/>
  <c r="B861" i="22"/>
  <c r="D861" i="22" s="1"/>
  <c r="D34" i="23" s="1"/>
  <c r="B797" i="22"/>
  <c r="E39" i="16"/>
  <c r="B669" i="22"/>
  <c r="D669" i="22" s="1"/>
  <c r="D28" i="23" s="1"/>
  <c r="E35" i="16"/>
  <c r="E130" i="16"/>
  <c r="D893" i="22"/>
  <c r="E83" i="16"/>
  <c r="C797" i="22"/>
  <c r="E47" i="16"/>
  <c r="B1053" i="22"/>
  <c r="E77" i="16"/>
  <c r="E116" i="13"/>
  <c r="C607" i="22"/>
  <c r="C1053" i="22"/>
  <c r="E91" i="16"/>
  <c r="C893" i="22"/>
  <c r="E86" i="16"/>
  <c r="F16" i="16"/>
  <c r="B80" i="22"/>
  <c r="E80" i="22" s="1"/>
  <c r="F68" i="16"/>
  <c r="C328" i="22"/>
  <c r="D894" i="22"/>
  <c r="F130" i="16"/>
  <c r="C392" i="22"/>
  <c r="F70" i="16"/>
  <c r="D766" i="22"/>
  <c r="F126" i="16"/>
  <c r="B926" i="22"/>
  <c r="F43" i="16"/>
  <c r="H392" i="22"/>
  <c r="F279" i="16"/>
  <c r="C1022" i="22"/>
  <c r="F90" i="16"/>
  <c r="H456" i="22"/>
  <c r="F281" i="16"/>
  <c r="B798" i="22"/>
  <c r="F39" i="16"/>
  <c r="B990" i="22"/>
  <c r="D990" i="22" s="1"/>
  <c r="E38" i="23" s="1"/>
  <c r="F45" i="16"/>
  <c r="F27" i="16"/>
  <c r="B424" i="22"/>
  <c r="B702" i="22"/>
  <c r="E702" i="22" s="1"/>
  <c r="F36" i="16"/>
  <c r="D926" i="22"/>
  <c r="F131" i="16"/>
  <c r="B296" i="22"/>
  <c r="E296" i="22" s="1"/>
  <c r="F23" i="16"/>
  <c r="B392" i="22"/>
  <c r="I392" i="22" s="1"/>
  <c r="F26" i="16"/>
  <c r="C424" i="22"/>
  <c r="F71" i="16"/>
  <c r="B488" i="22"/>
  <c r="C488" i="22" s="1"/>
  <c r="F29" i="16"/>
  <c r="F93" i="13"/>
  <c r="J18" i="16"/>
  <c r="B144" i="22"/>
  <c r="B84" i="22"/>
  <c r="J16" i="16"/>
  <c r="C396" i="22"/>
  <c r="J70" i="16"/>
  <c r="J96" i="13"/>
  <c r="B582" i="22"/>
  <c r="C582" i="22" s="1"/>
  <c r="I25" i="23" s="1"/>
  <c r="J32" i="16"/>
  <c r="B612" i="22"/>
  <c r="J33" i="16"/>
  <c r="J97" i="13"/>
  <c r="B236" i="22"/>
  <c r="J21" i="16"/>
  <c r="B396" i="22"/>
  <c r="I396" i="22" s="1"/>
  <c r="J26" i="16"/>
  <c r="J45" i="16"/>
  <c r="B994" i="22"/>
  <c r="D994" i="22" s="1"/>
  <c r="I38" i="23" s="1"/>
  <c r="J297" i="16"/>
  <c r="D962" i="22"/>
  <c r="J44" i="16"/>
  <c r="B962" i="22"/>
  <c r="J94" i="13"/>
  <c r="J30" i="16"/>
  <c r="B522" i="22"/>
  <c r="C522" i="22" s="1"/>
  <c r="B674" i="22"/>
  <c r="D674" i="22" s="1"/>
  <c r="I28" i="23" s="1"/>
  <c r="J35" i="16"/>
  <c r="J115" i="16"/>
  <c r="D428" i="22"/>
  <c r="B738" i="22"/>
  <c r="D738" i="22" s="1"/>
  <c r="I30" i="23" s="1"/>
  <c r="J37" i="16"/>
  <c r="D834" i="22"/>
  <c r="J293" i="16"/>
  <c r="C460" i="22"/>
  <c r="J72" i="16"/>
  <c r="J67" i="16"/>
  <c r="C300" i="22"/>
  <c r="D1026" i="22"/>
  <c r="J134" i="16"/>
  <c r="D331" i="22"/>
  <c r="I112" i="16"/>
  <c r="I24" i="16"/>
  <c r="B331" i="22"/>
  <c r="B427" i="22"/>
  <c r="I27" i="16"/>
  <c r="I29" i="16"/>
  <c r="I93" i="13"/>
  <c r="B491" i="22"/>
  <c r="C491" i="22" s="1"/>
  <c r="I116" i="13"/>
  <c r="C611" i="22"/>
  <c r="I77" i="16"/>
  <c r="I135" i="16"/>
  <c r="D1057" i="22"/>
  <c r="D801" i="22"/>
  <c r="I127" i="16"/>
  <c r="C801" i="22"/>
  <c r="I83" i="16"/>
  <c r="I45" i="16"/>
  <c r="B993" i="22"/>
  <c r="D993" i="22" s="1"/>
  <c r="H38" i="23" s="1"/>
  <c r="F769" i="22"/>
  <c r="I291" i="16"/>
  <c r="C427" i="22"/>
  <c r="I71" i="16"/>
  <c r="B737" i="22"/>
  <c r="D737" i="22" s="1"/>
  <c r="H30" i="23" s="1"/>
  <c r="I37" i="16"/>
  <c r="B897" i="22"/>
  <c r="H897" i="22" s="1"/>
  <c r="I42" i="16"/>
  <c r="D833" i="22"/>
  <c r="I293" i="16"/>
  <c r="I30" i="16"/>
  <c r="I94" i="13"/>
  <c r="B521" i="22"/>
  <c r="C521" i="22" s="1"/>
  <c r="C141" i="22"/>
  <c r="G150" i="16"/>
  <c r="D297" i="22"/>
  <c r="G155" i="16"/>
  <c r="D731" i="22"/>
  <c r="D859" i="22"/>
  <c r="F395" i="22"/>
  <c r="J395" i="22" s="1"/>
  <c r="I198" i="16"/>
  <c r="C47" i="22"/>
  <c r="D47" i="22" s="1"/>
  <c r="E147" i="16"/>
  <c r="G455" i="22"/>
  <c r="E240" i="16"/>
  <c r="E153" i="16"/>
  <c r="D231" i="22"/>
  <c r="F231" i="22" s="1"/>
  <c r="B15" i="23"/>
  <c r="B14" i="23"/>
  <c r="B16" i="23"/>
  <c r="B19" i="23"/>
  <c r="B20" i="23"/>
  <c r="B21" i="23"/>
  <c r="I423" i="22" l="1"/>
  <c r="F331" i="22"/>
  <c r="I424" i="22"/>
  <c r="E236" i="22"/>
  <c r="E231" i="22"/>
  <c r="E265" i="22"/>
  <c r="E81" i="22"/>
  <c r="C15" i="16"/>
  <c r="B45" i="22"/>
  <c r="D45" i="22" s="1"/>
  <c r="C17" i="16"/>
  <c r="B109" i="22"/>
  <c r="C109" i="22" s="1"/>
  <c r="D109" i="22" s="1"/>
  <c r="F297" i="22"/>
  <c r="E84" i="22"/>
  <c r="E298" i="22"/>
  <c r="D49" i="22"/>
  <c r="F8" i="23" s="1"/>
  <c r="E297" i="22"/>
  <c r="B156" i="9"/>
  <c r="E232" i="22"/>
  <c r="E156" i="9"/>
  <c r="H23" i="23"/>
  <c r="D521" i="22"/>
  <c r="H22" i="23"/>
  <c r="D491" i="22"/>
  <c r="I427" i="22"/>
  <c r="E29" i="23"/>
  <c r="G702" i="22"/>
  <c r="F702" i="22"/>
  <c r="F33" i="23"/>
  <c r="G831" i="22"/>
  <c r="F831" i="22"/>
  <c r="F10" i="23"/>
  <c r="D113" i="22"/>
  <c r="C39" i="23"/>
  <c r="J1020" i="22"/>
  <c r="I1020" i="22"/>
  <c r="I29" i="23"/>
  <c r="G706" i="22"/>
  <c r="F706" i="22"/>
  <c r="F22" i="23"/>
  <c r="D489" i="22"/>
  <c r="F29" i="23"/>
  <c r="G703" i="22"/>
  <c r="F703" i="22"/>
  <c r="I393" i="22"/>
  <c r="G10" i="23"/>
  <c r="D114" i="22"/>
  <c r="F267" i="22"/>
  <c r="I459" i="22"/>
  <c r="I455" i="22"/>
  <c r="I457" i="22"/>
  <c r="E235" i="22"/>
  <c r="H13" i="23"/>
  <c r="D207" i="22"/>
  <c r="G699" i="22"/>
  <c r="F699" i="22"/>
  <c r="B156" i="8"/>
  <c r="H156" i="8"/>
  <c r="E156" i="8"/>
  <c r="H19" i="23"/>
  <c r="L395" i="22"/>
  <c r="M395" i="22"/>
  <c r="K395" i="22"/>
  <c r="F16" i="23"/>
  <c r="H297" i="22"/>
  <c r="G297" i="22"/>
  <c r="F45" i="22"/>
  <c r="E45" i="22"/>
  <c r="G35" i="23"/>
  <c r="J896" i="22"/>
  <c r="I896" i="22"/>
  <c r="F635" i="22"/>
  <c r="E635" i="22"/>
  <c r="H37" i="23"/>
  <c r="G961" i="22"/>
  <c r="F961" i="22"/>
  <c r="E300" i="22"/>
  <c r="I24" i="23"/>
  <c r="D552" i="22"/>
  <c r="I13" i="23"/>
  <c r="D208" i="22"/>
  <c r="E24" i="23"/>
  <c r="D548" i="22"/>
  <c r="E13" i="23"/>
  <c r="D204" i="22"/>
  <c r="D22" i="23"/>
  <c r="D487" i="22"/>
  <c r="G23" i="23"/>
  <c r="D520" i="22"/>
  <c r="E607" i="22"/>
  <c r="H24" i="23"/>
  <c r="D551" i="22"/>
  <c r="C35" i="23"/>
  <c r="J892" i="22"/>
  <c r="I892" i="22"/>
  <c r="I10" i="23"/>
  <c r="D116" i="22"/>
  <c r="F328" i="22"/>
  <c r="D13" i="23"/>
  <c r="D203" i="22"/>
  <c r="I425" i="22"/>
  <c r="E233" i="22"/>
  <c r="G24" i="23"/>
  <c r="D550" i="22"/>
  <c r="I394" i="22"/>
  <c r="F131" i="9"/>
  <c r="F156" i="9" s="1"/>
  <c r="F156" i="8"/>
  <c r="I131" i="9"/>
  <c r="I156" i="9" s="1"/>
  <c r="I156" i="8"/>
  <c r="F294" i="22"/>
  <c r="F230" i="22"/>
  <c r="D17" i="16"/>
  <c r="B110" i="22"/>
  <c r="B170" i="22"/>
  <c r="D19" i="16"/>
  <c r="D14" i="23"/>
  <c r="H231" i="22"/>
  <c r="G231" i="22"/>
  <c r="H35" i="23"/>
  <c r="J897" i="22"/>
  <c r="I897" i="22"/>
  <c r="F612" i="22"/>
  <c r="E612" i="22"/>
  <c r="E22" i="23"/>
  <c r="D488" i="22"/>
  <c r="E610" i="22"/>
  <c r="G955" i="22"/>
  <c r="F955" i="22"/>
  <c r="F299" i="22"/>
  <c r="F83" i="22"/>
  <c r="E83" i="22"/>
  <c r="I428" i="22"/>
  <c r="I22" i="23"/>
  <c r="D492" i="22"/>
  <c r="E27" i="23"/>
  <c r="F638" i="22"/>
  <c r="E638" i="22"/>
  <c r="D24" i="23"/>
  <c r="D547" i="22"/>
  <c r="F27" i="23"/>
  <c r="F639" i="22"/>
  <c r="E639" i="22"/>
  <c r="E234" i="22"/>
  <c r="E611" i="22"/>
  <c r="J1019" i="22"/>
  <c r="I1019" i="22"/>
  <c r="E267" i="22"/>
  <c r="E264" i="22"/>
  <c r="E23" i="23"/>
  <c r="D518" i="22"/>
  <c r="E608" i="22"/>
  <c r="J891" i="22"/>
  <c r="I891" i="22"/>
  <c r="G131" i="9"/>
  <c r="G156" i="9" s="1"/>
  <c r="G156" i="8"/>
  <c r="C131" i="9"/>
  <c r="C156" i="9" s="1"/>
  <c r="C156" i="8"/>
  <c r="J131" i="9"/>
  <c r="J156" i="9" s="1"/>
  <c r="B165" i="9" s="1"/>
  <c r="J203" i="9" s="1"/>
  <c r="J11" i="13" s="1"/>
  <c r="J156" i="8"/>
  <c r="B358" i="22"/>
  <c r="D25" i="16"/>
  <c r="B138" i="22"/>
  <c r="D138" i="22" s="1"/>
  <c r="D18" i="16"/>
  <c r="D20" i="16"/>
  <c r="B202" i="22"/>
  <c r="C202" i="22" s="1"/>
  <c r="C26" i="23"/>
  <c r="G606" i="22"/>
  <c r="D15" i="16"/>
  <c r="B46" i="22"/>
  <c r="D46" i="22" s="1"/>
  <c r="D8" i="23"/>
  <c r="E47" i="22"/>
  <c r="F47" i="22"/>
  <c r="I23" i="23"/>
  <c r="D522" i="22"/>
  <c r="D10" i="23"/>
  <c r="D111" i="22"/>
  <c r="F37" i="23"/>
  <c r="G959" i="22"/>
  <c r="F959" i="22"/>
  <c r="F13" i="23"/>
  <c r="D205" i="22"/>
  <c r="G27" i="23"/>
  <c r="F640" i="22"/>
  <c r="E640" i="22"/>
  <c r="G827" i="22"/>
  <c r="F827" i="22"/>
  <c r="E299" i="22"/>
  <c r="I460" i="22"/>
  <c r="D27" i="23"/>
  <c r="F637" i="22"/>
  <c r="E637" i="22"/>
  <c r="I458" i="22"/>
  <c r="H27" i="23"/>
  <c r="F641" i="22"/>
  <c r="E641" i="22"/>
  <c r="H10" i="23"/>
  <c r="D115" i="22"/>
  <c r="I391" i="22"/>
  <c r="F329" i="22"/>
  <c r="J763" i="22"/>
  <c r="I763" i="22"/>
  <c r="I395" i="22"/>
  <c r="I27" i="23"/>
  <c r="F642" i="22"/>
  <c r="E642" i="22"/>
  <c r="E10" i="23"/>
  <c r="D112" i="22"/>
  <c r="D23" i="23"/>
  <c r="D517" i="22"/>
  <c r="F24" i="23"/>
  <c r="D549" i="22"/>
  <c r="E609" i="22"/>
  <c r="F23" i="23"/>
  <c r="D519" i="22"/>
  <c r="I426" i="22"/>
  <c r="G22" i="23"/>
  <c r="D490" i="22"/>
  <c r="E266" i="22"/>
  <c r="G13" i="23"/>
  <c r="D206" i="22"/>
  <c r="F262" i="22"/>
  <c r="H156" i="9"/>
  <c r="D156" i="8"/>
  <c r="D130" i="9"/>
  <c r="D156" i="9" s="1"/>
  <c r="I19" i="16"/>
  <c r="B175" i="22"/>
  <c r="F25" i="16"/>
  <c r="B360" i="22"/>
  <c r="F360" i="22" s="1"/>
  <c r="B169" i="22"/>
  <c r="E169" i="22" s="1"/>
  <c r="C19" i="16"/>
  <c r="D137" i="22"/>
  <c r="C201" i="22"/>
  <c r="D201" i="22" s="1"/>
  <c r="B176" i="22"/>
  <c r="E176" i="22" s="1"/>
  <c r="J19" i="16"/>
  <c r="F19" i="16"/>
  <c r="B172" i="22"/>
  <c r="E172" i="22" s="1"/>
  <c r="B357" i="22"/>
  <c r="F357" i="22" s="1"/>
  <c r="C25" i="16"/>
  <c r="B363" i="22"/>
  <c r="I25" i="16"/>
  <c r="B364" i="22"/>
  <c r="F364" i="22" s="1"/>
  <c r="J25" i="16"/>
  <c r="J423" i="22"/>
  <c r="J454" i="22"/>
  <c r="J390" i="22"/>
  <c r="J422" i="22"/>
  <c r="B361" i="22"/>
  <c r="G25" i="16"/>
  <c r="B359" i="22"/>
  <c r="E25" i="16"/>
  <c r="B173" i="22"/>
  <c r="E173" i="22" s="1"/>
  <c r="G19" i="16"/>
  <c r="C16" i="16"/>
  <c r="B77" i="22"/>
  <c r="E77" i="22" s="1"/>
  <c r="B362" i="22"/>
  <c r="F362" i="22" s="1"/>
  <c r="H25" i="16"/>
  <c r="B325" i="22"/>
  <c r="F325" i="22" s="1"/>
  <c r="C24" i="16"/>
  <c r="D361" i="22"/>
  <c r="G113" i="16"/>
  <c r="B326" i="22"/>
  <c r="D24" i="16"/>
  <c r="B82" i="22"/>
  <c r="E82" i="22" s="1"/>
  <c r="H16" i="16"/>
  <c r="B174" i="22"/>
  <c r="E174" i="22" s="1"/>
  <c r="H19" i="16"/>
  <c r="F173" i="22"/>
  <c r="B171" i="22"/>
  <c r="E19" i="16"/>
  <c r="B78" i="22"/>
  <c r="D16" i="16"/>
  <c r="B330" i="22"/>
  <c r="F330" i="22" s="1"/>
  <c r="H24" i="16"/>
  <c r="B214" i="9"/>
  <c r="G1058" i="22"/>
  <c r="I40" i="23" s="1"/>
  <c r="H768" i="22"/>
  <c r="E960" i="22"/>
  <c r="G797" i="22"/>
  <c r="D32" i="23" s="1"/>
  <c r="E829" i="22"/>
  <c r="D143" i="22"/>
  <c r="E962" i="22"/>
  <c r="G926" i="22"/>
  <c r="E36" i="23" s="1"/>
  <c r="H765" i="22"/>
  <c r="F456" i="22"/>
  <c r="F200" i="16"/>
  <c r="F239" i="16"/>
  <c r="G424" i="22"/>
  <c r="F153" i="16"/>
  <c r="D232" i="22"/>
  <c r="F232" i="22" s="1"/>
  <c r="F392" i="22"/>
  <c r="F198" i="16"/>
  <c r="E360" i="22"/>
  <c r="G360" i="22" s="1"/>
  <c r="F157" i="16"/>
  <c r="F610" i="22"/>
  <c r="E330" i="22"/>
  <c r="H156" i="16"/>
  <c r="D174" i="22"/>
  <c r="H151" i="16"/>
  <c r="J393" i="22"/>
  <c r="G799" i="22"/>
  <c r="F32" i="23" s="1"/>
  <c r="F263" i="22"/>
  <c r="J459" i="22"/>
  <c r="B36" i="23"/>
  <c r="H1026" i="22"/>
  <c r="E834" i="22"/>
  <c r="B25" i="23"/>
  <c r="J391" i="22"/>
  <c r="G329" i="22"/>
  <c r="J425" i="22"/>
  <c r="H766" i="22"/>
  <c r="G1054" i="22"/>
  <c r="E40" i="23" s="1"/>
  <c r="G800" i="22"/>
  <c r="G32" i="23" s="1"/>
  <c r="B30" i="23"/>
  <c r="D264" i="22"/>
  <c r="F264" i="22" s="1"/>
  <c r="F154" i="16"/>
  <c r="D172" i="22"/>
  <c r="F172" i="22" s="1"/>
  <c r="F151" i="16"/>
  <c r="D296" i="22"/>
  <c r="F296" i="22" s="1"/>
  <c r="F155" i="16"/>
  <c r="D298" i="22"/>
  <c r="F298" i="22" s="1"/>
  <c r="H155" i="16"/>
  <c r="H148" i="16"/>
  <c r="D82" i="22"/>
  <c r="F82" i="22" s="1"/>
  <c r="H147" i="16"/>
  <c r="C50" i="22"/>
  <c r="H238" i="16"/>
  <c r="G394" i="22"/>
  <c r="H150" i="16"/>
  <c r="C142" i="22"/>
  <c r="D142" i="22" s="1"/>
  <c r="B33" i="23"/>
  <c r="G331" i="22"/>
  <c r="B27" i="23"/>
  <c r="J457" i="22"/>
  <c r="D139" i="22"/>
  <c r="B28" i="23"/>
  <c r="F235" i="22"/>
  <c r="H1025" i="22"/>
  <c r="B24" i="23"/>
  <c r="G1056" i="22"/>
  <c r="G40" i="23" s="1"/>
  <c r="F295" i="22"/>
  <c r="B31" i="23"/>
  <c r="E958" i="22"/>
  <c r="F608" i="22"/>
  <c r="B35" i="23"/>
  <c r="B40" i="23"/>
  <c r="H1021" i="22"/>
  <c r="D141" i="22"/>
  <c r="B22" i="23"/>
  <c r="G456" i="22"/>
  <c r="F240" i="16"/>
  <c r="F147" i="16"/>
  <c r="C48" i="22"/>
  <c r="D48" i="22" s="1"/>
  <c r="F424" i="22"/>
  <c r="J424" i="22" s="1"/>
  <c r="F199" i="16"/>
  <c r="F150" i="16"/>
  <c r="C140" i="22"/>
  <c r="H157" i="16"/>
  <c r="E362" i="22"/>
  <c r="G362" i="22" s="1"/>
  <c r="F426" i="22"/>
  <c r="H199" i="16"/>
  <c r="F458" i="22"/>
  <c r="H200" i="16"/>
  <c r="H239" i="16"/>
  <c r="G426" i="22"/>
  <c r="B37" i="23"/>
  <c r="B26" i="23"/>
  <c r="G929" i="22"/>
  <c r="H36" i="23" s="1"/>
  <c r="E957" i="22"/>
  <c r="G925" i="22"/>
  <c r="D36" i="23" s="1"/>
  <c r="H1023" i="22"/>
  <c r="E705" i="22"/>
  <c r="H898" i="22"/>
  <c r="F607" i="22"/>
  <c r="H893" i="22"/>
  <c r="E701" i="22"/>
  <c r="H767" i="22"/>
  <c r="H895" i="22"/>
  <c r="G1055" i="22"/>
  <c r="F40" i="23" s="1"/>
  <c r="F265" i="22"/>
  <c r="G802" i="22"/>
  <c r="I32" i="23" s="1"/>
  <c r="E830" i="22"/>
  <c r="B29" i="23"/>
  <c r="F609" i="22"/>
  <c r="G928" i="22"/>
  <c r="G36" i="23" s="1"/>
  <c r="E704" i="22"/>
  <c r="B34" i="23"/>
  <c r="B8" i="23"/>
  <c r="G1053" i="22"/>
  <c r="D40" i="23" s="1"/>
  <c r="F156" i="16"/>
  <c r="E328" i="22"/>
  <c r="G328" i="22" s="1"/>
  <c r="F148" i="16"/>
  <c r="D80" i="22"/>
  <c r="F80" i="22" s="1"/>
  <c r="G392" i="22"/>
  <c r="F238" i="16"/>
  <c r="D50" i="22"/>
  <c r="F394" i="22"/>
  <c r="J394" i="22" s="1"/>
  <c r="H198" i="16"/>
  <c r="H154" i="16"/>
  <c r="D266" i="22"/>
  <c r="F266" i="22" s="1"/>
  <c r="H153" i="16"/>
  <c r="D234" i="22"/>
  <c r="F234" i="22" s="1"/>
  <c r="G458" i="22"/>
  <c r="H240" i="16"/>
  <c r="F79" i="22"/>
  <c r="J427" i="22"/>
  <c r="G801" i="22"/>
  <c r="H32" i="23" s="1"/>
  <c r="H1022" i="22"/>
  <c r="G798" i="22"/>
  <c r="E32" i="23" s="1"/>
  <c r="B23" i="23"/>
  <c r="B32" i="23"/>
  <c r="J455" i="22"/>
  <c r="G1057" i="22"/>
  <c r="H40" i="23" s="1"/>
  <c r="F611" i="22"/>
  <c r="D140" i="22"/>
  <c r="H1024" i="22"/>
  <c r="E832" i="22"/>
  <c r="G327" i="22"/>
  <c r="B39" i="23"/>
  <c r="D51" i="22"/>
  <c r="F81" i="22"/>
  <c r="F233" i="22"/>
  <c r="E833" i="22"/>
  <c r="H769" i="22"/>
  <c r="H770" i="22"/>
  <c r="H894" i="22"/>
  <c r="B38" i="23"/>
  <c r="F49" i="22" l="1"/>
  <c r="B10" i="23"/>
  <c r="E49" i="22"/>
  <c r="I214" i="9"/>
  <c r="H20" i="10" s="1"/>
  <c r="I68" i="10" s="1"/>
  <c r="D214" i="9"/>
  <c r="C20" i="10" s="1"/>
  <c r="D68" i="10" s="1"/>
  <c r="F361" i="22"/>
  <c r="E214" i="9"/>
  <c r="C11" i="23"/>
  <c r="E138" i="22"/>
  <c r="F138" i="22"/>
  <c r="C8" i="23"/>
  <c r="F46" i="22"/>
  <c r="E46" i="22"/>
  <c r="I31" i="23"/>
  <c r="J770" i="22"/>
  <c r="I770" i="22"/>
  <c r="F9" i="23"/>
  <c r="H81" i="22"/>
  <c r="G81" i="22"/>
  <c r="D17" i="23"/>
  <c r="I327" i="22"/>
  <c r="H327" i="22"/>
  <c r="H26" i="23"/>
  <c r="G611" i="22"/>
  <c r="E39" i="23"/>
  <c r="J1022" i="22"/>
  <c r="I1022" i="22"/>
  <c r="G15" i="23"/>
  <c r="H266" i="22"/>
  <c r="G266" i="22"/>
  <c r="G8" i="23"/>
  <c r="E50" i="22"/>
  <c r="F50" i="22"/>
  <c r="G29" i="23"/>
  <c r="G704" i="22"/>
  <c r="F704" i="22"/>
  <c r="D35" i="23"/>
  <c r="J893" i="22"/>
  <c r="I893" i="22"/>
  <c r="F39" i="23"/>
  <c r="J1023" i="22"/>
  <c r="I1023" i="22"/>
  <c r="E8" i="23"/>
  <c r="E48" i="22"/>
  <c r="F48" i="22"/>
  <c r="E26" i="23"/>
  <c r="G608" i="22"/>
  <c r="D11" i="23"/>
  <c r="E139" i="22"/>
  <c r="F139" i="22"/>
  <c r="H17" i="23"/>
  <c r="I331" i="22"/>
  <c r="H331" i="22"/>
  <c r="G16" i="23"/>
  <c r="H298" i="22"/>
  <c r="G298" i="22"/>
  <c r="E12" i="23"/>
  <c r="H172" i="22"/>
  <c r="G172" i="22"/>
  <c r="F20" i="23"/>
  <c r="L425" i="22"/>
  <c r="M425" i="22"/>
  <c r="K425" i="22"/>
  <c r="F19" i="23"/>
  <c r="L393" i="22"/>
  <c r="M393" i="22"/>
  <c r="K393" i="22"/>
  <c r="G330" i="22"/>
  <c r="D31" i="23"/>
  <c r="J765" i="22"/>
  <c r="I765" i="22"/>
  <c r="D33" i="23"/>
  <c r="G829" i="22"/>
  <c r="F829" i="22"/>
  <c r="F78" i="22"/>
  <c r="E78" i="22"/>
  <c r="F171" i="22"/>
  <c r="E171" i="22"/>
  <c r="C20" i="23"/>
  <c r="L422" i="22"/>
  <c r="M422" i="22"/>
  <c r="K422" i="22"/>
  <c r="E137" i="22"/>
  <c r="F137" i="22"/>
  <c r="C15" i="23"/>
  <c r="G262" i="22"/>
  <c r="H262" i="22"/>
  <c r="C13" i="23"/>
  <c r="D202" i="22"/>
  <c r="J214" i="9"/>
  <c r="G214" i="9"/>
  <c r="G108" i="10" s="1"/>
  <c r="P11" i="12" s="1"/>
  <c r="F214" i="9"/>
  <c r="H214" i="9"/>
  <c r="H31" i="23"/>
  <c r="J769" i="22"/>
  <c r="I769" i="22"/>
  <c r="H8" i="23"/>
  <c r="E51" i="22"/>
  <c r="F51" i="22"/>
  <c r="G33" i="23"/>
  <c r="G832" i="22"/>
  <c r="F832" i="22"/>
  <c r="E17" i="23"/>
  <c r="I328" i="22"/>
  <c r="H328" i="22"/>
  <c r="E33" i="23"/>
  <c r="G830" i="22"/>
  <c r="F830" i="22"/>
  <c r="F35" i="23"/>
  <c r="J895" i="22"/>
  <c r="I895" i="22"/>
  <c r="D26" i="23"/>
  <c r="G607" i="22"/>
  <c r="E37" i="23"/>
  <c r="G958" i="22"/>
  <c r="F958" i="22"/>
  <c r="F21" i="23"/>
  <c r="L457" i="22"/>
  <c r="M457" i="22"/>
  <c r="K457" i="22"/>
  <c r="G9" i="23"/>
  <c r="H82" i="22"/>
  <c r="G82" i="22"/>
  <c r="F17" i="23"/>
  <c r="I329" i="22"/>
  <c r="H329" i="22"/>
  <c r="I33" i="23"/>
  <c r="G834" i="22"/>
  <c r="F834" i="22"/>
  <c r="H21" i="23"/>
  <c r="L459" i="22"/>
  <c r="M459" i="22"/>
  <c r="K459" i="22"/>
  <c r="G26" i="23"/>
  <c r="G610" i="22"/>
  <c r="F12" i="23"/>
  <c r="H173" i="22"/>
  <c r="G173" i="22"/>
  <c r="C19" i="23"/>
  <c r="L390" i="22"/>
  <c r="M390" i="22"/>
  <c r="K390" i="22"/>
  <c r="G363" i="22"/>
  <c r="F363" i="22"/>
  <c r="J26" i="13"/>
  <c r="J90" i="14" s="1"/>
  <c r="J32" i="13"/>
  <c r="J94" i="14" s="1"/>
  <c r="J38" i="13"/>
  <c r="J159" i="13"/>
  <c r="J37" i="13"/>
  <c r="J153" i="13"/>
  <c r="J39" i="13"/>
  <c r="J142" i="13"/>
  <c r="J36" i="13"/>
  <c r="J31" i="13"/>
  <c r="J93" i="14" s="1"/>
  <c r="J151" i="13"/>
  <c r="J155" i="13"/>
  <c r="J145" i="13"/>
  <c r="J156" i="13"/>
  <c r="J146" i="13"/>
  <c r="J157" i="13"/>
  <c r="J29" i="13"/>
  <c r="J92" i="14" s="1"/>
  <c r="J30" i="13"/>
  <c r="J150" i="13"/>
  <c r="J43" i="13"/>
  <c r="J28" i="13"/>
  <c r="J91" i="14" s="1"/>
  <c r="J35" i="13"/>
  <c r="J97" i="14" s="1"/>
  <c r="J34" i="13"/>
  <c r="J96" i="14" s="1"/>
  <c r="J33" i="13"/>
  <c r="J95" i="14" s="1"/>
  <c r="J160" i="13"/>
  <c r="J42" i="13"/>
  <c r="J41" i="13"/>
  <c r="J148" i="13"/>
  <c r="J27" i="13"/>
  <c r="J154" i="13"/>
  <c r="J158" i="13"/>
  <c r="J143" i="13"/>
  <c r="J152" i="13"/>
  <c r="J25" i="13"/>
  <c r="J89" i="14" s="1"/>
  <c r="J147" i="13"/>
  <c r="J144" i="13"/>
  <c r="J149" i="13"/>
  <c r="J40" i="13"/>
  <c r="H9" i="23"/>
  <c r="H83" i="22"/>
  <c r="G83" i="22"/>
  <c r="E170" i="22"/>
  <c r="F170" i="22"/>
  <c r="C110" i="22"/>
  <c r="H33" i="23"/>
  <c r="G833" i="22"/>
  <c r="F833" i="22"/>
  <c r="G39" i="23"/>
  <c r="J1024" i="22"/>
  <c r="I1024" i="22"/>
  <c r="D21" i="23"/>
  <c r="L455" i="22"/>
  <c r="M455" i="22"/>
  <c r="K455" i="22"/>
  <c r="H20" i="23"/>
  <c r="M427" i="22"/>
  <c r="L427" i="22"/>
  <c r="K427" i="22"/>
  <c r="G14" i="23"/>
  <c r="H234" i="22"/>
  <c r="G234" i="22"/>
  <c r="F26" i="23"/>
  <c r="G609" i="22"/>
  <c r="F31" i="23"/>
  <c r="J767" i="22"/>
  <c r="I767" i="22"/>
  <c r="I35" i="23"/>
  <c r="J898" i="22"/>
  <c r="I898" i="22"/>
  <c r="D37" i="23"/>
  <c r="G957" i="22"/>
  <c r="F957" i="22"/>
  <c r="G18" i="23"/>
  <c r="I362" i="22"/>
  <c r="H362" i="22"/>
  <c r="F11" i="23"/>
  <c r="E141" i="22"/>
  <c r="F141" i="22"/>
  <c r="D16" i="23"/>
  <c r="H295" i="22"/>
  <c r="G295" i="22"/>
  <c r="H39" i="23"/>
  <c r="J1025" i="22"/>
  <c r="I1025" i="22"/>
  <c r="E16" i="23"/>
  <c r="H296" i="22"/>
  <c r="G296" i="22"/>
  <c r="E15" i="23"/>
  <c r="H264" i="22"/>
  <c r="G264" i="22"/>
  <c r="D19" i="23"/>
  <c r="L391" i="22"/>
  <c r="M391" i="22"/>
  <c r="K391" i="22"/>
  <c r="I39" i="23"/>
  <c r="J1026" i="22"/>
  <c r="I1026" i="22"/>
  <c r="D15" i="23"/>
  <c r="H263" i="22"/>
  <c r="G263" i="22"/>
  <c r="F174" i="22"/>
  <c r="E14" i="23"/>
  <c r="H232" i="22"/>
  <c r="G232" i="22"/>
  <c r="I37" i="23"/>
  <c r="G962" i="22"/>
  <c r="F962" i="22"/>
  <c r="G37" i="23"/>
  <c r="G960" i="22"/>
  <c r="F960" i="22"/>
  <c r="G326" i="22"/>
  <c r="F326" i="22"/>
  <c r="G359" i="22"/>
  <c r="F359" i="22"/>
  <c r="C21" i="23"/>
  <c r="L454" i="22"/>
  <c r="M454" i="22"/>
  <c r="K454" i="22"/>
  <c r="F175" i="22"/>
  <c r="E175" i="22"/>
  <c r="F358" i="22"/>
  <c r="G358" i="22"/>
  <c r="C214" i="9"/>
  <c r="H16" i="23"/>
  <c r="H299" i="22"/>
  <c r="G299" i="22"/>
  <c r="I26" i="23"/>
  <c r="G612" i="22"/>
  <c r="C14" i="23"/>
  <c r="H230" i="22"/>
  <c r="G230" i="22"/>
  <c r="C16" i="23"/>
  <c r="H294" i="22"/>
  <c r="G294" i="22"/>
  <c r="E35" i="23"/>
  <c r="J894" i="22"/>
  <c r="I894" i="22"/>
  <c r="F14" i="23"/>
  <c r="H233" i="22"/>
  <c r="G233" i="22"/>
  <c r="E11" i="23"/>
  <c r="E140" i="22"/>
  <c r="F140" i="22"/>
  <c r="D9" i="23"/>
  <c r="H79" i="22"/>
  <c r="G79" i="22"/>
  <c r="G19" i="23"/>
  <c r="L394" i="22"/>
  <c r="M394" i="22"/>
  <c r="K394" i="22"/>
  <c r="E9" i="23"/>
  <c r="H80" i="22"/>
  <c r="G80" i="22"/>
  <c r="F15" i="23"/>
  <c r="H265" i="22"/>
  <c r="G265" i="22"/>
  <c r="D29" i="23"/>
  <c r="G701" i="22"/>
  <c r="F701" i="22"/>
  <c r="H29" i="23"/>
  <c r="G705" i="22"/>
  <c r="F705" i="22"/>
  <c r="E20" i="23"/>
  <c r="L424" i="22"/>
  <c r="M424" i="22"/>
  <c r="K424" i="22"/>
  <c r="D39" i="23"/>
  <c r="J1021" i="22"/>
  <c r="I1021" i="22"/>
  <c r="H14" i="23"/>
  <c r="H235" i="22"/>
  <c r="G235" i="22"/>
  <c r="G11" i="23"/>
  <c r="E142" i="22"/>
  <c r="F142" i="22"/>
  <c r="E31" i="23"/>
  <c r="J766" i="22"/>
  <c r="I766" i="22"/>
  <c r="E18" i="23"/>
  <c r="I360" i="22"/>
  <c r="H360" i="22"/>
  <c r="H11" i="23"/>
  <c r="E143" i="22"/>
  <c r="F143" i="22"/>
  <c r="G31" i="23"/>
  <c r="J768" i="22"/>
  <c r="I768" i="22"/>
  <c r="D20" i="23"/>
  <c r="L423" i="22"/>
  <c r="M423" i="22"/>
  <c r="K423" i="22"/>
  <c r="D20" i="10"/>
  <c r="E68" i="10" s="1"/>
  <c r="H15" i="23"/>
  <c r="H267" i="22"/>
  <c r="G267" i="22"/>
  <c r="B11" i="23"/>
  <c r="G357" i="22"/>
  <c r="B13" i="23"/>
  <c r="F169" i="22"/>
  <c r="J426" i="22"/>
  <c r="F77" i="22"/>
  <c r="G325" i="22"/>
  <c r="G361" i="22"/>
  <c r="J456" i="22"/>
  <c r="J458" i="22"/>
  <c r="J392" i="22"/>
  <c r="G21" i="23" l="1"/>
  <c r="L458" i="22"/>
  <c r="M458" i="22"/>
  <c r="K458" i="22"/>
  <c r="F18" i="23"/>
  <c r="I361" i="22"/>
  <c r="H361" i="22"/>
  <c r="I325" i="22"/>
  <c r="H325" i="22"/>
  <c r="E21" i="23"/>
  <c r="L456" i="22"/>
  <c r="M456" i="22"/>
  <c r="K456" i="22"/>
  <c r="H77" i="22"/>
  <c r="G77" i="22"/>
  <c r="E19" i="23"/>
  <c r="L392" i="22"/>
  <c r="M392" i="22"/>
  <c r="K392" i="22"/>
  <c r="F46" i="23"/>
  <c r="C18" i="23"/>
  <c r="I358" i="22"/>
  <c r="H358" i="22"/>
  <c r="C52" i="22"/>
  <c r="J147" i="16"/>
  <c r="J239" i="16"/>
  <c r="G428" i="22"/>
  <c r="E364" i="22"/>
  <c r="J157" i="16"/>
  <c r="D236" i="22"/>
  <c r="J153" i="16"/>
  <c r="G396" i="22"/>
  <c r="J238" i="16"/>
  <c r="D268" i="22"/>
  <c r="J154" i="16"/>
  <c r="C9" i="23"/>
  <c r="H78" i="22"/>
  <c r="G78" i="22"/>
  <c r="H12" i="23"/>
  <c r="H175" i="22"/>
  <c r="G175" i="22"/>
  <c r="D18" i="23"/>
  <c r="I359" i="22"/>
  <c r="H359" i="22"/>
  <c r="J150" i="16"/>
  <c r="C144" i="22"/>
  <c r="D176" i="22"/>
  <c r="J151" i="16"/>
  <c r="J198" i="16"/>
  <c r="F396" i="22"/>
  <c r="F428" i="22"/>
  <c r="J199" i="16"/>
  <c r="D84" i="22"/>
  <c r="J148" i="16"/>
  <c r="H18" i="23"/>
  <c r="I363" i="22"/>
  <c r="H363" i="22"/>
  <c r="E20" i="10"/>
  <c r="F68" i="10" s="1"/>
  <c r="P132" i="12"/>
  <c r="P126" i="13" s="1"/>
  <c r="P109" i="12"/>
  <c r="P112" i="13" s="1"/>
  <c r="P53" i="12"/>
  <c r="P26" i="12"/>
  <c r="P55" i="13" s="1"/>
  <c r="P36" i="12"/>
  <c r="P65" i="13" s="1"/>
  <c r="P23" i="15" s="1"/>
  <c r="P35" i="15" s="1"/>
  <c r="P106" i="12"/>
  <c r="P109" i="13" s="1"/>
  <c r="P84" i="12"/>
  <c r="P131" i="12"/>
  <c r="P125" i="13" s="1"/>
  <c r="P43" i="12"/>
  <c r="P46" i="12"/>
  <c r="P118" i="12"/>
  <c r="P89" i="12"/>
  <c r="P88" i="12"/>
  <c r="P65" i="15"/>
  <c r="P80" i="15" s="1"/>
  <c r="P50" i="12"/>
  <c r="P29" i="12"/>
  <c r="P58" i="13" s="1"/>
  <c r="P110" i="12"/>
  <c r="P113" i="13" s="1"/>
  <c r="P107" i="12"/>
  <c r="P110" i="13" s="1"/>
  <c r="P69" i="12"/>
  <c r="P81" i="13" s="1"/>
  <c r="P47" i="12"/>
  <c r="P40" i="12"/>
  <c r="P69" i="13" s="1"/>
  <c r="P81" i="12"/>
  <c r="P115" i="12"/>
  <c r="P112" i="12"/>
  <c r="P115" i="13" s="1"/>
  <c r="P104" i="12"/>
  <c r="P107" i="13" s="1"/>
  <c r="P45" i="12"/>
  <c r="P54" i="12"/>
  <c r="P135" i="12"/>
  <c r="P129" i="13" s="1"/>
  <c r="P105" i="12"/>
  <c r="P108" i="13" s="1"/>
  <c r="P79" i="12"/>
  <c r="P91" i="13" s="1"/>
  <c r="P67" i="15"/>
  <c r="P82" i="15" s="1"/>
  <c r="P11" i="13"/>
  <c r="P31" i="12"/>
  <c r="P60" i="13" s="1"/>
  <c r="P139" i="12"/>
  <c r="P111" i="12"/>
  <c r="P114" i="13" s="1"/>
  <c r="P67" i="12"/>
  <c r="P79" i="13" s="1"/>
  <c r="P62" i="15"/>
  <c r="P77" i="15" s="1"/>
  <c r="P30" i="12"/>
  <c r="P59" i="13" s="1"/>
  <c r="P52" i="12"/>
  <c r="P82" i="12"/>
  <c r="P133" i="12"/>
  <c r="P127" i="13" s="1"/>
  <c r="P72" i="12"/>
  <c r="P84" i="13" s="1"/>
  <c r="P39" i="12"/>
  <c r="P68" i="13" s="1"/>
  <c r="P35" i="12"/>
  <c r="P64" i="13" s="1"/>
  <c r="P22" i="15" s="1"/>
  <c r="P34" i="15" s="1"/>
  <c r="P141" i="12"/>
  <c r="P83" i="12"/>
  <c r="P136" i="12"/>
  <c r="P77" i="12"/>
  <c r="P89" i="13" s="1"/>
  <c r="P37" i="12"/>
  <c r="P66" i="13" s="1"/>
  <c r="P33" i="12"/>
  <c r="P62" i="13" s="1"/>
  <c r="P91" i="12"/>
  <c r="P119" i="12"/>
  <c r="P116" i="12"/>
  <c r="P64" i="15"/>
  <c r="P79" i="15" s="1"/>
  <c r="P32" i="12"/>
  <c r="P61" i="13" s="1"/>
  <c r="P23" i="12"/>
  <c r="P52" i="13" s="1"/>
  <c r="P85" i="12"/>
  <c r="P114" i="12"/>
  <c r="P108" i="12"/>
  <c r="P111" i="13" s="1"/>
  <c r="P49" i="12"/>
  <c r="P48" i="12"/>
  <c r="P134" i="12"/>
  <c r="P128" i="13" s="1"/>
  <c r="P80" i="12"/>
  <c r="P92" i="13" s="1"/>
  <c r="P78" i="12"/>
  <c r="P90" i="13" s="1"/>
  <c r="P63" i="15"/>
  <c r="P78" i="15" s="1"/>
  <c r="P42" i="12"/>
  <c r="P27" i="12"/>
  <c r="P56" i="13" s="1"/>
  <c r="P75" i="12"/>
  <c r="P87" i="13" s="1"/>
  <c r="P90" i="12"/>
  <c r="P76" i="12"/>
  <c r="P88" i="13" s="1"/>
  <c r="P71" i="12"/>
  <c r="P83" i="13" s="1"/>
  <c r="P66" i="15"/>
  <c r="P81" i="15" s="1"/>
  <c r="P34" i="12"/>
  <c r="P63" i="13" s="1"/>
  <c r="P21" i="15" s="1"/>
  <c r="P33" i="15" s="1"/>
  <c r="P25" i="12"/>
  <c r="P54" i="13" s="1"/>
  <c r="P117" i="12"/>
  <c r="P74" i="12"/>
  <c r="P86" i="13" s="1"/>
  <c r="P103" i="12"/>
  <c r="P106" i="13" s="1"/>
  <c r="P51" i="12"/>
  <c r="P24" i="12"/>
  <c r="P53" i="13" s="1"/>
  <c r="P87" i="12"/>
  <c r="P113" i="12"/>
  <c r="P142" i="12"/>
  <c r="P68" i="12"/>
  <c r="P80" i="13" s="1"/>
  <c r="P41" i="12"/>
  <c r="P70" i="13" s="1"/>
  <c r="P38" i="12"/>
  <c r="P67" i="13" s="1"/>
  <c r="P140" i="12"/>
  <c r="P86" i="12"/>
  <c r="P138" i="12"/>
  <c r="P55" i="12"/>
  <c r="P28" i="12"/>
  <c r="P57" i="13" s="1"/>
  <c r="P44" i="12"/>
  <c r="P73" i="12"/>
  <c r="P85" i="13" s="1"/>
  <c r="P137" i="12"/>
  <c r="P70" i="12"/>
  <c r="P82" i="13" s="1"/>
  <c r="G20" i="23"/>
  <c r="L426" i="22"/>
  <c r="M426" i="22"/>
  <c r="K426" i="22"/>
  <c r="G12" i="23"/>
  <c r="H174" i="22"/>
  <c r="G174" i="22"/>
  <c r="C10" i="23"/>
  <c r="D110" i="22"/>
  <c r="D300" i="22"/>
  <c r="J155" i="16"/>
  <c r="G460" i="22"/>
  <c r="J240" i="16"/>
  <c r="H46" i="23"/>
  <c r="I20" i="10"/>
  <c r="J68" i="10" s="1"/>
  <c r="D12" i="23"/>
  <c r="H171" i="22"/>
  <c r="G171" i="22"/>
  <c r="H169" i="22"/>
  <c r="G169" i="22"/>
  <c r="I357" i="22"/>
  <c r="H357" i="22"/>
  <c r="B20" i="10"/>
  <c r="C68" i="10" s="1"/>
  <c r="C17" i="23"/>
  <c r="I326" i="22"/>
  <c r="H326" i="22"/>
  <c r="C12" i="23"/>
  <c r="H170" i="22"/>
  <c r="G170" i="22"/>
  <c r="J156" i="16"/>
  <c r="E332" i="22"/>
  <c r="F460" i="22"/>
  <c r="J200" i="16"/>
  <c r="G20" i="10"/>
  <c r="H68" i="10" s="1"/>
  <c r="G17" i="23"/>
  <c r="I330" i="22"/>
  <c r="H330" i="22"/>
  <c r="B12" i="23"/>
  <c r="B18" i="23"/>
  <c r="B17" i="23"/>
  <c r="B9" i="23"/>
  <c r="E46" i="23" l="1"/>
  <c r="D46" i="23"/>
  <c r="C46" i="23"/>
  <c r="G46" i="23"/>
  <c r="B46" i="23"/>
  <c r="G332" i="22"/>
  <c r="R126" i="16"/>
  <c r="D778" i="22"/>
  <c r="C619" i="22"/>
  <c r="R77" i="16"/>
  <c r="P116" i="13"/>
  <c r="C92" i="22"/>
  <c r="R60" i="16"/>
  <c r="R279" i="16"/>
  <c r="H404" i="22"/>
  <c r="B1034" i="22"/>
  <c r="R46" i="16"/>
  <c r="R291" i="16"/>
  <c r="F778" i="22"/>
  <c r="B842" i="22"/>
  <c r="R40" i="16"/>
  <c r="R33" i="16"/>
  <c r="P97" i="13"/>
  <c r="B619" i="22"/>
  <c r="R86" i="16"/>
  <c r="C906" i="22"/>
  <c r="R134" i="16"/>
  <c r="D1034" i="22"/>
  <c r="D404" i="22"/>
  <c r="R114" i="16"/>
  <c r="D714" i="22"/>
  <c r="R289" i="16"/>
  <c r="R65" i="16"/>
  <c r="C244" i="22"/>
  <c r="R63" i="16"/>
  <c r="C184" i="22"/>
  <c r="R70" i="16"/>
  <c r="C404" i="22"/>
  <c r="R42" i="16"/>
  <c r="B906" i="22"/>
  <c r="B682" i="22"/>
  <c r="D682" i="22" s="1"/>
  <c r="Q28" i="23" s="1"/>
  <c r="R35" i="16"/>
  <c r="H468" i="22"/>
  <c r="R281" i="16"/>
  <c r="D372" i="22"/>
  <c r="R113" i="16"/>
  <c r="F84" i="22"/>
  <c r="F268" i="22"/>
  <c r="F236" i="22"/>
  <c r="M68" i="10"/>
  <c r="B244" i="22"/>
  <c r="E244" i="22" s="1"/>
  <c r="R21" i="16"/>
  <c r="D810" i="22"/>
  <c r="R127" i="16"/>
  <c r="R39" i="16"/>
  <c r="B810" i="22"/>
  <c r="R22" i="16"/>
  <c r="B276" i="22"/>
  <c r="D970" i="22"/>
  <c r="R297" i="16"/>
  <c r="B308" i="22"/>
  <c r="R23" i="16"/>
  <c r="B404" i="22"/>
  <c r="R26" i="16"/>
  <c r="R41" i="16"/>
  <c r="B874" i="22"/>
  <c r="D874" i="22" s="1"/>
  <c r="Q34" i="23" s="1"/>
  <c r="R91" i="16"/>
  <c r="C1066" i="22"/>
  <c r="R25" i="16"/>
  <c r="B372" i="22"/>
  <c r="R280" i="16"/>
  <c r="H436" i="22"/>
  <c r="B529" i="22"/>
  <c r="C529" i="22" s="1"/>
  <c r="R30" i="16"/>
  <c r="P94" i="13"/>
  <c r="B60" i="22"/>
  <c r="R15" i="16"/>
  <c r="P154" i="13"/>
  <c r="P146" i="13"/>
  <c r="P152" i="13"/>
  <c r="P144" i="13"/>
  <c r="P32" i="13"/>
  <c r="P94" i="14" s="1"/>
  <c r="P40" i="13"/>
  <c r="P33" i="13"/>
  <c r="P95" i="14" s="1"/>
  <c r="P147" i="13"/>
  <c r="P143" i="13"/>
  <c r="P31" i="13"/>
  <c r="P93" i="14" s="1"/>
  <c r="P28" i="13"/>
  <c r="P91" i="14" s="1"/>
  <c r="P37" i="13"/>
  <c r="P36" i="13"/>
  <c r="P148" i="13"/>
  <c r="P43" i="13"/>
  <c r="P156" i="13"/>
  <c r="P25" i="13"/>
  <c r="P89" i="14" s="1"/>
  <c r="P42" i="13"/>
  <c r="P155" i="13"/>
  <c r="P150" i="13"/>
  <c r="P151" i="13"/>
  <c r="P29" i="13"/>
  <c r="P92" i="14" s="1"/>
  <c r="P34" i="13"/>
  <c r="P96" i="14" s="1"/>
  <c r="P35" i="13"/>
  <c r="P97" i="14" s="1"/>
  <c r="P149" i="13"/>
  <c r="P160" i="13"/>
  <c r="P30" i="13"/>
  <c r="P153" i="13"/>
  <c r="P158" i="13"/>
  <c r="P27" i="13"/>
  <c r="P26" i="13"/>
  <c r="P90" i="14" s="1"/>
  <c r="P157" i="13"/>
  <c r="P38" i="13"/>
  <c r="P145" i="13"/>
  <c r="P41" i="13"/>
  <c r="P142" i="13"/>
  <c r="P39" i="13"/>
  <c r="P159" i="13"/>
  <c r="D468" i="22"/>
  <c r="R116" i="16"/>
  <c r="C468" i="22"/>
  <c r="R72" i="16"/>
  <c r="B938" i="22"/>
  <c r="R43" i="16"/>
  <c r="D340" i="22"/>
  <c r="R112" i="16"/>
  <c r="B714" i="22"/>
  <c r="R36" i="16"/>
  <c r="B778" i="22"/>
  <c r="R38" i="16"/>
  <c r="B92" i="22"/>
  <c r="E92" i="22" s="1"/>
  <c r="R16" i="16"/>
  <c r="C938" i="22"/>
  <c r="R87" i="16"/>
  <c r="B184" i="22"/>
  <c r="E184" i="22" s="1"/>
  <c r="R19" i="16"/>
  <c r="B468" i="22"/>
  <c r="R28" i="16"/>
  <c r="C340" i="22"/>
  <c r="R68" i="16"/>
  <c r="B1066" i="22"/>
  <c r="R47" i="16"/>
  <c r="P130" i="13"/>
  <c r="D619" i="22"/>
  <c r="R121" i="16"/>
  <c r="R44" i="16"/>
  <c r="B970" i="22"/>
  <c r="C436" i="22"/>
  <c r="R71" i="16"/>
  <c r="R299" i="16"/>
  <c r="F1034" i="22"/>
  <c r="C810" i="22"/>
  <c r="R83" i="16"/>
  <c r="R17" i="16"/>
  <c r="B122" i="22"/>
  <c r="C122" i="22" s="1"/>
  <c r="R90" i="16"/>
  <c r="C1034" i="22"/>
  <c r="R32" i="16"/>
  <c r="P96" i="13"/>
  <c r="B589" i="22"/>
  <c r="C589" i="22" s="1"/>
  <c r="Q25" i="23" s="1"/>
  <c r="B1002" i="22"/>
  <c r="D1002" i="22" s="1"/>
  <c r="Q38" i="23" s="1"/>
  <c r="R45" i="16"/>
  <c r="J428" i="22"/>
  <c r="F176" i="22"/>
  <c r="G364" i="22"/>
  <c r="D52" i="22"/>
  <c r="J460" i="22"/>
  <c r="F300" i="22"/>
  <c r="B152" i="22"/>
  <c r="R18" i="16"/>
  <c r="R131" i="16"/>
  <c r="D938" i="22"/>
  <c r="D1066" i="22"/>
  <c r="R135" i="16"/>
  <c r="B340" i="22"/>
  <c r="F340" i="22" s="1"/>
  <c r="R24" i="16"/>
  <c r="B650" i="22"/>
  <c r="D650" i="22" s="1"/>
  <c r="R34" i="16"/>
  <c r="D436" i="22"/>
  <c r="R115" i="16"/>
  <c r="C778" i="22"/>
  <c r="R82" i="16"/>
  <c r="R293" i="16"/>
  <c r="D842" i="22"/>
  <c r="R31" i="16"/>
  <c r="P95" i="13"/>
  <c r="B559" i="22"/>
  <c r="C559" i="22" s="1"/>
  <c r="R20" i="16"/>
  <c r="B214" i="22"/>
  <c r="C214" i="22" s="1"/>
  <c r="D906" i="22"/>
  <c r="R130" i="16"/>
  <c r="B436" i="22"/>
  <c r="R27" i="16"/>
  <c r="R37" i="16"/>
  <c r="B746" i="22"/>
  <c r="D746" i="22" s="1"/>
  <c r="Q30" i="23" s="1"/>
  <c r="P93" i="13"/>
  <c r="B499" i="22"/>
  <c r="C499" i="22" s="1"/>
  <c r="R29" i="16"/>
  <c r="C308" i="22"/>
  <c r="R67" i="16"/>
  <c r="R295" i="16"/>
  <c r="F906" i="22"/>
  <c r="C276" i="22"/>
  <c r="R66" i="16"/>
  <c r="C372" i="22"/>
  <c r="R69" i="16"/>
  <c r="J396" i="22"/>
  <c r="D144" i="22"/>
  <c r="I404" i="22" l="1"/>
  <c r="I468" i="22"/>
  <c r="E714" i="22"/>
  <c r="I16" i="23"/>
  <c r="H300" i="22"/>
  <c r="G300" i="22"/>
  <c r="I12" i="23"/>
  <c r="H176" i="22"/>
  <c r="G176" i="22"/>
  <c r="R151" i="16"/>
  <c r="D184" i="22"/>
  <c r="F184" i="22" s="1"/>
  <c r="I18" i="23"/>
  <c r="I364" i="22"/>
  <c r="H364" i="22"/>
  <c r="I20" i="23"/>
  <c r="L428" i="22"/>
  <c r="M428" i="22"/>
  <c r="K428" i="22"/>
  <c r="G1066" i="22"/>
  <c r="Q40" i="23" s="1"/>
  <c r="G778" i="22"/>
  <c r="H778" i="22"/>
  <c r="R200" i="16"/>
  <c r="F468" i="22"/>
  <c r="R147" i="16"/>
  <c r="C60" i="22"/>
  <c r="D60" i="22" s="1"/>
  <c r="R198" i="16"/>
  <c r="F404" i="22"/>
  <c r="D276" i="22"/>
  <c r="F276" i="22" s="1"/>
  <c r="R154" i="16"/>
  <c r="G436" i="22"/>
  <c r="R239" i="16"/>
  <c r="F372" i="22"/>
  <c r="E276" i="22"/>
  <c r="G90" i="10"/>
  <c r="F90" i="10"/>
  <c r="B90" i="10"/>
  <c r="B108" i="10" s="1"/>
  <c r="K11" i="12" s="1"/>
  <c r="D90" i="10"/>
  <c r="C90" i="10"/>
  <c r="J90" i="10"/>
  <c r="H90" i="10"/>
  <c r="L90" i="10"/>
  <c r="L99" i="10" s="1"/>
  <c r="E90" i="10"/>
  <c r="I90" i="10"/>
  <c r="K90" i="10"/>
  <c r="K99" i="10" s="1"/>
  <c r="I14" i="23"/>
  <c r="H236" i="22"/>
  <c r="G236" i="22"/>
  <c r="G906" i="22"/>
  <c r="H906" i="22"/>
  <c r="E619" i="22"/>
  <c r="F619" i="22"/>
  <c r="E842" i="22"/>
  <c r="G1034" i="22"/>
  <c r="H1034" i="22"/>
  <c r="D244" i="22"/>
  <c r="F244" i="22" s="1"/>
  <c r="R153" i="16"/>
  <c r="I11" i="23"/>
  <c r="E144" i="22"/>
  <c r="F144" i="22"/>
  <c r="Q22" i="23"/>
  <c r="D499" i="22"/>
  <c r="Q13" i="23"/>
  <c r="D214" i="22"/>
  <c r="Q27" i="23"/>
  <c r="F650" i="22"/>
  <c r="E650" i="22"/>
  <c r="G404" i="22"/>
  <c r="R238" i="16"/>
  <c r="R157" i="16"/>
  <c r="E372" i="22"/>
  <c r="G372" i="22" s="1"/>
  <c r="F436" i="22"/>
  <c r="J436" i="22" s="1"/>
  <c r="R199" i="16"/>
  <c r="Q23" i="23"/>
  <c r="D529" i="22"/>
  <c r="E308" i="22"/>
  <c r="I9" i="23"/>
  <c r="H84" i="22"/>
  <c r="G84" i="22"/>
  <c r="Q24" i="23"/>
  <c r="D559" i="22"/>
  <c r="I19" i="23"/>
  <c r="L396" i="22"/>
  <c r="M396" i="22"/>
  <c r="K396" i="22"/>
  <c r="I436" i="22"/>
  <c r="I21" i="23"/>
  <c r="L460" i="22"/>
  <c r="M460" i="22"/>
  <c r="K460" i="22"/>
  <c r="I8" i="23"/>
  <c r="E52" i="22"/>
  <c r="F52" i="22"/>
  <c r="Q10" i="23"/>
  <c r="D122" i="22"/>
  <c r="E970" i="22"/>
  <c r="Q29" i="23"/>
  <c r="G714" i="22"/>
  <c r="F714" i="22"/>
  <c r="G938" i="22"/>
  <c r="Q36" i="23" s="1"/>
  <c r="D92" i="22"/>
  <c r="F92" i="22" s="1"/>
  <c r="R148" i="16"/>
  <c r="R156" i="16"/>
  <c r="E340" i="22"/>
  <c r="G340" i="22" s="1"/>
  <c r="G468" i="22"/>
  <c r="R240" i="16"/>
  <c r="C152" i="22"/>
  <c r="D152" i="22" s="1"/>
  <c r="R150" i="16"/>
  <c r="D308" i="22"/>
  <c r="F308" i="22" s="1"/>
  <c r="R155" i="16"/>
  <c r="G810" i="22"/>
  <c r="Q32" i="23" s="1"/>
  <c r="I15" i="23"/>
  <c r="H268" i="22"/>
  <c r="G268" i="22"/>
  <c r="I17" i="23"/>
  <c r="I332" i="22"/>
  <c r="H332" i="22"/>
  <c r="I46" i="23" l="1"/>
  <c r="Q39" i="23"/>
  <c r="J1034" i="22"/>
  <c r="I1034" i="22"/>
  <c r="I108" i="10"/>
  <c r="R11" i="12" s="1"/>
  <c r="I99" i="10"/>
  <c r="J108" i="10"/>
  <c r="S11" i="12" s="1"/>
  <c r="J99" i="10"/>
  <c r="F108" i="10"/>
  <c r="O11" i="12" s="1"/>
  <c r="F99" i="10"/>
  <c r="J404" i="22"/>
  <c r="J468" i="22"/>
  <c r="Q16" i="23"/>
  <c r="H308" i="22"/>
  <c r="G308" i="22"/>
  <c r="Q9" i="23"/>
  <c r="H92" i="22"/>
  <c r="G92" i="22"/>
  <c r="Q35" i="23"/>
  <c r="J906" i="22"/>
  <c r="I906" i="22"/>
  <c r="E108" i="10"/>
  <c r="N11" i="12" s="1"/>
  <c r="E99" i="10"/>
  <c r="C108" i="10"/>
  <c r="L11" i="12" s="1"/>
  <c r="C99" i="10"/>
  <c r="Q17" i="23"/>
  <c r="I340" i="22"/>
  <c r="H340" i="22"/>
  <c r="Q37" i="23"/>
  <c r="G970" i="22"/>
  <c r="F970" i="22"/>
  <c r="Q20" i="23"/>
  <c r="L436" i="22"/>
  <c r="M436" i="22"/>
  <c r="K436" i="22"/>
  <c r="Q33" i="23"/>
  <c r="G842" i="22"/>
  <c r="F842" i="22"/>
  <c r="C122" i="10"/>
  <c r="C123" i="10"/>
  <c r="C124" i="10"/>
  <c r="C125" i="10"/>
  <c r="C126" i="10"/>
  <c r="C145" i="10"/>
  <c r="C135" i="10"/>
  <c r="C146" i="10"/>
  <c r="C127" i="10"/>
  <c r="C147" i="10"/>
  <c r="C148" i="10"/>
  <c r="C149" i="10"/>
  <c r="C150" i="10"/>
  <c r="C143" i="10"/>
  <c r="C121" i="10"/>
  <c r="C144" i="10"/>
  <c r="C130" i="10"/>
  <c r="C153" i="10"/>
  <c r="C139" i="10"/>
  <c r="C140" i="10"/>
  <c r="C141" i="10"/>
  <c r="C142" i="10"/>
  <c r="C152" i="10"/>
  <c r="C138" i="10"/>
  <c r="C128" i="10"/>
  <c r="C129" i="10"/>
  <c r="C131" i="10"/>
  <c r="C132" i="10"/>
  <c r="C133" i="10"/>
  <c r="C134" i="10"/>
  <c r="C136" i="10"/>
  <c r="C151" i="10"/>
  <c r="C137" i="10"/>
  <c r="D99" i="10"/>
  <c r="D108" i="10"/>
  <c r="M11" i="12" s="1"/>
  <c r="Q8" i="23"/>
  <c r="F60" i="22"/>
  <c r="E60" i="22"/>
  <c r="Q31" i="23"/>
  <c r="J778" i="22"/>
  <c r="I778" i="22"/>
  <c r="Q12" i="23"/>
  <c r="H184" i="22"/>
  <c r="G184" i="22"/>
  <c r="Q11" i="23"/>
  <c r="E152" i="22"/>
  <c r="F152" i="22"/>
  <c r="Q18" i="23"/>
  <c r="I372" i="22"/>
  <c r="H372" i="22"/>
  <c r="Q14" i="23"/>
  <c r="H244" i="22"/>
  <c r="G244" i="22"/>
  <c r="Q26" i="23"/>
  <c r="G619" i="22"/>
  <c r="B162" i="10"/>
  <c r="B150" i="10"/>
  <c r="B151" i="10"/>
  <c r="B152" i="10"/>
  <c r="B153" i="10"/>
  <c r="B121" i="10"/>
  <c r="B122" i="10"/>
  <c r="B123" i="10"/>
  <c r="B124" i="10"/>
  <c r="B125" i="10"/>
  <c r="B165" i="10"/>
  <c r="B142" i="10"/>
  <c r="B143" i="10"/>
  <c r="B144" i="10"/>
  <c r="B145" i="10"/>
  <c r="B146" i="10"/>
  <c r="B147" i="10"/>
  <c r="B148" i="10"/>
  <c r="B149" i="10"/>
  <c r="B164" i="10"/>
  <c r="B134" i="10"/>
  <c r="B135" i="10"/>
  <c r="D135" i="10" s="1"/>
  <c r="B136" i="10"/>
  <c r="D136" i="10" s="1"/>
  <c r="B137" i="10"/>
  <c r="D137" i="10" s="1"/>
  <c r="B138" i="10"/>
  <c r="D138" i="10" s="1"/>
  <c r="B139" i="10"/>
  <c r="D139" i="10" s="1"/>
  <c r="B140" i="10"/>
  <c r="B141" i="10"/>
  <c r="B166" i="10"/>
  <c r="B163" i="10"/>
  <c r="B126" i="10"/>
  <c r="D126" i="10" s="1"/>
  <c r="B127" i="10"/>
  <c r="B128" i="10"/>
  <c r="B129" i="10"/>
  <c r="B130" i="10"/>
  <c r="B131" i="10"/>
  <c r="B132" i="10"/>
  <c r="B133" i="10"/>
  <c r="H108" i="10"/>
  <c r="Q11" i="12" s="1"/>
  <c r="H99" i="10"/>
  <c r="K65" i="15"/>
  <c r="K80" i="15" s="1"/>
  <c r="K55" i="12"/>
  <c r="K24" i="12"/>
  <c r="K53" i="13" s="1"/>
  <c r="K141" i="12"/>
  <c r="K112" i="12"/>
  <c r="K115" i="13" s="1"/>
  <c r="K69" i="12"/>
  <c r="K81" i="13" s="1"/>
  <c r="K11" i="13"/>
  <c r="K45" i="12"/>
  <c r="K25" i="12"/>
  <c r="K54" i="13" s="1"/>
  <c r="K140" i="12"/>
  <c r="K90" i="12"/>
  <c r="K108" i="12"/>
  <c r="K111" i="13" s="1"/>
  <c r="K38" i="12"/>
  <c r="K67" i="13" s="1"/>
  <c r="K28" i="12"/>
  <c r="K57" i="13" s="1"/>
  <c r="K74" i="12"/>
  <c r="K86" i="13" s="1"/>
  <c r="K89" i="12"/>
  <c r="K88" i="12"/>
  <c r="K36" i="12"/>
  <c r="K65" i="13" s="1"/>
  <c r="K23" i="15" s="1"/>
  <c r="K35" i="15" s="1"/>
  <c r="K67" i="12"/>
  <c r="K79" i="13" s="1"/>
  <c r="K73" i="12"/>
  <c r="K85" i="13" s="1"/>
  <c r="K52" i="12"/>
  <c r="K118" i="12"/>
  <c r="K85" i="12"/>
  <c r="K132" i="12"/>
  <c r="K126" i="13" s="1"/>
  <c r="K62" i="15"/>
  <c r="K77" i="15" s="1"/>
  <c r="K47" i="12"/>
  <c r="K27" i="12"/>
  <c r="K56" i="13" s="1"/>
  <c r="K113" i="12"/>
  <c r="K106" i="12"/>
  <c r="K109" i="13" s="1"/>
  <c r="K76" i="12"/>
  <c r="K88" i="13" s="1"/>
  <c r="K48" i="12"/>
  <c r="K37" i="12"/>
  <c r="K66" i="13" s="1"/>
  <c r="K80" i="12"/>
  <c r="K92" i="13" s="1"/>
  <c r="K142" i="12"/>
  <c r="K79" i="12"/>
  <c r="K91" i="13" s="1"/>
  <c r="K66" i="15"/>
  <c r="K81" i="15" s="1"/>
  <c r="K51" i="12"/>
  <c r="K31" i="12"/>
  <c r="K60" i="13" s="1"/>
  <c r="K86" i="12"/>
  <c r="K107" i="12"/>
  <c r="K110" i="13" s="1"/>
  <c r="K70" i="12"/>
  <c r="K82" i="13" s="1"/>
  <c r="K26" i="12"/>
  <c r="K55" i="13" s="1"/>
  <c r="K64" i="15"/>
  <c r="K79" i="15" s="1"/>
  <c r="K135" i="12"/>
  <c r="K129" i="13" s="1"/>
  <c r="K41" i="12"/>
  <c r="K70" i="13" s="1"/>
  <c r="K131" i="12"/>
  <c r="K125" i="13" s="1"/>
  <c r="K84" i="12"/>
  <c r="K50" i="12"/>
  <c r="K39" i="12"/>
  <c r="K68" i="13" s="1"/>
  <c r="K116" i="12"/>
  <c r="K81" i="12"/>
  <c r="K87" i="12"/>
  <c r="K104" i="12"/>
  <c r="K107" i="13" s="1"/>
  <c r="K40" i="12"/>
  <c r="K69" i="13" s="1"/>
  <c r="K30" i="12"/>
  <c r="K59" i="13" s="1"/>
  <c r="K139" i="12"/>
  <c r="K78" i="12"/>
  <c r="K90" i="13" s="1"/>
  <c r="K82" i="12"/>
  <c r="K54" i="12"/>
  <c r="K43" i="12"/>
  <c r="K23" i="12"/>
  <c r="K52" i="13" s="1"/>
  <c r="K134" i="12"/>
  <c r="K128" i="13" s="1"/>
  <c r="K119" i="12"/>
  <c r="K68" i="12"/>
  <c r="K80" i="13" s="1"/>
  <c r="K111" i="12"/>
  <c r="K114" i="13" s="1"/>
  <c r="K49" i="12"/>
  <c r="K103" i="12"/>
  <c r="K106" i="13" s="1"/>
  <c r="K91" i="12"/>
  <c r="K44" i="12"/>
  <c r="K137" i="12"/>
  <c r="K71" i="12"/>
  <c r="K83" i="13" s="1"/>
  <c r="K42" i="12"/>
  <c r="K32" i="12"/>
  <c r="K61" i="13" s="1"/>
  <c r="K136" i="12"/>
  <c r="K114" i="12"/>
  <c r="K133" i="12"/>
  <c r="K127" i="13" s="1"/>
  <c r="K63" i="15"/>
  <c r="K78" i="15" s="1"/>
  <c r="K53" i="12"/>
  <c r="K33" i="12"/>
  <c r="K62" i="13" s="1"/>
  <c r="K138" i="12"/>
  <c r="K117" i="12"/>
  <c r="K72" i="12"/>
  <c r="K84" i="13" s="1"/>
  <c r="K46" i="12"/>
  <c r="K35" i="12"/>
  <c r="K64" i="13" s="1"/>
  <c r="K22" i="15" s="1"/>
  <c r="K34" i="15" s="1"/>
  <c r="K83" i="12"/>
  <c r="K115" i="12"/>
  <c r="K75" i="12"/>
  <c r="K87" i="13" s="1"/>
  <c r="K67" i="15"/>
  <c r="K82" i="15" s="1"/>
  <c r="K110" i="12"/>
  <c r="K113" i="13" s="1"/>
  <c r="K29" i="12"/>
  <c r="K58" i="13" s="1"/>
  <c r="K109" i="12"/>
  <c r="K112" i="13" s="1"/>
  <c r="K105" i="12"/>
  <c r="K108" i="13" s="1"/>
  <c r="K34" i="12"/>
  <c r="K63" i="13" s="1"/>
  <c r="K21" i="15" s="1"/>
  <c r="K33" i="15" s="1"/>
  <c r="K77" i="12"/>
  <c r="K89" i="13" s="1"/>
  <c r="Q15" i="23"/>
  <c r="H276" i="22"/>
  <c r="G276" i="22"/>
  <c r="D123" i="10" l="1"/>
  <c r="M65" i="16"/>
  <c r="C239" i="22"/>
  <c r="M299" i="16"/>
  <c r="F1029" i="22"/>
  <c r="M280" i="16"/>
  <c r="H431" i="22"/>
  <c r="D805" i="22"/>
  <c r="M127" i="16"/>
  <c r="M114" i="16"/>
  <c r="D399" i="22"/>
  <c r="M34" i="16"/>
  <c r="B645" i="22"/>
  <c r="M47" i="16"/>
  <c r="B1061" i="22"/>
  <c r="B87" i="22"/>
  <c r="M16" i="16"/>
  <c r="B677" i="22"/>
  <c r="M35" i="16"/>
  <c r="D901" i="22"/>
  <c r="M130" i="16"/>
  <c r="B805" i="22"/>
  <c r="M39" i="16"/>
  <c r="D463" i="22"/>
  <c r="M116" i="16"/>
  <c r="C303" i="22"/>
  <c r="M67" i="16"/>
  <c r="M297" i="16"/>
  <c r="D965" i="22"/>
  <c r="C614" i="22"/>
  <c r="M77" i="16"/>
  <c r="K116" i="13"/>
  <c r="D367" i="22"/>
  <c r="M113" i="16"/>
  <c r="B239" i="22"/>
  <c r="M21" i="16"/>
  <c r="B933" i="22"/>
  <c r="M43" i="16"/>
  <c r="M68" i="16"/>
  <c r="C335" i="22"/>
  <c r="B741" i="22"/>
  <c r="M37" i="16"/>
  <c r="M134" i="16"/>
  <c r="D1029" i="22"/>
  <c r="D131" i="10"/>
  <c r="V157" i="16"/>
  <c r="E376" i="22"/>
  <c r="G376" i="22" s="1"/>
  <c r="D127" i="10"/>
  <c r="D248" i="22"/>
  <c r="F248" i="22" s="1"/>
  <c r="V153" i="16"/>
  <c r="D141" i="10"/>
  <c r="V167" i="16"/>
  <c r="C686" i="22"/>
  <c r="V31" i="16"/>
  <c r="B563" i="22"/>
  <c r="C563" i="22" s="1"/>
  <c r="C846" i="22"/>
  <c r="D146" i="10"/>
  <c r="V172" i="16"/>
  <c r="C718" i="22"/>
  <c r="D142" i="10"/>
  <c r="V168" i="16"/>
  <c r="V178" i="16"/>
  <c r="D152" i="10"/>
  <c r="E1038" i="22"/>
  <c r="M38" i="12"/>
  <c r="M67" i="13" s="1"/>
  <c r="M46" i="12"/>
  <c r="M133" i="12"/>
  <c r="M127" i="13" s="1"/>
  <c r="M55" i="12"/>
  <c r="M62" i="15"/>
  <c r="M77" i="15" s="1"/>
  <c r="M86" i="12"/>
  <c r="M117" i="12"/>
  <c r="M53" i="12"/>
  <c r="M48" i="12"/>
  <c r="M81" i="12"/>
  <c r="M80" i="12"/>
  <c r="M92" i="13" s="1"/>
  <c r="M32" i="12"/>
  <c r="M61" i="13" s="1"/>
  <c r="M70" i="12"/>
  <c r="M82" i="13" s="1"/>
  <c r="M87" i="12"/>
  <c r="M51" i="12"/>
  <c r="M78" i="12"/>
  <c r="M90" i="13" s="1"/>
  <c r="M37" i="12"/>
  <c r="M66" i="13" s="1"/>
  <c r="M28" i="12"/>
  <c r="M57" i="13" s="1"/>
  <c r="M115" i="12"/>
  <c r="M111" i="12"/>
  <c r="M114" i="13" s="1"/>
  <c r="M82" i="12"/>
  <c r="M79" i="12"/>
  <c r="M91" i="13" s="1"/>
  <c r="M139" i="12"/>
  <c r="M84" i="12"/>
  <c r="M114" i="12"/>
  <c r="M105" i="12"/>
  <c r="M108" i="13" s="1"/>
  <c r="M26" i="12"/>
  <c r="M55" i="13" s="1"/>
  <c r="M54" i="12"/>
  <c r="M108" i="12"/>
  <c r="M111" i="13" s="1"/>
  <c r="M106" i="12"/>
  <c r="M109" i="13" s="1"/>
  <c r="M75" i="12"/>
  <c r="M87" i="13" s="1"/>
  <c r="M64" i="15"/>
  <c r="M79" i="15" s="1"/>
  <c r="M33" i="12"/>
  <c r="M62" i="13" s="1"/>
  <c r="M72" i="12"/>
  <c r="M84" i="13" s="1"/>
  <c r="M52" i="12"/>
  <c r="M90" i="12"/>
  <c r="M83" i="12"/>
  <c r="M132" i="12"/>
  <c r="M126" i="13" s="1"/>
  <c r="M74" i="12"/>
  <c r="M86" i="13" s="1"/>
  <c r="M109" i="12"/>
  <c r="M112" i="13" s="1"/>
  <c r="M49" i="12"/>
  <c r="M30" i="12"/>
  <c r="M59" i="13" s="1"/>
  <c r="M40" i="12"/>
  <c r="M69" i="13" s="1"/>
  <c r="M36" i="12"/>
  <c r="M65" i="13" s="1"/>
  <c r="M23" i="15" s="1"/>
  <c r="M35" i="15" s="1"/>
  <c r="M31" i="12"/>
  <c r="M60" i="13" s="1"/>
  <c r="M85" i="12"/>
  <c r="M66" i="15"/>
  <c r="M81" i="15" s="1"/>
  <c r="M73" i="12"/>
  <c r="M85" i="13" s="1"/>
  <c r="M39" i="12"/>
  <c r="M68" i="13" s="1"/>
  <c r="M138" i="12"/>
  <c r="M119" i="12"/>
  <c r="M34" i="12"/>
  <c r="M63" i="13" s="1"/>
  <c r="M21" i="15" s="1"/>
  <c r="M33" i="15" s="1"/>
  <c r="M113" i="12"/>
  <c r="M24" i="12"/>
  <c r="M53" i="13" s="1"/>
  <c r="M77" i="12"/>
  <c r="M89" i="13" s="1"/>
  <c r="M137" i="12"/>
  <c r="M43" i="12"/>
  <c r="M88" i="12"/>
  <c r="M67" i="15"/>
  <c r="M82" i="15" s="1"/>
  <c r="M41" i="12"/>
  <c r="M70" i="13" s="1"/>
  <c r="M142" i="12"/>
  <c r="M69" i="12"/>
  <c r="M81" i="13" s="1"/>
  <c r="M89" i="12"/>
  <c r="M140" i="12"/>
  <c r="M76" i="12"/>
  <c r="M88" i="13" s="1"/>
  <c r="M50" i="12"/>
  <c r="M134" i="12"/>
  <c r="M128" i="13" s="1"/>
  <c r="M45" i="12"/>
  <c r="M63" i="15"/>
  <c r="M78" i="15" s="1"/>
  <c r="M25" i="12"/>
  <c r="M54" i="13" s="1"/>
  <c r="M47" i="12"/>
  <c r="M112" i="12"/>
  <c r="M115" i="13" s="1"/>
  <c r="M29" i="12"/>
  <c r="M58" i="13" s="1"/>
  <c r="M71" i="12"/>
  <c r="M83" i="13" s="1"/>
  <c r="M68" i="12"/>
  <c r="M80" i="13" s="1"/>
  <c r="M91" i="12"/>
  <c r="M131" i="12"/>
  <c r="M125" i="13" s="1"/>
  <c r="M44" i="12"/>
  <c r="M107" i="12"/>
  <c r="M110" i="13" s="1"/>
  <c r="M110" i="12"/>
  <c r="M113" i="13" s="1"/>
  <c r="M104" i="12"/>
  <c r="M107" i="13" s="1"/>
  <c r="M141" i="12"/>
  <c r="M136" i="12"/>
  <c r="M103" i="12"/>
  <c r="M106" i="13" s="1"/>
  <c r="M42" i="12"/>
  <c r="M23" i="12"/>
  <c r="M52" i="13" s="1"/>
  <c r="M27" i="12"/>
  <c r="M56" i="13" s="1"/>
  <c r="M135" i="12"/>
  <c r="M129" i="13" s="1"/>
  <c r="M118" i="12"/>
  <c r="M65" i="15"/>
  <c r="M80" i="15" s="1"/>
  <c r="M116" i="12"/>
  <c r="M11" i="13"/>
  <c r="M67" i="12"/>
  <c r="M79" i="13" s="1"/>
  <c r="M35" i="12"/>
  <c r="M64" i="13" s="1"/>
  <c r="M22" i="15" s="1"/>
  <c r="M34" i="15" s="1"/>
  <c r="W157" i="16"/>
  <c r="E377" i="22"/>
  <c r="G377" i="22" s="1"/>
  <c r="E1039" i="22"/>
  <c r="H1039" i="22" s="1"/>
  <c r="W178" i="16"/>
  <c r="C65" i="22"/>
  <c r="D65" i="22" s="1"/>
  <c r="W147" i="16"/>
  <c r="W174" i="16"/>
  <c r="E911" i="22"/>
  <c r="H911" i="22" s="1"/>
  <c r="C157" i="22"/>
  <c r="D157" i="22" s="1"/>
  <c r="W150" i="16"/>
  <c r="N67" i="15"/>
  <c r="N82" i="15" s="1"/>
  <c r="N54" i="12"/>
  <c r="N46" i="12"/>
  <c r="N38" i="12"/>
  <c r="N67" i="13" s="1"/>
  <c r="N33" i="12"/>
  <c r="N62" i="13" s="1"/>
  <c r="N25" i="12"/>
  <c r="N54" i="13" s="1"/>
  <c r="N55" i="12"/>
  <c r="N32" i="12"/>
  <c r="N61" i="13" s="1"/>
  <c r="N24" i="12"/>
  <c r="N53" i="13" s="1"/>
  <c r="N35" i="12"/>
  <c r="N64" i="13" s="1"/>
  <c r="N22" i="15" s="1"/>
  <c r="N34" i="15" s="1"/>
  <c r="N106" i="12"/>
  <c r="N109" i="13" s="1"/>
  <c r="N88" i="12"/>
  <c r="N135" i="12"/>
  <c r="N129" i="13" s="1"/>
  <c r="N137" i="12"/>
  <c r="N90" i="12"/>
  <c r="N82" i="12"/>
  <c r="N111" i="12"/>
  <c r="N114" i="13" s="1"/>
  <c r="N134" i="12"/>
  <c r="N128" i="13" s="1"/>
  <c r="N80" i="12"/>
  <c r="N92" i="13" s="1"/>
  <c r="N72" i="12"/>
  <c r="N84" i="13" s="1"/>
  <c r="N76" i="12"/>
  <c r="N88" i="13" s="1"/>
  <c r="N64" i="15"/>
  <c r="N79" i="15" s="1"/>
  <c r="N42" i="12"/>
  <c r="N28" i="12"/>
  <c r="N57" i="13" s="1"/>
  <c r="N113" i="12"/>
  <c r="N141" i="12"/>
  <c r="N117" i="12"/>
  <c r="N66" i="15"/>
  <c r="N81" i="15" s="1"/>
  <c r="N65" i="15"/>
  <c r="N80" i="15" s="1"/>
  <c r="N52" i="12"/>
  <c r="N44" i="12"/>
  <c r="N36" i="12"/>
  <c r="N65" i="13" s="1"/>
  <c r="N23" i="15" s="1"/>
  <c r="N35" i="15" s="1"/>
  <c r="N31" i="12"/>
  <c r="N60" i="13" s="1"/>
  <c r="N23" i="12"/>
  <c r="N52" i="13" s="1"/>
  <c r="N47" i="12"/>
  <c r="N30" i="12"/>
  <c r="N59" i="13" s="1"/>
  <c r="N53" i="12"/>
  <c r="N138" i="12"/>
  <c r="N105" i="12"/>
  <c r="N108" i="13" s="1"/>
  <c r="N116" i="12"/>
  <c r="N73" i="12"/>
  <c r="N85" i="13" s="1"/>
  <c r="N75" i="12"/>
  <c r="N87" i="13" s="1"/>
  <c r="N140" i="12"/>
  <c r="N91" i="12"/>
  <c r="N114" i="12"/>
  <c r="N89" i="12"/>
  <c r="N86" i="12"/>
  <c r="N67" i="12"/>
  <c r="N79" i="13" s="1"/>
  <c r="N131" i="12"/>
  <c r="N125" i="13" s="1"/>
  <c r="N108" i="12"/>
  <c r="N111" i="13" s="1"/>
  <c r="N63" i="15"/>
  <c r="N78" i="15" s="1"/>
  <c r="N51" i="12"/>
  <c r="N39" i="12"/>
  <c r="N68" i="13" s="1"/>
  <c r="N142" i="12"/>
  <c r="N85" i="12"/>
  <c r="N133" i="12"/>
  <c r="N127" i="13" s="1"/>
  <c r="N70" i="12"/>
  <c r="N82" i="13" s="1"/>
  <c r="N71" i="12"/>
  <c r="N83" i="13" s="1"/>
  <c r="N50" i="12"/>
  <c r="N49" i="12"/>
  <c r="N136" i="12"/>
  <c r="N112" i="12"/>
  <c r="N115" i="13" s="1"/>
  <c r="N104" i="12"/>
  <c r="N107" i="13" s="1"/>
  <c r="N62" i="15"/>
  <c r="N77" i="15" s="1"/>
  <c r="N11" i="13"/>
  <c r="N48" i="12"/>
  <c r="N40" i="12"/>
  <c r="N69" i="13" s="1"/>
  <c r="N43" i="12"/>
  <c r="N27" i="12"/>
  <c r="N56" i="13" s="1"/>
  <c r="N41" i="12"/>
  <c r="N70" i="13" s="1"/>
  <c r="N34" i="12"/>
  <c r="N63" i="13" s="1"/>
  <c r="N21" i="15" s="1"/>
  <c r="N33" i="15" s="1"/>
  <c r="N26" i="12"/>
  <c r="N55" i="13" s="1"/>
  <c r="N37" i="12"/>
  <c r="N66" i="13" s="1"/>
  <c r="N87" i="12"/>
  <c r="N79" i="12"/>
  <c r="N91" i="13" s="1"/>
  <c r="N78" i="12"/>
  <c r="N90" i="13" s="1"/>
  <c r="N84" i="12"/>
  <c r="N81" i="12"/>
  <c r="N74" i="12"/>
  <c r="N86" i="13" s="1"/>
  <c r="N107" i="12"/>
  <c r="N110" i="13" s="1"/>
  <c r="N118" i="12"/>
  <c r="N110" i="12"/>
  <c r="N113" i="13" s="1"/>
  <c r="N119" i="12"/>
  <c r="N68" i="12"/>
  <c r="N80" i="13" s="1"/>
  <c r="N103" i="12"/>
  <c r="N106" i="13" s="1"/>
  <c r="N132" i="12"/>
  <c r="N126" i="13" s="1"/>
  <c r="N83" i="12"/>
  <c r="N77" i="12"/>
  <c r="N89" i="13" s="1"/>
  <c r="N29" i="12"/>
  <c r="N58" i="13" s="1"/>
  <c r="N45" i="12"/>
  <c r="N139" i="12"/>
  <c r="N115" i="12"/>
  <c r="N69" i="12"/>
  <c r="N81" i="13" s="1"/>
  <c r="N109" i="12"/>
  <c r="N112" i="13" s="1"/>
  <c r="Q19" i="23"/>
  <c r="L404" i="22"/>
  <c r="M404" i="22"/>
  <c r="K404" i="22"/>
  <c r="S68" i="12"/>
  <c r="S80" i="13" s="1"/>
  <c r="S78" i="12"/>
  <c r="S90" i="13" s="1"/>
  <c r="S53" i="12"/>
  <c r="S104" i="12"/>
  <c r="S107" i="13" s="1"/>
  <c r="S141" i="12"/>
  <c r="S27" i="12"/>
  <c r="S56" i="13" s="1"/>
  <c r="S71" i="12"/>
  <c r="S83" i="13" s="1"/>
  <c r="S79" i="12"/>
  <c r="S91" i="13" s="1"/>
  <c r="S23" i="12"/>
  <c r="S52" i="13" s="1"/>
  <c r="S36" i="12"/>
  <c r="S65" i="13" s="1"/>
  <c r="S23" i="15" s="1"/>
  <c r="S35" i="15" s="1"/>
  <c r="S67" i="12"/>
  <c r="S79" i="13" s="1"/>
  <c r="S73" i="12"/>
  <c r="S85" i="13" s="1"/>
  <c r="S33" i="12"/>
  <c r="S62" i="13" s="1"/>
  <c r="S46" i="12"/>
  <c r="S75" i="12"/>
  <c r="S87" i="13" s="1"/>
  <c r="S111" i="12"/>
  <c r="S114" i="13" s="1"/>
  <c r="S32" i="12"/>
  <c r="S61" i="13" s="1"/>
  <c r="S72" i="12"/>
  <c r="S84" i="13" s="1"/>
  <c r="S25" i="12"/>
  <c r="S54" i="13" s="1"/>
  <c r="S38" i="12"/>
  <c r="S67" i="13" s="1"/>
  <c r="S90" i="12"/>
  <c r="S135" i="12"/>
  <c r="S129" i="13" s="1"/>
  <c r="S24" i="12"/>
  <c r="S53" i="13" s="1"/>
  <c r="S76" i="12"/>
  <c r="S88" i="13" s="1"/>
  <c r="S84" i="12"/>
  <c r="S31" i="12"/>
  <c r="S60" i="13" s="1"/>
  <c r="S44" i="12"/>
  <c r="S138" i="12"/>
  <c r="S81" i="12"/>
  <c r="S40" i="12"/>
  <c r="S69" i="13" s="1"/>
  <c r="S107" i="12"/>
  <c r="S110" i="13" s="1"/>
  <c r="S136" i="12"/>
  <c r="S26" i="12"/>
  <c r="S55" i="13" s="1"/>
  <c r="S50" i="12"/>
  <c r="S133" i="12"/>
  <c r="S127" i="13" s="1"/>
  <c r="S112" i="12"/>
  <c r="S115" i="13" s="1"/>
  <c r="S37" i="12"/>
  <c r="S66" i="13" s="1"/>
  <c r="S64" i="15"/>
  <c r="S79" i="15" s="1"/>
  <c r="S89" i="12"/>
  <c r="S91" i="12"/>
  <c r="S108" i="12"/>
  <c r="S111" i="13" s="1"/>
  <c r="S85" i="12"/>
  <c r="S28" i="12"/>
  <c r="S57" i="13" s="1"/>
  <c r="S52" i="12"/>
  <c r="S137" i="12"/>
  <c r="S113" i="12"/>
  <c r="S131" i="12"/>
  <c r="S125" i="13" s="1"/>
  <c r="S48" i="12"/>
  <c r="S119" i="12"/>
  <c r="S114" i="12"/>
  <c r="S35" i="12"/>
  <c r="S64" i="13" s="1"/>
  <c r="S22" i="15" s="1"/>
  <c r="S34" i="15" s="1"/>
  <c r="S62" i="15"/>
  <c r="S77" i="15" s="1"/>
  <c r="S116" i="12"/>
  <c r="S30" i="12"/>
  <c r="S59" i="13" s="1"/>
  <c r="S54" i="12"/>
  <c r="S115" i="12"/>
  <c r="S106" i="12"/>
  <c r="S109" i="13" s="1"/>
  <c r="S41" i="12"/>
  <c r="S70" i="13" s="1"/>
  <c r="S63" i="15"/>
  <c r="S78" i="15" s="1"/>
  <c r="S134" i="12"/>
  <c r="S128" i="13" s="1"/>
  <c r="S88" i="12"/>
  <c r="S51" i="12"/>
  <c r="S70" i="12"/>
  <c r="S82" i="13" s="1"/>
  <c r="S86" i="12"/>
  <c r="S11" i="13"/>
  <c r="S74" i="12"/>
  <c r="S86" i="13" s="1"/>
  <c r="S117" i="12"/>
  <c r="S43" i="12"/>
  <c r="S65" i="15"/>
  <c r="S80" i="15" s="1"/>
  <c r="S80" i="12"/>
  <c r="S92" i="13" s="1"/>
  <c r="S103" i="12"/>
  <c r="S106" i="13" s="1"/>
  <c r="S39" i="12"/>
  <c r="S68" i="13" s="1"/>
  <c r="S66" i="15"/>
  <c r="S81" i="15" s="1"/>
  <c r="S139" i="12"/>
  <c r="S110" i="12"/>
  <c r="S113" i="13" s="1"/>
  <c r="S49" i="12"/>
  <c r="S109" i="12"/>
  <c r="S112" i="13" s="1"/>
  <c r="S82" i="12"/>
  <c r="S45" i="12"/>
  <c r="S67" i="15"/>
  <c r="S82" i="15" s="1"/>
  <c r="S87" i="12"/>
  <c r="S140" i="12"/>
  <c r="S55" i="12"/>
  <c r="S132" i="12"/>
  <c r="S126" i="13" s="1"/>
  <c r="S105" i="12"/>
  <c r="S108" i="13" s="1"/>
  <c r="S29" i="12"/>
  <c r="S58" i="13" s="1"/>
  <c r="S42" i="12"/>
  <c r="S142" i="12"/>
  <c r="S47" i="12"/>
  <c r="S77" i="12"/>
  <c r="S89" i="13" s="1"/>
  <c r="S118" i="12"/>
  <c r="S83" i="12"/>
  <c r="S34" i="12"/>
  <c r="S63" i="13" s="1"/>
  <c r="S21" i="15" s="1"/>
  <c r="S33" i="15" s="1"/>
  <c r="S69" i="12"/>
  <c r="S81" i="13" s="1"/>
  <c r="M69" i="16"/>
  <c r="C367" i="22"/>
  <c r="B303" i="22"/>
  <c r="M23" i="16"/>
  <c r="M82" i="16"/>
  <c r="C773" i="22"/>
  <c r="M19" i="16"/>
  <c r="B179" i="22"/>
  <c r="C87" i="22"/>
  <c r="M60" i="16"/>
  <c r="M91" i="16"/>
  <c r="C1061" i="22"/>
  <c r="K93" i="13"/>
  <c r="B494" i="22"/>
  <c r="M29" i="16"/>
  <c r="M32" i="16"/>
  <c r="K96" i="13"/>
  <c r="B584" i="22"/>
  <c r="D837" i="22"/>
  <c r="M293" i="16"/>
  <c r="B773" i="22"/>
  <c r="M38" i="16"/>
  <c r="B431" i="22"/>
  <c r="M27" i="16"/>
  <c r="B837" i="22"/>
  <c r="M40" i="16"/>
  <c r="M33" i="16"/>
  <c r="K97" i="13"/>
  <c r="B614" i="22"/>
  <c r="B55" i="22"/>
  <c r="M15" i="16"/>
  <c r="B271" i="22"/>
  <c r="M22" i="16"/>
  <c r="B1029" i="22"/>
  <c r="M46" i="16"/>
  <c r="K153" i="13"/>
  <c r="K159" i="13"/>
  <c r="K154" i="13"/>
  <c r="K156" i="13"/>
  <c r="K33" i="13"/>
  <c r="K95" i="14" s="1"/>
  <c r="K143" i="13"/>
  <c r="K36" i="13"/>
  <c r="K29" i="13"/>
  <c r="K92" i="14" s="1"/>
  <c r="K30" i="13"/>
  <c r="K40" i="13"/>
  <c r="K157" i="13"/>
  <c r="K31" i="13"/>
  <c r="K93" i="14" s="1"/>
  <c r="K144" i="13"/>
  <c r="K142" i="13"/>
  <c r="K32" i="13"/>
  <c r="K94" i="14" s="1"/>
  <c r="K155" i="13"/>
  <c r="K39" i="13"/>
  <c r="K28" i="13"/>
  <c r="K91" i="14" s="1"/>
  <c r="K37" i="13"/>
  <c r="K152" i="13"/>
  <c r="K151" i="13"/>
  <c r="K42" i="13"/>
  <c r="K26" i="13"/>
  <c r="K90" i="14" s="1"/>
  <c r="K41" i="13"/>
  <c r="K147" i="13"/>
  <c r="K150" i="13"/>
  <c r="K38" i="13"/>
  <c r="K148" i="13"/>
  <c r="K146" i="13"/>
  <c r="K145" i="13"/>
  <c r="K158" i="13"/>
  <c r="K149" i="13"/>
  <c r="K34" i="13"/>
  <c r="K96" i="14" s="1"/>
  <c r="K160" i="13"/>
  <c r="K27" i="13"/>
  <c r="K25" i="13"/>
  <c r="K89" i="14" s="1"/>
  <c r="K43" i="13"/>
  <c r="K35" i="13"/>
  <c r="K97" i="14" s="1"/>
  <c r="Q67" i="15"/>
  <c r="Q82" i="15" s="1"/>
  <c r="Q53" i="12"/>
  <c r="Q45" i="12"/>
  <c r="Q37" i="12"/>
  <c r="Q66" i="13" s="1"/>
  <c r="Q52" i="12"/>
  <c r="Q44" i="12"/>
  <c r="Q36" i="12"/>
  <c r="Q65" i="13" s="1"/>
  <c r="Q23" i="15" s="1"/>
  <c r="Q35" i="15" s="1"/>
  <c r="Q27" i="12"/>
  <c r="Q56" i="13" s="1"/>
  <c r="Q32" i="12"/>
  <c r="Q61" i="13" s="1"/>
  <c r="Q24" i="12"/>
  <c r="Q53" i="13" s="1"/>
  <c r="Q79" i="12"/>
  <c r="Q91" i="13" s="1"/>
  <c r="Q82" i="12"/>
  <c r="Q115" i="12"/>
  <c r="Q114" i="12"/>
  <c r="Q135" i="12"/>
  <c r="Q129" i="13" s="1"/>
  <c r="Q116" i="12"/>
  <c r="Q111" i="12"/>
  <c r="Q114" i="13" s="1"/>
  <c r="Q74" i="12"/>
  <c r="Q86" i="13" s="1"/>
  <c r="Q84" i="12"/>
  <c r="Q113" i="12"/>
  <c r="Q72" i="12"/>
  <c r="Q84" i="13" s="1"/>
  <c r="Q131" i="12"/>
  <c r="Q125" i="13" s="1"/>
  <c r="Q104" i="12"/>
  <c r="Q107" i="13" s="1"/>
  <c r="Q66" i="15"/>
  <c r="Q81" i="15" s="1"/>
  <c r="Q65" i="15"/>
  <c r="Q80" i="15" s="1"/>
  <c r="Q51" i="12"/>
  <c r="Q43" i="12"/>
  <c r="Q35" i="12"/>
  <c r="Q64" i="13" s="1"/>
  <c r="Q22" i="15" s="1"/>
  <c r="Q34" i="15" s="1"/>
  <c r="Q50" i="12"/>
  <c r="Q42" i="12"/>
  <c r="Q33" i="12"/>
  <c r="Q62" i="13" s="1"/>
  <c r="Q25" i="12"/>
  <c r="Q54" i="13" s="1"/>
  <c r="Q30" i="12"/>
  <c r="Q59" i="13" s="1"/>
  <c r="Q107" i="12"/>
  <c r="Q110" i="13" s="1"/>
  <c r="Q133" i="12"/>
  <c r="Q127" i="13" s="1"/>
  <c r="Q117" i="12"/>
  <c r="Q86" i="12"/>
  <c r="Q106" i="12"/>
  <c r="Q109" i="13" s="1"/>
  <c r="Q75" i="12"/>
  <c r="Q87" i="13" s="1"/>
  <c r="Q80" i="12"/>
  <c r="Q92" i="13" s="1"/>
  <c r="Q87" i="12"/>
  <c r="Q73" i="12"/>
  <c r="Q85" i="13" s="1"/>
  <c r="Q119" i="12"/>
  <c r="Q67" i="12"/>
  <c r="Q79" i="13" s="1"/>
  <c r="Q109" i="12"/>
  <c r="Q112" i="13" s="1"/>
  <c r="Q68" i="12"/>
  <c r="Q80" i="13" s="1"/>
  <c r="Q77" i="12"/>
  <c r="Q89" i="13" s="1"/>
  <c r="Q62" i="15"/>
  <c r="Q77" i="15" s="1"/>
  <c r="Q55" i="12"/>
  <c r="Q47" i="12"/>
  <c r="Q39" i="12"/>
  <c r="Q68" i="13" s="1"/>
  <c r="Q54" i="12"/>
  <c r="Q46" i="12"/>
  <c r="Q38" i="12"/>
  <c r="Q67" i="13" s="1"/>
  <c r="Q29" i="12"/>
  <c r="Q58" i="13" s="1"/>
  <c r="Q34" i="12"/>
  <c r="Q63" i="13" s="1"/>
  <c r="Q21" i="15" s="1"/>
  <c r="Q33" i="15" s="1"/>
  <c r="Q26" i="12"/>
  <c r="Q55" i="13" s="1"/>
  <c r="Q90" i="12"/>
  <c r="Q118" i="12"/>
  <c r="Q110" i="12"/>
  <c r="Q113" i="13" s="1"/>
  <c r="Q142" i="12"/>
  <c r="Q78" i="12"/>
  <c r="Q90" i="13" s="1"/>
  <c r="Q141" i="12"/>
  <c r="Q112" i="12"/>
  <c r="Q115" i="13" s="1"/>
  <c r="Q134" i="12"/>
  <c r="Q128" i="13" s="1"/>
  <c r="Q138" i="12"/>
  <c r="Q81" i="12"/>
  <c r="Q70" i="12"/>
  <c r="Q82" i="13" s="1"/>
  <c r="Q132" i="12"/>
  <c r="Q126" i="13" s="1"/>
  <c r="Q108" i="12"/>
  <c r="Q111" i="13" s="1"/>
  <c r="Q63" i="15"/>
  <c r="Q78" i="15" s="1"/>
  <c r="Q48" i="12"/>
  <c r="Q28" i="12"/>
  <c r="Q57" i="13" s="1"/>
  <c r="Q83" i="12"/>
  <c r="Q88" i="12"/>
  <c r="Q71" i="12"/>
  <c r="Q83" i="13" s="1"/>
  <c r="Q140" i="12"/>
  <c r="Q49" i="12"/>
  <c r="Q40" i="12"/>
  <c r="Q69" i="13" s="1"/>
  <c r="Q85" i="12"/>
  <c r="Q91" i="12"/>
  <c r="Q136" i="12"/>
  <c r="Q76" i="12"/>
  <c r="Q88" i="13" s="1"/>
  <c r="Q31" i="12"/>
  <c r="Q60" i="13" s="1"/>
  <c r="Q103" i="12"/>
  <c r="Q106" i="13" s="1"/>
  <c r="Q139" i="12"/>
  <c r="Q64" i="15"/>
  <c r="Q79" i="15" s="1"/>
  <c r="Q11" i="13"/>
  <c r="Q23" i="12"/>
  <c r="Q52" i="13" s="1"/>
  <c r="Q137" i="12"/>
  <c r="Q105" i="12"/>
  <c r="Q108" i="13" s="1"/>
  <c r="Q69" i="12"/>
  <c r="Q81" i="13" s="1"/>
  <c r="Q41" i="12"/>
  <c r="Q70" i="13" s="1"/>
  <c r="Q89" i="12"/>
  <c r="E344" i="22"/>
  <c r="G344" i="22" s="1"/>
  <c r="V156" i="16"/>
  <c r="D130" i="10"/>
  <c r="D140" i="10"/>
  <c r="C654" i="22"/>
  <c r="V166" i="16"/>
  <c r="E942" i="22"/>
  <c r="V175" i="16"/>
  <c r="D149" i="10"/>
  <c r="E814" i="22"/>
  <c r="D145" i="10"/>
  <c r="V171" i="16"/>
  <c r="B593" i="22"/>
  <c r="C593" i="22" s="1"/>
  <c r="U25" i="23" s="1"/>
  <c r="V32" i="16"/>
  <c r="D122" i="10"/>
  <c r="D96" i="22"/>
  <c r="F96" i="22" s="1"/>
  <c r="V148" i="16"/>
  <c r="D151" i="10"/>
  <c r="C1006" i="22"/>
  <c r="V177" i="16"/>
  <c r="E473" i="22"/>
  <c r="J473" i="22" s="1"/>
  <c r="W160" i="16"/>
  <c r="D313" i="22"/>
  <c r="F313" i="22" s="1"/>
  <c r="W155" i="16"/>
  <c r="W168" i="16"/>
  <c r="C719" i="22"/>
  <c r="E719" i="22" s="1"/>
  <c r="E1071" i="22"/>
  <c r="G1071" i="22" s="1"/>
  <c r="V40" i="23" s="1"/>
  <c r="W179" i="16"/>
  <c r="C751" i="22"/>
  <c r="D751" i="22" s="1"/>
  <c r="V30" i="23" s="1"/>
  <c r="W169" i="16"/>
  <c r="C879" i="22"/>
  <c r="D879" i="22" s="1"/>
  <c r="V34" i="23" s="1"/>
  <c r="W173" i="16"/>
  <c r="E815" i="22"/>
  <c r="G815" i="22" s="1"/>
  <c r="V32" i="23" s="1"/>
  <c r="W171" i="16"/>
  <c r="M25" i="16"/>
  <c r="B367" i="22"/>
  <c r="M83" i="16"/>
  <c r="C805" i="22"/>
  <c r="B209" i="22"/>
  <c r="M20" i="16"/>
  <c r="B997" i="22"/>
  <c r="M45" i="16"/>
  <c r="K130" i="13"/>
  <c r="D614" i="22"/>
  <c r="M121" i="16"/>
  <c r="M126" i="16"/>
  <c r="D773" i="22"/>
  <c r="M41" i="16"/>
  <c r="B869" i="22"/>
  <c r="M115" i="16"/>
  <c r="D431" i="22"/>
  <c r="K94" i="13"/>
  <c r="M30" i="16"/>
  <c r="B524" i="22"/>
  <c r="C901" i="22"/>
  <c r="M86" i="16"/>
  <c r="D335" i="22"/>
  <c r="M112" i="16"/>
  <c r="D1061" i="22"/>
  <c r="M135" i="16"/>
  <c r="M24" i="16"/>
  <c r="B335" i="22"/>
  <c r="C1029" i="22"/>
  <c r="M90" i="16"/>
  <c r="H463" i="22"/>
  <c r="M281" i="16"/>
  <c r="D933" i="22"/>
  <c r="M131" i="16"/>
  <c r="B117" i="22"/>
  <c r="M17" i="16"/>
  <c r="E440" i="22"/>
  <c r="V159" i="16"/>
  <c r="D133" i="10"/>
  <c r="D312" i="22"/>
  <c r="F312" i="22" s="1"/>
  <c r="V155" i="16"/>
  <c r="D129" i="10"/>
  <c r="B533" i="22"/>
  <c r="C533" i="22" s="1"/>
  <c r="V30" i="16"/>
  <c r="V174" i="16"/>
  <c r="E342" i="16" s="1"/>
  <c r="D148" i="10"/>
  <c r="E910" i="22"/>
  <c r="V170" i="16"/>
  <c r="D144" i="10"/>
  <c r="E782" i="22"/>
  <c r="D188" i="22"/>
  <c r="F188" i="22" s="1"/>
  <c r="V151" i="16"/>
  <c r="D125" i="10"/>
  <c r="C64" i="22"/>
  <c r="D64" i="22" s="1"/>
  <c r="V147" i="16"/>
  <c r="D121" i="10"/>
  <c r="C974" i="22"/>
  <c r="V176" i="16"/>
  <c r="D150" i="10"/>
  <c r="W159" i="16"/>
  <c r="E441" i="22"/>
  <c r="J441" i="22" s="1"/>
  <c r="W154" i="16"/>
  <c r="D281" i="22"/>
  <c r="F281" i="22" s="1"/>
  <c r="C687" i="22"/>
  <c r="D687" i="22" s="1"/>
  <c r="V28" i="23" s="1"/>
  <c r="W167" i="16"/>
  <c r="E345" i="22"/>
  <c r="G345" i="22" s="1"/>
  <c r="W156" i="16"/>
  <c r="C975" i="22"/>
  <c r="E975" i="22" s="1"/>
  <c r="W176" i="16"/>
  <c r="D249" i="22"/>
  <c r="F249" i="22" s="1"/>
  <c r="W153" i="16"/>
  <c r="D97" i="22"/>
  <c r="F97" i="22" s="1"/>
  <c r="W148" i="16"/>
  <c r="L72" i="12"/>
  <c r="L84" i="13" s="1"/>
  <c r="L139" i="12"/>
  <c r="L33" i="12"/>
  <c r="L62" i="13" s="1"/>
  <c r="L51" i="12"/>
  <c r="L79" i="12"/>
  <c r="L91" i="13" s="1"/>
  <c r="L115" i="12"/>
  <c r="L91" i="12"/>
  <c r="L136" i="12"/>
  <c r="L74" i="12"/>
  <c r="L86" i="13" s="1"/>
  <c r="L29" i="12"/>
  <c r="L58" i="13" s="1"/>
  <c r="L109" i="12"/>
  <c r="L112" i="13" s="1"/>
  <c r="L81" i="12"/>
  <c r="L25" i="12"/>
  <c r="L54" i="13" s="1"/>
  <c r="L43" i="12"/>
  <c r="L78" i="12"/>
  <c r="L90" i="13" s="1"/>
  <c r="L142" i="12"/>
  <c r="L44" i="12"/>
  <c r="L103" i="12"/>
  <c r="L106" i="13" s="1"/>
  <c r="L80" i="12"/>
  <c r="L92" i="13" s="1"/>
  <c r="L31" i="12"/>
  <c r="L60" i="13" s="1"/>
  <c r="L49" i="12"/>
  <c r="L118" i="12"/>
  <c r="L32" i="12"/>
  <c r="L61" i="13" s="1"/>
  <c r="L131" i="12"/>
  <c r="L125" i="13" s="1"/>
  <c r="L75" i="12"/>
  <c r="L87" i="13" s="1"/>
  <c r="L23" i="12"/>
  <c r="L52" i="13" s="1"/>
  <c r="L41" i="12"/>
  <c r="L70" i="13" s="1"/>
  <c r="L89" i="12"/>
  <c r="L106" i="12"/>
  <c r="L109" i="13" s="1"/>
  <c r="L116" i="12"/>
  <c r="L138" i="12"/>
  <c r="L140" i="12"/>
  <c r="L39" i="12"/>
  <c r="L68" i="13" s="1"/>
  <c r="L112" i="12"/>
  <c r="L115" i="13" s="1"/>
  <c r="L114" i="12"/>
  <c r="L42" i="12"/>
  <c r="L62" i="15"/>
  <c r="L77" i="15" s="1"/>
  <c r="L134" i="12"/>
  <c r="L128" i="13" s="1"/>
  <c r="L27" i="12"/>
  <c r="L56" i="13" s="1"/>
  <c r="L53" i="12"/>
  <c r="L135" i="12"/>
  <c r="L129" i="13" s="1"/>
  <c r="L88" i="12"/>
  <c r="L26" i="12"/>
  <c r="L55" i="13" s="1"/>
  <c r="L132" i="12"/>
  <c r="L126" i="13" s="1"/>
  <c r="L46" i="12"/>
  <c r="L45" i="12"/>
  <c r="L111" i="12"/>
  <c r="L114" i="13" s="1"/>
  <c r="L82" i="12"/>
  <c r="L48" i="12"/>
  <c r="L104" i="12"/>
  <c r="L107" i="13" s="1"/>
  <c r="L47" i="12"/>
  <c r="L77" i="12"/>
  <c r="L89" i="13" s="1"/>
  <c r="L86" i="12"/>
  <c r="L65" i="15"/>
  <c r="L80" i="15" s="1"/>
  <c r="L67" i="12"/>
  <c r="L79" i="13" s="1"/>
  <c r="L40" i="12"/>
  <c r="L69" i="13" s="1"/>
  <c r="L66" i="15"/>
  <c r="L81" i="15" s="1"/>
  <c r="L117" i="12"/>
  <c r="L87" i="12"/>
  <c r="L34" i="12"/>
  <c r="L63" i="13" s="1"/>
  <c r="L21" i="15" s="1"/>
  <c r="L33" i="15" s="1"/>
  <c r="L70" i="12"/>
  <c r="L82" i="13" s="1"/>
  <c r="L105" i="12"/>
  <c r="L108" i="13" s="1"/>
  <c r="L30" i="12"/>
  <c r="L59" i="13" s="1"/>
  <c r="L67" i="15"/>
  <c r="L82" i="15" s="1"/>
  <c r="L133" i="12"/>
  <c r="L127" i="13" s="1"/>
  <c r="L137" i="12"/>
  <c r="L68" i="12"/>
  <c r="L80" i="13" s="1"/>
  <c r="L85" i="12"/>
  <c r="L50" i="12"/>
  <c r="L64" i="15"/>
  <c r="L79" i="15" s="1"/>
  <c r="L84" i="12"/>
  <c r="L73" i="12"/>
  <c r="L85" i="13" s="1"/>
  <c r="L24" i="12"/>
  <c r="L53" i="13" s="1"/>
  <c r="L37" i="12"/>
  <c r="L66" i="13" s="1"/>
  <c r="L28" i="12"/>
  <c r="L57" i="13" s="1"/>
  <c r="L52" i="12"/>
  <c r="L108" i="12"/>
  <c r="L111" i="13" s="1"/>
  <c r="L110" i="12"/>
  <c r="L113" i="13" s="1"/>
  <c r="L36" i="12"/>
  <c r="L65" i="13" s="1"/>
  <c r="L23" i="15" s="1"/>
  <c r="L35" i="15" s="1"/>
  <c r="L71" i="12"/>
  <c r="L83" i="13" s="1"/>
  <c r="L113" i="12"/>
  <c r="L54" i="12"/>
  <c r="L63" i="15"/>
  <c r="L78" i="15" s="1"/>
  <c r="L83" i="12"/>
  <c r="L38" i="12"/>
  <c r="L67" i="13" s="1"/>
  <c r="L11" i="13"/>
  <c r="L69" i="12"/>
  <c r="L81" i="13" s="1"/>
  <c r="L119" i="12"/>
  <c r="L55" i="12"/>
  <c r="L107" i="12"/>
  <c r="L110" i="13" s="1"/>
  <c r="L141" i="12"/>
  <c r="L35" i="12"/>
  <c r="L64" i="13" s="1"/>
  <c r="L22" i="15" s="1"/>
  <c r="L34" i="15" s="1"/>
  <c r="L76" i="12"/>
  <c r="L88" i="13" s="1"/>
  <c r="L90" i="12"/>
  <c r="O72" i="12"/>
  <c r="O84" i="13" s="1"/>
  <c r="O38" i="12"/>
  <c r="O67" i="13" s="1"/>
  <c r="O28" i="12"/>
  <c r="O57" i="13" s="1"/>
  <c r="O114" i="12"/>
  <c r="O111" i="12"/>
  <c r="O114" i="13" s="1"/>
  <c r="O52" i="12"/>
  <c r="O41" i="12"/>
  <c r="O70" i="13" s="1"/>
  <c r="O82" i="12"/>
  <c r="O75" i="12"/>
  <c r="O87" i="13" s="1"/>
  <c r="O139" i="12"/>
  <c r="O109" i="12"/>
  <c r="O112" i="13" s="1"/>
  <c r="O48" i="12"/>
  <c r="O37" i="12"/>
  <c r="O66" i="13" s="1"/>
  <c r="O133" i="12"/>
  <c r="O127" i="13" s="1"/>
  <c r="O107" i="12"/>
  <c r="O110" i="13" s="1"/>
  <c r="O90" i="12"/>
  <c r="O32" i="12"/>
  <c r="O61" i="13" s="1"/>
  <c r="O115" i="12"/>
  <c r="O85" i="12"/>
  <c r="O62" i="15"/>
  <c r="O77" i="15" s="1"/>
  <c r="O80" i="12"/>
  <c r="O92" i="13" s="1"/>
  <c r="O117" i="12"/>
  <c r="O70" i="12"/>
  <c r="O82" i="13" s="1"/>
  <c r="O131" i="12"/>
  <c r="O125" i="13" s="1"/>
  <c r="O66" i="15"/>
  <c r="O81" i="15" s="1"/>
  <c r="O51" i="12"/>
  <c r="O31" i="12"/>
  <c r="O60" i="13" s="1"/>
  <c r="O112" i="12"/>
  <c r="O115" i="13" s="1"/>
  <c r="O132" i="12"/>
  <c r="O126" i="13" s="1"/>
  <c r="O44" i="12"/>
  <c r="O34" i="12"/>
  <c r="O63" i="13" s="1"/>
  <c r="O21" i="15" s="1"/>
  <c r="O33" i="15" s="1"/>
  <c r="O84" i="12"/>
  <c r="O89" i="12"/>
  <c r="O113" i="12"/>
  <c r="O104" i="12"/>
  <c r="O107" i="13" s="1"/>
  <c r="O40" i="12"/>
  <c r="O69" i="13" s="1"/>
  <c r="O30" i="12"/>
  <c r="O59" i="13" s="1"/>
  <c r="O140" i="12"/>
  <c r="O74" i="12"/>
  <c r="O86" i="13" s="1"/>
  <c r="O135" i="12"/>
  <c r="O129" i="13" s="1"/>
  <c r="O86" i="12"/>
  <c r="O65" i="15"/>
  <c r="O80" i="15" s="1"/>
  <c r="O81" i="12"/>
  <c r="O47" i="12"/>
  <c r="O88" i="12"/>
  <c r="O83" i="12"/>
  <c r="O76" i="12"/>
  <c r="O88" i="13" s="1"/>
  <c r="O108" i="12"/>
  <c r="O111" i="13" s="1"/>
  <c r="O54" i="12"/>
  <c r="O43" i="12"/>
  <c r="O23" i="12"/>
  <c r="O52" i="13" s="1"/>
  <c r="O91" i="12"/>
  <c r="O67" i="15"/>
  <c r="O82" i="15" s="1"/>
  <c r="O36" i="12"/>
  <c r="O65" i="13" s="1"/>
  <c r="O23" i="15" s="1"/>
  <c r="O35" i="15" s="1"/>
  <c r="O26" i="12"/>
  <c r="O55" i="13" s="1"/>
  <c r="O141" i="12"/>
  <c r="O73" i="12"/>
  <c r="O85" i="13" s="1"/>
  <c r="O69" i="12"/>
  <c r="O81" i="13" s="1"/>
  <c r="O63" i="15"/>
  <c r="O78" i="15" s="1"/>
  <c r="O53" i="12"/>
  <c r="O33" i="12"/>
  <c r="O62" i="13" s="1"/>
  <c r="O136" i="12"/>
  <c r="O78" i="12"/>
  <c r="O90" i="13" s="1"/>
  <c r="O77" i="12"/>
  <c r="O89" i="13" s="1"/>
  <c r="O87" i="12"/>
  <c r="O55" i="12"/>
  <c r="O134" i="12"/>
  <c r="O128" i="13" s="1"/>
  <c r="O27" i="12"/>
  <c r="O56" i="13" s="1"/>
  <c r="O50" i="12"/>
  <c r="O105" i="12"/>
  <c r="O108" i="13" s="1"/>
  <c r="O68" i="12"/>
  <c r="O80" i="13" s="1"/>
  <c r="O46" i="12"/>
  <c r="O35" i="12"/>
  <c r="O64" i="13" s="1"/>
  <c r="O22" i="15" s="1"/>
  <c r="O34" i="15" s="1"/>
  <c r="O79" i="12"/>
  <c r="O91" i="13" s="1"/>
  <c r="O138" i="12"/>
  <c r="O64" i="15"/>
  <c r="O79" i="15" s="1"/>
  <c r="O49" i="12"/>
  <c r="O29" i="12"/>
  <c r="O58" i="13" s="1"/>
  <c r="O142" i="12"/>
  <c r="O106" i="12"/>
  <c r="O109" i="13" s="1"/>
  <c r="O71" i="12"/>
  <c r="O83" i="13" s="1"/>
  <c r="O11" i="13"/>
  <c r="O45" i="12"/>
  <c r="O25" i="12"/>
  <c r="O54" i="13" s="1"/>
  <c r="O118" i="12"/>
  <c r="O119" i="12"/>
  <c r="O42" i="12"/>
  <c r="O110" i="12"/>
  <c r="O113" i="13" s="1"/>
  <c r="O24" i="12"/>
  <c r="O53" i="13" s="1"/>
  <c r="O67" i="12"/>
  <c r="O79" i="13" s="1"/>
  <c r="O137" i="12"/>
  <c r="O39" i="12"/>
  <c r="O68" i="13" s="1"/>
  <c r="O116" i="12"/>
  <c r="O103" i="12"/>
  <c r="O106" i="13" s="1"/>
  <c r="R109" i="12"/>
  <c r="R112" i="13" s="1"/>
  <c r="R67" i="15"/>
  <c r="R82" i="15" s="1"/>
  <c r="R33" i="12"/>
  <c r="R62" i="13" s="1"/>
  <c r="R28" i="12"/>
  <c r="R57" i="13" s="1"/>
  <c r="R75" i="12"/>
  <c r="R87" i="13" s="1"/>
  <c r="R136" i="12"/>
  <c r="R104" i="12"/>
  <c r="R107" i="13" s="1"/>
  <c r="R42" i="12"/>
  <c r="R53" i="12"/>
  <c r="R133" i="12"/>
  <c r="R127" i="13" s="1"/>
  <c r="R138" i="12"/>
  <c r="R119" i="12"/>
  <c r="R23" i="12"/>
  <c r="R52" i="13" s="1"/>
  <c r="R114" i="12"/>
  <c r="R62" i="15"/>
  <c r="R77" i="15" s="1"/>
  <c r="R30" i="12"/>
  <c r="R59" i="13" s="1"/>
  <c r="R88" i="12"/>
  <c r="R44" i="12"/>
  <c r="R117" i="12"/>
  <c r="R86" i="12"/>
  <c r="R27" i="12"/>
  <c r="R56" i="13" s="1"/>
  <c r="R74" i="12"/>
  <c r="R86" i="13" s="1"/>
  <c r="R77" i="12"/>
  <c r="R89" i="13" s="1"/>
  <c r="R68" i="12"/>
  <c r="R80" i="13" s="1"/>
  <c r="R132" i="12"/>
  <c r="R126" i="13" s="1"/>
  <c r="R54" i="12"/>
  <c r="R25" i="12"/>
  <c r="R54" i="13" s="1"/>
  <c r="R43" i="12"/>
  <c r="R111" i="12"/>
  <c r="R114" i="13" s="1"/>
  <c r="R139" i="12"/>
  <c r="R64" i="15"/>
  <c r="R79" i="15" s="1"/>
  <c r="R49" i="12"/>
  <c r="R32" i="12"/>
  <c r="R61" i="13" s="1"/>
  <c r="R89" i="12"/>
  <c r="R107" i="12"/>
  <c r="R110" i="13" s="1"/>
  <c r="R66" i="15"/>
  <c r="R81" i="15" s="1"/>
  <c r="R34" i="12"/>
  <c r="R63" i="13" s="1"/>
  <c r="R21" i="15" s="1"/>
  <c r="R33" i="15" s="1"/>
  <c r="R83" i="12"/>
  <c r="R48" i="12"/>
  <c r="R91" i="12"/>
  <c r="R81" i="12"/>
  <c r="R31" i="12"/>
  <c r="R60" i="13" s="1"/>
  <c r="R115" i="12"/>
  <c r="R67" i="12"/>
  <c r="R79" i="13" s="1"/>
  <c r="R45" i="12"/>
  <c r="R140" i="12"/>
  <c r="R76" i="12"/>
  <c r="R88" i="13" s="1"/>
  <c r="R103" i="12"/>
  <c r="R106" i="13" s="1"/>
  <c r="R70" i="12"/>
  <c r="R82" i="13" s="1"/>
  <c r="R46" i="12"/>
  <c r="R39" i="12"/>
  <c r="R68" i="13" s="1"/>
  <c r="R141" i="12"/>
  <c r="R116" i="12"/>
  <c r="R79" i="12"/>
  <c r="R91" i="13" s="1"/>
  <c r="R63" i="15"/>
  <c r="R78" i="15" s="1"/>
  <c r="R29" i="12"/>
  <c r="R58" i="13" s="1"/>
  <c r="R24" i="12"/>
  <c r="R53" i="13" s="1"/>
  <c r="R135" i="12"/>
  <c r="R129" i="13" s="1"/>
  <c r="R78" i="12"/>
  <c r="R90" i="13" s="1"/>
  <c r="R52" i="12"/>
  <c r="R142" i="12"/>
  <c r="R113" i="12"/>
  <c r="R41" i="12"/>
  <c r="R70" i="13" s="1"/>
  <c r="R137" i="12"/>
  <c r="R69" i="12"/>
  <c r="R81" i="13" s="1"/>
  <c r="R35" i="12"/>
  <c r="R64" i="13" s="1"/>
  <c r="R22" i="15" s="1"/>
  <c r="R34" i="15" s="1"/>
  <c r="R118" i="12"/>
  <c r="R11" i="13"/>
  <c r="R51" i="12"/>
  <c r="R112" i="12"/>
  <c r="R115" i="13" s="1"/>
  <c r="R108" i="12"/>
  <c r="R111" i="13" s="1"/>
  <c r="R71" i="12"/>
  <c r="R83" i="13" s="1"/>
  <c r="R38" i="12"/>
  <c r="R67" i="13" s="1"/>
  <c r="R37" i="12"/>
  <c r="R66" i="13" s="1"/>
  <c r="R134" i="12"/>
  <c r="R128" i="13" s="1"/>
  <c r="R105" i="12"/>
  <c r="R108" i="13" s="1"/>
  <c r="R72" i="12"/>
  <c r="R84" i="13" s="1"/>
  <c r="R50" i="12"/>
  <c r="R55" i="12"/>
  <c r="R110" i="12"/>
  <c r="R113" i="13" s="1"/>
  <c r="R80" i="12"/>
  <c r="R92" i="13" s="1"/>
  <c r="R87" i="12"/>
  <c r="R36" i="12"/>
  <c r="R65" i="13" s="1"/>
  <c r="R23" i="15" s="1"/>
  <c r="R35" i="15" s="1"/>
  <c r="R73" i="12"/>
  <c r="R85" i="13" s="1"/>
  <c r="R84" i="12"/>
  <c r="R47" i="12"/>
  <c r="R106" i="12"/>
  <c r="R109" i="13" s="1"/>
  <c r="R65" i="15"/>
  <c r="R80" i="15" s="1"/>
  <c r="R26" i="12"/>
  <c r="R55" i="13" s="1"/>
  <c r="R90" i="12"/>
  <c r="R40" i="12"/>
  <c r="R69" i="13" s="1"/>
  <c r="R82" i="12"/>
  <c r="R85" i="12"/>
  <c r="R131" i="12"/>
  <c r="R125" i="13" s="1"/>
  <c r="M279" i="16"/>
  <c r="H399" i="22"/>
  <c r="C399" i="22"/>
  <c r="M70" i="16"/>
  <c r="B554" i="22"/>
  <c r="M31" i="16"/>
  <c r="K95" i="13"/>
  <c r="C933" i="22"/>
  <c r="M87" i="16"/>
  <c r="F773" i="22"/>
  <c r="M291" i="16"/>
  <c r="B709" i="22"/>
  <c r="M36" i="16"/>
  <c r="M71" i="16"/>
  <c r="C431" i="22"/>
  <c r="B399" i="22"/>
  <c r="M26" i="16"/>
  <c r="C179" i="22"/>
  <c r="M63" i="16"/>
  <c r="B147" i="22"/>
  <c r="M18" i="16"/>
  <c r="B463" i="22"/>
  <c r="M28" i="16"/>
  <c r="M66" i="16"/>
  <c r="C271" i="22"/>
  <c r="M289" i="16"/>
  <c r="D709" i="22"/>
  <c r="B965" i="22"/>
  <c r="M44" i="16"/>
  <c r="M42" i="16"/>
  <c r="B901" i="22"/>
  <c r="C463" i="22"/>
  <c r="M72" i="16"/>
  <c r="F901" i="22"/>
  <c r="M295" i="16"/>
  <c r="V158" i="16"/>
  <c r="D132" i="10"/>
  <c r="E408" i="22"/>
  <c r="V154" i="16"/>
  <c r="D128" i="10"/>
  <c r="D280" i="22"/>
  <c r="F280" i="22" s="1"/>
  <c r="D623" i="22"/>
  <c r="V77" i="16"/>
  <c r="C623" i="22"/>
  <c r="V121" i="16"/>
  <c r="V33" i="16"/>
  <c r="B623" i="22"/>
  <c r="E472" i="22"/>
  <c r="V160" i="16"/>
  <c r="E328" i="16" s="1"/>
  <c r="D134" i="10"/>
  <c r="D147" i="10"/>
  <c r="V173" i="16"/>
  <c r="C878" i="22"/>
  <c r="D143" i="10"/>
  <c r="C750" i="22"/>
  <c r="V169" i="16"/>
  <c r="V150" i="16"/>
  <c r="D124" i="10"/>
  <c r="C156" i="22"/>
  <c r="D156" i="22" s="1"/>
  <c r="E1070" i="22"/>
  <c r="V179" i="16"/>
  <c r="D153" i="10"/>
  <c r="B503" i="22"/>
  <c r="C503" i="22" s="1"/>
  <c r="V29" i="16"/>
  <c r="C1007" i="22"/>
  <c r="D1007" i="22" s="1"/>
  <c r="V38" i="23" s="1"/>
  <c r="W177" i="16"/>
  <c r="E409" i="22"/>
  <c r="J409" i="22" s="1"/>
  <c r="W158" i="16"/>
  <c r="W166" i="16"/>
  <c r="C655" i="22"/>
  <c r="D655" i="22" s="1"/>
  <c r="E783" i="22"/>
  <c r="H783" i="22" s="1"/>
  <c r="W170" i="16"/>
  <c r="E943" i="22"/>
  <c r="G943" i="22" s="1"/>
  <c r="V36" i="23" s="1"/>
  <c r="W175" i="16"/>
  <c r="C847" i="22"/>
  <c r="E847" i="22" s="1"/>
  <c r="W172" i="16"/>
  <c r="D189" i="22"/>
  <c r="F189" i="22" s="1"/>
  <c r="W151" i="16"/>
  <c r="Q21" i="23"/>
  <c r="L468" i="22"/>
  <c r="M468" i="22"/>
  <c r="K468" i="22"/>
  <c r="Q46" i="23" l="1"/>
  <c r="E347" i="16"/>
  <c r="E337" i="16"/>
  <c r="E41" i="19" s="1"/>
  <c r="E341" i="16"/>
  <c r="E51" i="19"/>
  <c r="E110" i="19" s="1"/>
  <c r="D878" i="22"/>
  <c r="U34" i="23" s="1"/>
  <c r="E32" i="19"/>
  <c r="E91" i="19" s="1"/>
  <c r="U15" i="23"/>
  <c r="H280" i="22"/>
  <c r="G280" i="22"/>
  <c r="C554" i="22"/>
  <c r="T66" i="16"/>
  <c r="C278" i="22"/>
  <c r="T281" i="16"/>
  <c r="H470" i="22"/>
  <c r="T115" i="16"/>
  <c r="D438" i="22"/>
  <c r="T68" i="16"/>
  <c r="C342" i="22"/>
  <c r="C1036" i="22"/>
  <c r="T90" i="16"/>
  <c r="T26" i="16"/>
  <c r="B406" i="22"/>
  <c r="T291" i="16"/>
  <c r="F780" i="22"/>
  <c r="B342" i="22"/>
  <c r="T24" i="16"/>
  <c r="C812" i="22"/>
  <c r="T83" i="16"/>
  <c r="T40" i="16"/>
  <c r="B844" i="22"/>
  <c r="C310" i="22"/>
  <c r="T67" i="16"/>
  <c r="D844" i="22"/>
  <c r="T293" i="16"/>
  <c r="B374" i="22"/>
  <c r="T25" i="16"/>
  <c r="C940" i="22"/>
  <c r="T87" i="16"/>
  <c r="D716" i="22"/>
  <c r="T289" i="16"/>
  <c r="D812" i="22"/>
  <c r="T127" i="16"/>
  <c r="C186" i="22"/>
  <c r="T63" i="16"/>
  <c r="C905" i="22"/>
  <c r="Q86" i="16"/>
  <c r="Q90" i="16"/>
  <c r="C1033" i="22"/>
  <c r="B183" i="22"/>
  <c r="Q19" i="16"/>
  <c r="B873" i="22"/>
  <c r="D873" i="22" s="1"/>
  <c r="P34" i="23" s="1"/>
  <c r="Q41" i="16"/>
  <c r="H435" i="22"/>
  <c r="Q280" i="16"/>
  <c r="B809" i="22"/>
  <c r="Q39" i="16"/>
  <c r="B243" i="22"/>
  <c r="Q21" i="16"/>
  <c r="Q299" i="16"/>
  <c r="F1033" i="22"/>
  <c r="Q42" i="16"/>
  <c r="B905" i="22"/>
  <c r="B777" i="22"/>
  <c r="Q38" i="16"/>
  <c r="Q43" i="16"/>
  <c r="B937" i="22"/>
  <c r="D371" i="22"/>
  <c r="Q113" i="16"/>
  <c r="D969" i="22"/>
  <c r="Q297" i="16"/>
  <c r="Q28" i="16"/>
  <c r="B467" i="22"/>
  <c r="Q23" i="16"/>
  <c r="B307" i="22"/>
  <c r="Q71" i="16"/>
  <c r="C435" i="22"/>
  <c r="Q20" i="16"/>
  <c r="B213" i="22"/>
  <c r="C213" i="22" s="1"/>
  <c r="N134" i="16"/>
  <c r="D1030" i="22"/>
  <c r="N17" i="16"/>
  <c r="B118" i="22"/>
  <c r="C118" i="22" s="1"/>
  <c r="N291" i="16"/>
  <c r="F774" i="22"/>
  <c r="H464" i="22"/>
  <c r="N281" i="16"/>
  <c r="N32" i="16"/>
  <c r="L96" i="13"/>
  <c r="B585" i="22"/>
  <c r="C585" i="22" s="1"/>
  <c r="M25" i="23" s="1"/>
  <c r="N16" i="16"/>
  <c r="B88" i="22"/>
  <c r="B806" i="22"/>
  <c r="N39" i="16"/>
  <c r="B56" i="22"/>
  <c r="N15" i="16"/>
  <c r="C432" i="22"/>
  <c r="N71" i="16"/>
  <c r="N82" i="16"/>
  <c r="C774" i="22"/>
  <c r="D806" i="22"/>
  <c r="N127" i="16"/>
  <c r="N28" i="16"/>
  <c r="B464" i="22"/>
  <c r="N26" i="16"/>
  <c r="B400" i="22"/>
  <c r="C368" i="22"/>
  <c r="N69" i="16"/>
  <c r="N47" i="16"/>
  <c r="B1062" i="22"/>
  <c r="V9" i="23"/>
  <c r="H97" i="22"/>
  <c r="G97" i="22"/>
  <c r="V37" i="23"/>
  <c r="G975" i="22"/>
  <c r="F975" i="22"/>
  <c r="E338" i="16"/>
  <c r="U16" i="23"/>
  <c r="H312" i="22"/>
  <c r="G312" i="22"/>
  <c r="F335" i="22"/>
  <c r="C524" i="22"/>
  <c r="V29" i="23"/>
  <c r="G719" i="22"/>
  <c r="F719" i="22"/>
  <c r="G814" i="22"/>
  <c r="U32" i="23" s="1"/>
  <c r="E334" i="16"/>
  <c r="B123" i="22"/>
  <c r="C123" i="22" s="1"/>
  <c r="S17" i="16"/>
  <c r="Q144" i="13"/>
  <c r="Q157" i="13"/>
  <c r="Q41" i="13"/>
  <c r="Q146" i="13"/>
  <c r="Q145" i="13"/>
  <c r="Q142" i="13"/>
  <c r="Q34" i="13"/>
  <c r="Q96" i="14" s="1"/>
  <c r="Q29" i="13"/>
  <c r="Q92" i="14" s="1"/>
  <c r="Q37" i="13"/>
  <c r="Q151" i="13"/>
  <c r="Q25" i="13"/>
  <c r="Q89" i="14" s="1"/>
  <c r="Q33" i="13"/>
  <c r="Q95" i="14" s="1"/>
  <c r="Q156" i="13"/>
  <c r="Q159" i="13"/>
  <c r="Q149" i="13"/>
  <c r="Q148" i="13"/>
  <c r="Q38" i="13"/>
  <c r="Q36" i="13"/>
  <c r="Q40" i="13"/>
  <c r="Q39" i="13"/>
  <c r="Q154" i="13"/>
  <c r="Q28" i="13"/>
  <c r="Q91" i="14" s="1"/>
  <c r="Q160" i="13"/>
  <c r="Q35" i="13"/>
  <c r="Q97" i="14" s="1"/>
  <c r="Q153" i="13"/>
  <c r="Q147" i="13"/>
  <c r="Q43" i="13"/>
  <c r="Q42" i="13"/>
  <c r="Q158" i="13"/>
  <c r="Q143" i="13"/>
  <c r="Q155" i="13"/>
  <c r="Q30" i="13"/>
  <c r="Q152" i="13"/>
  <c r="Q150" i="13"/>
  <c r="Q32" i="13"/>
  <c r="Q94" i="14" s="1"/>
  <c r="Q27" i="13"/>
  <c r="Q31" i="13"/>
  <c r="Q93" i="14" s="1"/>
  <c r="Q26" i="13"/>
  <c r="Q90" i="14" s="1"/>
  <c r="S33" i="16"/>
  <c r="Q97" i="13"/>
  <c r="B620" i="22"/>
  <c r="S19" i="16"/>
  <c r="B185" i="22"/>
  <c r="S40" i="16"/>
  <c r="B843" i="22"/>
  <c r="B153" i="22"/>
  <c r="S18" i="16"/>
  <c r="C469" i="22"/>
  <c r="S72" i="16"/>
  <c r="C405" i="22"/>
  <c r="S70" i="16"/>
  <c r="S279" i="16"/>
  <c r="H405" i="22"/>
  <c r="S289" i="16"/>
  <c r="D715" i="22"/>
  <c r="B61" i="22"/>
  <c r="S15" i="16"/>
  <c r="B469" i="22"/>
  <c r="S28" i="16"/>
  <c r="C939" i="22"/>
  <c r="S87" i="16"/>
  <c r="H437" i="22"/>
  <c r="S280" i="16"/>
  <c r="D971" i="22"/>
  <c r="S297" i="16"/>
  <c r="Q116" i="13"/>
  <c r="C620" i="22"/>
  <c r="S77" i="16"/>
  <c r="C907" i="22"/>
  <c r="S86" i="16"/>
  <c r="B530" i="22"/>
  <c r="C530" i="22" s="1"/>
  <c r="S30" i="16"/>
  <c r="Q94" i="13"/>
  <c r="M157" i="16"/>
  <c r="E367" i="22"/>
  <c r="G367" i="22" s="1"/>
  <c r="C147" i="22"/>
  <c r="D147" i="22" s="1"/>
  <c r="M150" i="16"/>
  <c r="E614" i="22"/>
  <c r="F614" i="22"/>
  <c r="E837" i="22"/>
  <c r="G773" i="22"/>
  <c r="H773" i="22"/>
  <c r="C1037" i="22"/>
  <c r="U90" i="16"/>
  <c r="B653" i="22"/>
  <c r="D653" i="22" s="1"/>
  <c r="U34" i="16"/>
  <c r="U37" i="16"/>
  <c r="B749" i="22"/>
  <c r="D749" i="22" s="1"/>
  <c r="T30" i="23" s="1"/>
  <c r="U70" i="16"/>
  <c r="C407" i="22"/>
  <c r="C95" i="22"/>
  <c r="U60" i="16"/>
  <c r="U87" i="16"/>
  <c r="C941" i="22"/>
  <c r="B155" i="22"/>
  <c r="U18" i="16"/>
  <c r="F781" i="22"/>
  <c r="U291" i="16"/>
  <c r="H439" i="22"/>
  <c r="U280" i="16"/>
  <c r="D343" i="22"/>
  <c r="U112" i="16"/>
  <c r="U43" i="16"/>
  <c r="B941" i="22"/>
  <c r="D407" i="22"/>
  <c r="U114" i="16"/>
  <c r="U67" i="16"/>
  <c r="C311" i="22"/>
  <c r="B717" i="22"/>
  <c r="U36" i="16"/>
  <c r="U23" i="16"/>
  <c r="B311" i="22"/>
  <c r="E311" i="22" s="1"/>
  <c r="B63" i="22"/>
  <c r="U15" i="16"/>
  <c r="B187" i="22"/>
  <c r="U19" i="16"/>
  <c r="U45" i="16"/>
  <c r="B1005" i="22"/>
  <c r="D1005" i="22" s="1"/>
  <c r="T38" i="23" s="1"/>
  <c r="P17" i="16"/>
  <c r="B120" i="22"/>
  <c r="C120" i="22" s="1"/>
  <c r="C90" i="22"/>
  <c r="P60" i="16"/>
  <c r="C1032" i="22"/>
  <c r="P90" i="16"/>
  <c r="B587" i="22"/>
  <c r="C587" i="22" s="1"/>
  <c r="O25" i="23" s="1"/>
  <c r="P32" i="16"/>
  <c r="N96" i="13"/>
  <c r="N142" i="13"/>
  <c r="N155" i="13"/>
  <c r="N32" i="13"/>
  <c r="N94" i="14" s="1"/>
  <c r="N143" i="13"/>
  <c r="N25" i="13"/>
  <c r="N89" i="14" s="1"/>
  <c r="N43" i="13"/>
  <c r="N26" i="13"/>
  <c r="N90" i="14" s="1"/>
  <c r="N40" i="13"/>
  <c r="N149" i="13"/>
  <c r="N38" i="13"/>
  <c r="N147" i="13"/>
  <c r="N158" i="13"/>
  <c r="N150" i="13"/>
  <c r="N145" i="13"/>
  <c r="N30" i="13"/>
  <c r="N33" i="13"/>
  <c r="N95" i="14" s="1"/>
  <c r="N159" i="13"/>
  <c r="N41" i="13"/>
  <c r="N151" i="13"/>
  <c r="N42" i="13"/>
  <c r="N36" i="13"/>
  <c r="N156" i="13"/>
  <c r="N148" i="13"/>
  <c r="N35" i="13"/>
  <c r="N97" i="14" s="1"/>
  <c r="N153" i="13"/>
  <c r="N31" i="13"/>
  <c r="N93" i="14" s="1"/>
  <c r="N28" i="13"/>
  <c r="N91" i="14" s="1"/>
  <c r="N39" i="13"/>
  <c r="N144" i="13"/>
  <c r="N29" i="13"/>
  <c r="N92" i="14" s="1"/>
  <c r="N37" i="13"/>
  <c r="N157" i="13"/>
  <c r="N34" i="13"/>
  <c r="N96" i="14" s="1"/>
  <c r="N154" i="13"/>
  <c r="N152" i="13"/>
  <c r="N146" i="13"/>
  <c r="N160" i="13"/>
  <c r="N27" i="13"/>
  <c r="P121" i="16"/>
  <c r="N130" i="13"/>
  <c r="D617" i="22"/>
  <c r="B150" i="22"/>
  <c r="P18" i="16"/>
  <c r="D338" i="22"/>
  <c r="P112" i="16"/>
  <c r="C776" i="22"/>
  <c r="P82" i="16"/>
  <c r="B242" i="22"/>
  <c r="P21" i="16"/>
  <c r="B1000" i="22"/>
  <c r="D1000" i="22" s="1"/>
  <c r="O38" i="23" s="1"/>
  <c r="P45" i="16"/>
  <c r="F904" i="22"/>
  <c r="P295" i="16"/>
  <c r="N116" i="13"/>
  <c r="P77" i="16"/>
  <c r="C617" i="22"/>
  <c r="B338" i="22"/>
  <c r="P24" i="16"/>
  <c r="P71" i="16"/>
  <c r="C434" i="22"/>
  <c r="D466" i="22"/>
  <c r="P116" i="16"/>
  <c r="F1032" i="22"/>
  <c r="P299" i="16"/>
  <c r="V39" i="23"/>
  <c r="J1039" i="22"/>
  <c r="I1039" i="22"/>
  <c r="B57" i="22"/>
  <c r="O15" i="16"/>
  <c r="C1031" i="22"/>
  <c r="O90" i="16"/>
  <c r="O34" i="16"/>
  <c r="B647" i="22"/>
  <c r="D647" i="22" s="1"/>
  <c r="C181" i="22"/>
  <c r="O63" i="16"/>
  <c r="O112" i="16"/>
  <c r="D337" i="22"/>
  <c r="F775" i="22"/>
  <c r="O291" i="16"/>
  <c r="B337" i="22"/>
  <c r="O24" i="16"/>
  <c r="D1063" i="22"/>
  <c r="O135" i="16"/>
  <c r="B679" i="22"/>
  <c r="D679" i="22" s="1"/>
  <c r="N28" i="23" s="1"/>
  <c r="O35" i="16"/>
  <c r="C616" i="22"/>
  <c r="O77" i="16"/>
  <c r="M116" i="13"/>
  <c r="B871" i="22"/>
  <c r="D871" i="22" s="1"/>
  <c r="N34" i="23" s="1"/>
  <c r="O41" i="16"/>
  <c r="B556" i="22"/>
  <c r="C556" i="22" s="1"/>
  <c r="M95" i="13"/>
  <c r="O31" i="16"/>
  <c r="C337" i="22"/>
  <c r="O68" i="16"/>
  <c r="C775" i="22"/>
  <c r="O82" i="16"/>
  <c r="O30" i="16"/>
  <c r="M94" i="13"/>
  <c r="B526" i="22"/>
  <c r="C526" i="22" s="1"/>
  <c r="B149" i="22"/>
  <c r="O18" i="16"/>
  <c r="B839" i="22"/>
  <c r="O40" i="16"/>
  <c r="D711" i="22"/>
  <c r="O289" i="16"/>
  <c r="E336" i="16"/>
  <c r="D686" i="22"/>
  <c r="U28" i="23" s="1"/>
  <c r="U14" i="23"/>
  <c r="H248" i="22"/>
  <c r="G248" i="22"/>
  <c r="D741" i="22"/>
  <c r="G933" i="22"/>
  <c r="D645" i="22"/>
  <c r="V33" i="23"/>
  <c r="G847" i="22"/>
  <c r="F847" i="22"/>
  <c r="V31" i="23"/>
  <c r="J783" i="22"/>
  <c r="I783" i="22"/>
  <c r="V19" i="23"/>
  <c r="L409" i="22"/>
  <c r="M409" i="22"/>
  <c r="K409" i="22"/>
  <c r="G1070" i="22"/>
  <c r="U40" i="23" s="1"/>
  <c r="E45" i="19"/>
  <c r="J472" i="22"/>
  <c r="E326" i="16"/>
  <c r="E965" i="22"/>
  <c r="I399" i="22"/>
  <c r="E709" i="22"/>
  <c r="D342" i="22"/>
  <c r="T112" i="16"/>
  <c r="B1036" i="22"/>
  <c r="T46" i="16"/>
  <c r="B812" i="22"/>
  <c r="T39" i="16"/>
  <c r="C470" i="22"/>
  <c r="T72" i="16"/>
  <c r="H438" i="22"/>
  <c r="T280" i="16"/>
  <c r="R116" i="13"/>
  <c r="C621" i="22"/>
  <c r="T77" i="16"/>
  <c r="D470" i="22"/>
  <c r="T116" i="16"/>
  <c r="T27" i="16"/>
  <c r="B438" i="22"/>
  <c r="D940" i="22"/>
  <c r="T131" i="16"/>
  <c r="T31" i="16"/>
  <c r="R95" i="13"/>
  <c r="B561" i="22"/>
  <c r="C561" i="22" s="1"/>
  <c r="B940" i="22"/>
  <c r="T43" i="16"/>
  <c r="D908" i="22"/>
  <c r="T130" i="16"/>
  <c r="B278" i="22"/>
  <c r="E278" i="22" s="1"/>
  <c r="T22" i="16"/>
  <c r="B716" i="22"/>
  <c r="E716" i="22" s="1"/>
  <c r="T36" i="16"/>
  <c r="C780" i="22"/>
  <c r="T82" i="16"/>
  <c r="D406" i="22"/>
  <c r="T114" i="16"/>
  <c r="T121" i="16"/>
  <c r="R130" i="13"/>
  <c r="D621" i="22"/>
  <c r="F1036" i="22"/>
  <c r="T299" i="16"/>
  <c r="C403" i="22"/>
  <c r="Q70" i="16"/>
  <c r="C275" i="22"/>
  <c r="Q66" i="16"/>
  <c r="D841" i="22"/>
  <c r="Q293" i="16"/>
  <c r="B371" i="22"/>
  <c r="Q25" i="16"/>
  <c r="B1001" i="22"/>
  <c r="D1001" i="22" s="1"/>
  <c r="P38" i="23" s="1"/>
  <c r="Q45" i="16"/>
  <c r="Q134" i="16"/>
  <c r="D1033" i="22"/>
  <c r="B1065" i="22"/>
  <c r="Q47" i="16"/>
  <c r="C339" i="22"/>
  <c r="Q68" i="16"/>
  <c r="D467" i="22"/>
  <c r="Q116" i="16"/>
  <c r="B588" i="22"/>
  <c r="C588" i="22" s="1"/>
  <c r="P25" i="23" s="1"/>
  <c r="Q32" i="16"/>
  <c r="O96" i="13"/>
  <c r="C467" i="22"/>
  <c r="Q72" i="16"/>
  <c r="D339" i="22"/>
  <c r="Q112" i="16"/>
  <c r="Q289" i="16"/>
  <c r="D713" i="22"/>
  <c r="B1033" i="22"/>
  <c r="Q46" i="16"/>
  <c r="Q40" i="16"/>
  <c r="B841" i="22"/>
  <c r="O94" i="13"/>
  <c r="B528" i="22"/>
  <c r="C528" i="22" s="1"/>
  <c r="Q30" i="16"/>
  <c r="C777" i="22"/>
  <c r="Q82" i="16"/>
  <c r="N46" i="16"/>
  <c r="B1030" i="22"/>
  <c r="C304" i="22"/>
  <c r="N67" i="16"/>
  <c r="L34" i="13"/>
  <c r="L96" i="14" s="1"/>
  <c r="L150" i="13"/>
  <c r="L29" i="13"/>
  <c r="L92" i="14" s="1"/>
  <c r="L144" i="13"/>
  <c r="L30" i="13"/>
  <c r="L36" i="13"/>
  <c r="L153" i="13"/>
  <c r="L147" i="13"/>
  <c r="L38" i="13"/>
  <c r="L145" i="13"/>
  <c r="L146" i="13"/>
  <c r="L157" i="13"/>
  <c r="L27" i="13"/>
  <c r="L41" i="13"/>
  <c r="L151" i="13"/>
  <c r="L39" i="13"/>
  <c r="L28" i="13"/>
  <c r="L91" i="14" s="1"/>
  <c r="L25" i="13"/>
  <c r="L89" i="14" s="1"/>
  <c r="L160" i="13"/>
  <c r="L159" i="13"/>
  <c r="L152" i="13"/>
  <c r="L148" i="13"/>
  <c r="L40" i="13"/>
  <c r="L35" i="13"/>
  <c r="L97" i="14" s="1"/>
  <c r="L143" i="13"/>
  <c r="L142" i="13"/>
  <c r="L43" i="13"/>
  <c r="L155" i="13"/>
  <c r="L156" i="13"/>
  <c r="L37" i="13"/>
  <c r="L154" i="13"/>
  <c r="L149" i="13"/>
  <c r="L26" i="13"/>
  <c r="L90" i="14" s="1"/>
  <c r="L158" i="13"/>
  <c r="L32" i="13"/>
  <c r="L94" i="14" s="1"/>
  <c r="L42" i="13"/>
  <c r="L31" i="13"/>
  <c r="L93" i="14" s="1"/>
  <c r="L33" i="13"/>
  <c r="L95" i="14" s="1"/>
  <c r="C400" i="22"/>
  <c r="N70" i="16"/>
  <c r="D838" i="22"/>
  <c r="N293" i="16"/>
  <c r="D774" i="22"/>
  <c r="N126" i="16"/>
  <c r="C240" i="22"/>
  <c r="N65" i="16"/>
  <c r="N87" i="16"/>
  <c r="C934" i="22"/>
  <c r="N295" i="16"/>
  <c r="F902" i="22"/>
  <c r="C180" i="22"/>
  <c r="N63" i="16"/>
  <c r="B742" i="22"/>
  <c r="D742" i="22" s="1"/>
  <c r="M30" i="23" s="1"/>
  <c r="N37" i="16"/>
  <c r="B902" i="22"/>
  <c r="N42" i="16"/>
  <c r="N115" i="16"/>
  <c r="D432" i="22"/>
  <c r="C464" i="22"/>
  <c r="N72" i="16"/>
  <c r="C902" i="22"/>
  <c r="N86" i="16"/>
  <c r="N90" i="16"/>
  <c r="C1030" i="22"/>
  <c r="C88" i="22"/>
  <c r="N60" i="16"/>
  <c r="B678" i="22"/>
  <c r="D678" i="22" s="1"/>
  <c r="M28" i="23" s="1"/>
  <c r="N35" i="16"/>
  <c r="N83" i="16"/>
  <c r="C806" i="22"/>
  <c r="D902" i="22"/>
  <c r="N130" i="16"/>
  <c r="V15" i="23"/>
  <c r="H281" i="22"/>
  <c r="G281" i="22"/>
  <c r="U12" i="23"/>
  <c r="H188" i="22"/>
  <c r="G188" i="22"/>
  <c r="H910" i="22"/>
  <c r="U23" i="23"/>
  <c r="D533" i="22"/>
  <c r="C117" i="22"/>
  <c r="D869" i="22"/>
  <c r="D997" i="22"/>
  <c r="V21" i="23"/>
  <c r="L473" i="22"/>
  <c r="M473" i="22"/>
  <c r="K473" i="22"/>
  <c r="D654" i="22"/>
  <c r="U17" i="23"/>
  <c r="I344" i="22"/>
  <c r="H344" i="22"/>
  <c r="S65" i="16"/>
  <c r="C245" i="22"/>
  <c r="S293" i="16"/>
  <c r="D843" i="22"/>
  <c r="B341" i="22"/>
  <c r="S24" i="16"/>
  <c r="B907" i="22"/>
  <c r="S42" i="16"/>
  <c r="F779" i="22"/>
  <c r="S291" i="16"/>
  <c r="Q93" i="13"/>
  <c r="B500" i="22"/>
  <c r="C500" i="22" s="1"/>
  <c r="S29" i="16"/>
  <c r="S134" i="16"/>
  <c r="D1035" i="22"/>
  <c r="S90" i="16"/>
  <c r="C1035" i="22"/>
  <c r="S25" i="16"/>
  <c r="B373" i="22"/>
  <c r="S91" i="16"/>
  <c r="C1067" i="22"/>
  <c r="S23" i="16"/>
  <c r="B309" i="22"/>
  <c r="S114" i="16"/>
  <c r="D405" i="22"/>
  <c r="S35" i="16"/>
  <c r="B683" i="22"/>
  <c r="D683" i="22" s="1"/>
  <c r="R28" i="23" s="1"/>
  <c r="C185" i="22"/>
  <c r="S63" i="16"/>
  <c r="B590" i="22"/>
  <c r="C590" i="22" s="1"/>
  <c r="R25" i="23" s="1"/>
  <c r="S32" i="16"/>
  <c r="Q96" i="13"/>
  <c r="D469" i="22"/>
  <c r="S116" i="16"/>
  <c r="S27" i="16"/>
  <c r="B437" i="22"/>
  <c r="H469" i="22"/>
  <c r="S281" i="16"/>
  <c r="S37" i="16"/>
  <c r="B747" i="22"/>
  <c r="D747" i="22" s="1"/>
  <c r="R30" i="23" s="1"/>
  <c r="M156" i="16"/>
  <c r="E335" i="22"/>
  <c r="G335" i="22" s="1"/>
  <c r="M155" i="16"/>
  <c r="D303" i="22"/>
  <c r="M238" i="16"/>
  <c r="G399" i="22"/>
  <c r="E271" i="22"/>
  <c r="E179" i="22"/>
  <c r="B125" i="22"/>
  <c r="C125" i="22" s="1"/>
  <c r="U17" i="16"/>
  <c r="U25" i="16"/>
  <c r="B375" i="22"/>
  <c r="D941" i="22"/>
  <c r="U131" i="16"/>
  <c r="U30" i="16"/>
  <c r="S94" i="13"/>
  <c r="B532" i="22"/>
  <c r="C532" i="22" s="1"/>
  <c r="D909" i="22"/>
  <c r="U130" i="16"/>
  <c r="B471" i="22"/>
  <c r="U28" i="16"/>
  <c r="B279" i="22"/>
  <c r="U22" i="16"/>
  <c r="C781" i="22"/>
  <c r="U82" i="16"/>
  <c r="C622" i="22"/>
  <c r="U77" i="16"/>
  <c r="S116" i="13"/>
  <c r="U33" i="16"/>
  <c r="S97" i="13"/>
  <c r="B622" i="22"/>
  <c r="D845" i="22"/>
  <c r="U293" i="16"/>
  <c r="D471" i="22"/>
  <c r="U116" i="16"/>
  <c r="B217" i="22"/>
  <c r="C217" i="22" s="1"/>
  <c r="U20" i="16"/>
  <c r="H471" i="22"/>
  <c r="U281" i="16"/>
  <c r="B407" i="22"/>
  <c r="U26" i="16"/>
  <c r="P83" i="16"/>
  <c r="C808" i="22"/>
  <c r="B370" i="22"/>
  <c r="P25" i="16"/>
  <c r="B90" i="22"/>
  <c r="P16" i="16"/>
  <c r="C306" i="22"/>
  <c r="P67" i="16"/>
  <c r="B402" i="22"/>
  <c r="P26" i="16"/>
  <c r="B680" i="22"/>
  <c r="D680" i="22" s="1"/>
  <c r="O28" i="23" s="1"/>
  <c r="P35" i="16"/>
  <c r="P289" i="16"/>
  <c r="D712" i="22"/>
  <c r="B872" i="22"/>
  <c r="D872" i="22" s="1"/>
  <c r="O34" i="23" s="1"/>
  <c r="P41" i="16"/>
  <c r="D402" i="22"/>
  <c r="P114" i="16"/>
  <c r="P15" i="16"/>
  <c r="B58" i="22"/>
  <c r="P47" i="16"/>
  <c r="B1064" i="22"/>
  <c r="P86" i="16"/>
  <c r="C904" i="22"/>
  <c r="P281" i="16"/>
  <c r="H466" i="22"/>
  <c r="P297" i="16"/>
  <c r="D968" i="22"/>
  <c r="B212" i="22"/>
  <c r="C212" i="22" s="1"/>
  <c r="P20" i="16"/>
  <c r="B527" i="22"/>
  <c r="C527" i="22" s="1"/>
  <c r="P30" i="16"/>
  <c r="N94" i="13"/>
  <c r="B904" i="22"/>
  <c r="P42" i="16"/>
  <c r="V18" i="23"/>
  <c r="I377" i="22"/>
  <c r="H377" i="22"/>
  <c r="M38" i="13"/>
  <c r="M157" i="13"/>
  <c r="M29" i="13"/>
  <c r="M92" i="14" s="1"/>
  <c r="M42" i="13"/>
  <c r="M145" i="13"/>
  <c r="M158" i="13"/>
  <c r="M156" i="13"/>
  <c r="M28" i="13"/>
  <c r="M91" i="14" s="1"/>
  <c r="M31" i="13"/>
  <c r="M93" i="14" s="1"/>
  <c r="M36" i="13"/>
  <c r="M147" i="13"/>
  <c r="M150" i="13"/>
  <c r="M40" i="13"/>
  <c r="M153" i="13"/>
  <c r="M159" i="13"/>
  <c r="M35" i="13"/>
  <c r="M97" i="14" s="1"/>
  <c r="M25" i="13"/>
  <c r="M89" i="14" s="1"/>
  <c r="M154" i="13"/>
  <c r="M143" i="13"/>
  <c r="M32" i="13"/>
  <c r="M94" i="14" s="1"/>
  <c r="M152" i="13"/>
  <c r="M27" i="13"/>
  <c r="M151" i="13"/>
  <c r="M41" i="13"/>
  <c r="M33" i="13"/>
  <c r="M95" i="14" s="1"/>
  <c r="M155" i="13"/>
  <c r="M39" i="13"/>
  <c r="M146" i="13"/>
  <c r="M30" i="13"/>
  <c r="M142" i="13"/>
  <c r="M26" i="13"/>
  <c r="M90" i="14" s="1"/>
  <c r="M148" i="13"/>
  <c r="M144" i="13"/>
  <c r="M34" i="13"/>
  <c r="M96" i="14" s="1"/>
  <c r="M37" i="13"/>
  <c r="M160" i="13"/>
  <c r="M43" i="13"/>
  <c r="M149" i="13"/>
  <c r="O116" i="16"/>
  <c r="D465" i="22"/>
  <c r="O60" i="16"/>
  <c r="C89" i="22"/>
  <c r="C401" i="22"/>
  <c r="O70" i="16"/>
  <c r="B1063" i="22"/>
  <c r="O47" i="16"/>
  <c r="C465" i="22"/>
  <c r="O72" i="16"/>
  <c r="O37" i="16"/>
  <c r="B743" i="22"/>
  <c r="D743" i="22" s="1"/>
  <c r="N30" i="23" s="1"/>
  <c r="D935" i="22"/>
  <c r="O131" i="16"/>
  <c r="D775" i="22"/>
  <c r="O126" i="16"/>
  <c r="H401" i="22"/>
  <c r="O279" i="16"/>
  <c r="B241" i="22"/>
  <c r="O21" i="16"/>
  <c r="H465" i="22"/>
  <c r="O281" i="16"/>
  <c r="C369" i="22"/>
  <c r="O69" i="16"/>
  <c r="B1031" i="22"/>
  <c r="O46" i="16"/>
  <c r="D839" i="22"/>
  <c r="O293" i="16"/>
  <c r="M96" i="13"/>
  <c r="B586" i="22"/>
  <c r="C586" i="22" s="1"/>
  <c r="N25" i="23" s="1"/>
  <c r="O32" i="16"/>
  <c r="C433" i="22"/>
  <c r="O71" i="16"/>
  <c r="B401" i="22"/>
  <c r="O26" i="16"/>
  <c r="O45" i="16"/>
  <c r="B999" i="22"/>
  <c r="D999" i="22" s="1"/>
  <c r="N38" i="23" s="1"/>
  <c r="H1038" i="22"/>
  <c r="E846" i="22"/>
  <c r="E335" i="16"/>
  <c r="E87" i="22"/>
  <c r="V27" i="23"/>
  <c r="F655" i="22"/>
  <c r="E655" i="22"/>
  <c r="U22" i="23"/>
  <c r="D503" i="22"/>
  <c r="U11" i="23"/>
  <c r="E156" i="22"/>
  <c r="F156" i="22"/>
  <c r="D750" i="22"/>
  <c r="U30" i="23" s="1"/>
  <c r="E623" i="22"/>
  <c r="F623" i="22"/>
  <c r="G901" i="22"/>
  <c r="H901" i="22"/>
  <c r="B621" i="22"/>
  <c r="T33" i="16"/>
  <c r="R97" i="13"/>
  <c r="R96" i="13"/>
  <c r="B591" i="22"/>
  <c r="C591" i="22" s="1"/>
  <c r="S25" i="23" s="1"/>
  <c r="T32" i="16"/>
  <c r="T28" i="16"/>
  <c r="B470" i="22"/>
  <c r="T20" i="16"/>
  <c r="B216" i="22"/>
  <c r="C216" i="22" s="1"/>
  <c r="B124" i="22"/>
  <c r="C124" i="22" s="1"/>
  <c r="T17" i="16"/>
  <c r="T135" i="16"/>
  <c r="D1068" i="22"/>
  <c r="T86" i="16"/>
  <c r="C908" i="22"/>
  <c r="T18" i="16"/>
  <c r="B154" i="22"/>
  <c r="B748" i="22"/>
  <c r="D748" i="22" s="1"/>
  <c r="S30" i="23" s="1"/>
  <c r="T37" i="16"/>
  <c r="T29" i="16"/>
  <c r="R93" i="13"/>
  <c r="B501" i="22"/>
  <c r="C501" i="22" s="1"/>
  <c r="H406" i="22"/>
  <c r="T279" i="16"/>
  <c r="C438" i="22"/>
  <c r="T71" i="16"/>
  <c r="D374" i="22"/>
  <c r="T113" i="16"/>
  <c r="T42" i="16"/>
  <c r="B908" i="22"/>
  <c r="B1004" i="22"/>
  <c r="D1004" i="22" s="1"/>
  <c r="S38" i="23" s="1"/>
  <c r="T45" i="16"/>
  <c r="T23" i="16"/>
  <c r="B310" i="22"/>
  <c r="E310" i="22" s="1"/>
  <c r="T69" i="16"/>
  <c r="C374" i="22"/>
  <c r="D777" i="22"/>
  <c r="Q126" i="16"/>
  <c r="B649" i="22"/>
  <c r="D649" i="22" s="1"/>
  <c r="Q34" i="16"/>
  <c r="Q37" i="16"/>
  <c r="B745" i="22"/>
  <c r="D745" i="22" s="1"/>
  <c r="P30" i="23" s="1"/>
  <c r="D1065" i="22"/>
  <c r="Q135" i="16"/>
  <c r="D809" i="22"/>
  <c r="Q127" i="16"/>
  <c r="B91" i="22"/>
  <c r="Q16" i="16"/>
  <c r="D435" i="22"/>
  <c r="Q115" i="16"/>
  <c r="Q26" i="16"/>
  <c r="B403" i="22"/>
  <c r="Q291" i="16"/>
  <c r="F777" i="22"/>
  <c r="B339" i="22"/>
  <c r="Q24" i="16"/>
  <c r="B498" i="22"/>
  <c r="C498" i="22" s="1"/>
  <c r="Q29" i="16"/>
  <c r="O93" i="13"/>
  <c r="B275" i="22"/>
  <c r="Q22" i="16"/>
  <c r="C183" i="22"/>
  <c r="Q63" i="16"/>
  <c r="Q279" i="16"/>
  <c r="H403" i="22"/>
  <c r="Q18" i="16"/>
  <c r="B151" i="22"/>
  <c r="B618" i="22"/>
  <c r="Q33" i="16"/>
  <c r="O97" i="13"/>
  <c r="C307" i="22"/>
  <c r="Q67" i="16"/>
  <c r="Q69" i="16"/>
  <c r="C371" i="22"/>
  <c r="B336" i="22"/>
  <c r="N24" i="16"/>
  <c r="C615" i="22"/>
  <c r="N77" i="16"/>
  <c r="L116" i="13"/>
  <c r="N68" i="16"/>
  <c r="C336" i="22"/>
  <c r="N114" i="16"/>
  <c r="D400" i="22"/>
  <c r="B148" i="22"/>
  <c r="N18" i="16"/>
  <c r="N297" i="16"/>
  <c r="D966" i="22"/>
  <c r="N38" i="16"/>
  <c r="B774" i="22"/>
  <c r="N40" i="16"/>
  <c r="B838" i="22"/>
  <c r="E838" i="22" s="1"/>
  <c r="D464" i="22"/>
  <c r="N116" i="16"/>
  <c r="N289" i="16"/>
  <c r="D710" i="22"/>
  <c r="N66" i="16"/>
  <c r="C272" i="22"/>
  <c r="N23" i="16"/>
  <c r="B304" i="22"/>
  <c r="E304" i="22" s="1"/>
  <c r="B870" i="22"/>
  <c r="D870" i="22" s="1"/>
  <c r="M34" i="23" s="1"/>
  <c r="N41" i="16"/>
  <c r="N36" i="16"/>
  <c r="B710" i="22"/>
  <c r="E710" i="22" s="1"/>
  <c r="N22" i="16"/>
  <c r="B272" i="22"/>
  <c r="E272" i="22" s="1"/>
  <c r="N27" i="16"/>
  <c r="B432" i="22"/>
  <c r="N20" i="16"/>
  <c r="B210" i="22"/>
  <c r="C210" i="22" s="1"/>
  <c r="V14" i="23"/>
  <c r="H249" i="22"/>
  <c r="G249" i="22"/>
  <c r="V17" i="23"/>
  <c r="I345" i="22"/>
  <c r="H345" i="22"/>
  <c r="E344" i="16"/>
  <c r="U8" i="23"/>
  <c r="E64" i="22"/>
  <c r="F64" i="22"/>
  <c r="H782" i="22"/>
  <c r="E327" i="16"/>
  <c r="F367" i="22"/>
  <c r="E345" i="16"/>
  <c r="U9" i="23"/>
  <c r="H96" i="22"/>
  <c r="G96" i="22"/>
  <c r="E339" i="16"/>
  <c r="E343" i="16"/>
  <c r="B939" i="22"/>
  <c r="S43" i="16"/>
  <c r="S126" i="16"/>
  <c r="D779" i="22"/>
  <c r="S130" i="16"/>
  <c r="D907" i="22"/>
  <c r="D620" i="22"/>
  <c r="Q130" i="13"/>
  <c r="S121" i="16"/>
  <c r="S41" i="16"/>
  <c r="B875" i="22"/>
  <c r="D875" i="22" s="1"/>
  <c r="R34" i="23" s="1"/>
  <c r="B560" i="22"/>
  <c r="C560" i="22" s="1"/>
  <c r="S31" i="16"/>
  <c r="Q95" i="13"/>
  <c r="C341" i="22"/>
  <c r="S68" i="16"/>
  <c r="D811" i="22"/>
  <c r="S127" i="16"/>
  <c r="B405" i="22"/>
  <c r="S26" i="16"/>
  <c r="B1035" i="22"/>
  <c r="S46" i="16"/>
  <c r="B93" i="22"/>
  <c r="S16" i="16"/>
  <c r="B245" i="22"/>
  <c r="E245" i="22" s="1"/>
  <c r="S21" i="16"/>
  <c r="C277" i="22"/>
  <c r="S66" i="16"/>
  <c r="C309" i="22"/>
  <c r="S67" i="16"/>
  <c r="S34" i="16"/>
  <c r="B651" i="22"/>
  <c r="D651" i="22" s="1"/>
  <c r="D341" i="22"/>
  <c r="S112" i="16"/>
  <c r="B277" i="22"/>
  <c r="E277" i="22" s="1"/>
  <c r="S22" i="16"/>
  <c r="C779" i="22"/>
  <c r="S82" i="16"/>
  <c r="S36" i="16"/>
  <c r="B715" i="22"/>
  <c r="E715" i="22" s="1"/>
  <c r="B1003" i="22"/>
  <c r="D1003" i="22" s="1"/>
  <c r="R38" i="23" s="1"/>
  <c r="S45" i="16"/>
  <c r="C55" i="22"/>
  <c r="M147" i="16"/>
  <c r="M240" i="16"/>
  <c r="G463" i="22"/>
  <c r="M153" i="16"/>
  <c r="D239" i="22"/>
  <c r="D179" i="22"/>
  <c r="F179" i="22" s="1"/>
  <c r="M151" i="16"/>
  <c r="I431" i="22"/>
  <c r="E303" i="22"/>
  <c r="H407" i="22"/>
  <c r="U279" i="16"/>
  <c r="C247" i="22"/>
  <c r="U65" i="16"/>
  <c r="U39" i="16"/>
  <c r="B813" i="22"/>
  <c r="C375" i="22"/>
  <c r="U69" i="16"/>
  <c r="D973" i="22"/>
  <c r="U297" i="16"/>
  <c r="F909" i="22"/>
  <c r="U295" i="16"/>
  <c r="S42" i="13"/>
  <c r="S155" i="13"/>
  <c r="S40" i="13"/>
  <c r="S148" i="13"/>
  <c r="S39" i="13"/>
  <c r="S144" i="13"/>
  <c r="S25" i="13"/>
  <c r="S89" i="14" s="1"/>
  <c r="S146" i="13"/>
  <c r="S43" i="13"/>
  <c r="S145" i="13"/>
  <c r="S31" i="13"/>
  <c r="S93" i="14" s="1"/>
  <c r="S157" i="13"/>
  <c r="S33" i="13"/>
  <c r="S95" i="14" s="1"/>
  <c r="S142" i="13"/>
  <c r="S41" i="13"/>
  <c r="S29" i="13"/>
  <c r="S92" i="14" s="1"/>
  <c r="S156" i="13"/>
  <c r="S34" i="13"/>
  <c r="S96" i="14" s="1"/>
  <c r="S151" i="13"/>
  <c r="S30" i="13"/>
  <c r="S38" i="13"/>
  <c r="S143" i="13"/>
  <c r="S36" i="13"/>
  <c r="S27" i="13"/>
  <c r="S158" i="13"/>
  <c r="S35" i="13"/>
  <c r="S97" i="14" s="1"/>
  <c r="S149" i="13"/>
  <c r="S32" i="13"/>
  <c r="S94" i="14" s="1"/>
  <c r="S154" i="13"/>
  <c r="S28" i="13"/>
  <c r="S91" i="14" s="1"/>
  <c r="S150" i="13"/>
  <c r="S160" i="13"/>
  <c r="S147" i="13"/>
  <c r="S159" i="13"/>
  <c r="S153" i="13"/>
  <c r="S26" i="13"/>
  <c r="S90" i="14" s="1"/>
  <c r="S37" i="13"/>
  <c r="S152" i="13"/>
  <c r="B909" i="22"/>
  <c r="U42" i="16"/>
  <c r="U66" i="16"/>
  <c r="C279" i="22"/>
  <c r="C909" i="22"/>
  <c r="U86" i="16"/>
  <c r="C1069" i="22"/>
  <c r="U91" i="16"/>
  <c r="D781" i="22"/>
  <c r="U126" i="16"/>
  <c r="U68" i="16"/>
  <c r="C343" i="22"/>
  <c r="B502" i="22"/>
  <c r="C502" i="22" s="1"/>
  <c r="U29" i="16"/>
  <c r="S93" i="13"/>
  <c r="U32" i="16"/>
  <c r="S96" i="13"/>
  <c r="B592" i="22"/>
  <c r="C592" i="22" s="1"/>
  <c r="T25" i="23" s="1"/>
  <c r="B1037" i="22"/>
  <c r="U46" i="16"/>
  <c r="U134" i="16"/>
  <c r="D1037" i="22"/>
  <c r="U16" i="16"/>
  <c r="B95" i="22"/>
  <c r="E95" i="22" s="1"/>
  <c r="D904" i="22"/>
  <c r="P130" i="16"/>
  <c r="B557" i="22"/>
  <c r="C557" i="22" s="1"/>
  <c r="P31" i="16"/>
  <c r="N95" i="13"/>
  <c r="C1064" i="22"/>
  <c r="P91" i="16"/>
  <c r="B274" i="22"/>
  <c r="P22" i="16"/>
  <c r="B434" i="22"/>
  <c r="P27" i="16"/>
  <c r="H402" i="22"/>
  <c r="P279" i="16"/>
  <c r="C182" i="22"/>
  <c r="P63" i="16"/>
  <c r="B617" i="22"/>
  <c r="P33" i="16"/>
  <c r="N97" i="13"/>
  <c r="F776" i="22"/>
  <c r="P291" i="16"/>
  <c r="H338" i="16" s="1"/>
  <c r="H42" i="19" s="1"/>
  <c r="B776" i="22"/>
  <c r="P38" i="16"/>
  <c r="D936" i="22"/>
  <c r="P131" i="16"/>
  <c r="C242" i="22"/>
  <c r="P65" i="16"/>
  <c r="B712" i="22"/>
  <c r="P36" i="16"/>
  <c r="P87" i="16"/>
  <c r="C936" i="22"/>
  <c r="P34" i="16"/>
  <c r="B648" i="22"/>
  <c r="D648" i="22" s="1"/>
  <c r="P28" i="16"/>
  <c r="B466" i="22"/>
  <c r="B1032" i="22"/>
  <c r="P46" i="16"/>
  <c r="B346" i="16" s="1"/>
  <c r="C274" i="22"/>
  <c r="P66" i="16"/>
  <c r="V11" i="23"/>
  <c r="E157" i="22"/>
  <c r="F157" i="22"/>
  <c r="V8" i="23"/>
  <c r="E65" i="22"/>
  <c r="F65" i="22"/>
  <c r="O86" i="16"/>
  <c r="C903" i="22"/>
  <c r="M130" i="13"/>
  <c r="O121" i="16"/>
  <c r="D616" i="22"/>
  <c r="O67" i="16"/>
  <c r="C305" i="22"/>
  <c r="B89" i="22"/>
  <c r="E89" i="22" s="1"/>
  <c r="O16" i="16"/>
  <c r="D433" i="22"/>
  <c r="O115" i="16"/>
  <c r="B935" i="22"/>
  <c r="O43" i="16"/>
  <c r="O299" i="16"/>
  <c r="F1031" i="22"/>
  <c r="B369" i="22"/>
  <c r="O25" i="16"/>
  <c r="C1063" i="22"/>
  <c r="O91" i="16"/>
  <c r="O297" i="16"/>
  <c r="D967" i="22"/>
  <c r="B273" i="22"/>
  <c r="O22" i="16"/>
  <c r="B967" i="22"/>
  <c r="O44" i="16"/>
  <c r="B305" i="22"/>
  <c r="O23" i="16"/>
  <c r="O130" i="16"/>
  <c r="D903" i="22"/>
  <c r="C807" i="22"/>
  <c r="O83" i="16"/>
  <c r="O28" i="16"/>
  <c r="B465" i="22"/>
  <c r="C935" i="22"/>
  <c r="O87" i="16"/>
  <c r="O114" i="16"/>
  <c r="D401" i="22"/>
  <c r="E718" i="22"/>
  <c r="U24" i="23"/>
  <c r="D563" i="22"/>
  <c r="U18" i="23"/>
  <c r="I376" i="22"/>
  <c r="H376" i="22"/>
  <c r="E239" i="22"/>
  <c r="G1061" i="22"/>
  <c r="V12" i="23"/>
  <c r="H189" i="22"/>
  <c r="G189" i="22"/>
  <c r="J408" i="22"/>
  <c r="I463" i="22"/>
  <c r="B531" i="22"/>
  <c r="C531" i="22" s="1"/>
  <c r="T30" i="16"/>
  <c r="R94" i="13"/>
  <c r="F908" i="22"/>
  <c r="T295" i="16"/>
  <c r="B246" i="22"/>
  <c r="T21" i="16"/>
  <c r="C406" i="22"/>
  <c r="T70" i="16"/>
  <c r="C246" i="22"/>
  <c r="T65" i="16"/>
  <c r="B186" i="22"/>
  <c r="E186" i="22" s="1"/>
  <c r="T19" i="16"/>
  <c r="R160" i="13"/>
  <c r="R158" i="13"/>
  <c r="R39" i="13"/>
  <c r="R38" i="13"/>
  <c r="R25" i="13"/>
  <c r="R89" i="14" s="1"/>
  <c r="R157" i="13"/>
  <c r="R33" i="13"/>
  <c r="R95" i="14" s="1"/>
  <c r="R32" i="13"/>
  <c r="R94" i="14" s="1"/>
  <c r="R156" i="13"/>
  <c r="R30" i="13"/>
  <c r="R34" i="13"/>
  <c r="R96" i="14" s="1"/>
  <c r="R142" i="13"/>
  <c r="R143" i="13"/>
  <c r="R31" i="13"/>
  <c r="R93" i="14" s="1"/>
  <c r="R149" i="13"/>
  <c r="R43" i="13"/>
  <c r="R147" i="13"/>
  <c r="R148" i="13"/>
  <c r="R28" i="13"/>
  <c r="R91" i="14" s="1"/>
  <c r="R159" i="13"/>
  <c r="R27" i="13"/>
  <c r="R155" i="13"/>
  <c r="R153" i="13"/>
  <c r="R41" i="13"/>
  <c r="R152" i="13"/>
  <c r="R26" i="13"/>
  <c r="R90" i="14" s="1"/>
  <c r="R40" i="13"/>
  <c r="R151" i="13"/>
  <c r="R37" i="13"/>
  <c r="R154" i="13"/>
  <c r="R29" i="13"/>
  <c r="R92" i="14" s="1"/>
  <c r="R42" i="13"/>
  <c r="R36" i="13"/>
  <c r="R145" i="13"/>
  <c r="R146" i="13"/>
  <c r="R35" i="13"/>
  <c r="R97" i="14" s="1"/>
  <c r="R150" i="13"/>
  <c r="R144" i="13"/>
  <c r="T126" i="16"/>
  <c r="D780" i="22"/>
  <c r="B972" i="22"/>
  <c r="T44" i="16"/>
  <c r="D1036" i="22"/>
  <c r="T134" i="16"/>
  <c r="C94" i="22"/>
  <c r="T60" i="16"/>
  <c r="B62" i="22"/>
  <c r="T15" i="16"/>
  <c r="B1068" i="22"/>
  <c r="T47" i="16"/>
  <c r="D972" i="22"/>
  <c r="T297" i="16"/>
  <c r="B876" i="22"/>
  <c r="D876" i="22" s="1"/>
  <c r="S34" i="23" s="1"/>
  <c r="T41" i="16"/>
  <c r="B684" i="22"/>
  <c r="D684" i="22" s="1"/>
  <c r="S28" i="23" s="1"/>
  <c r="T35" i="16"/>
  <c r="T16" i="16"/>
  <c r="B94" i="22"/>
  <c r="B780" i="22"/>
  <c r="T38" i="16"/>
  <c r="C1068" i="22"/>
  <c r="T91" i="16"/>
  <c r="B652" i="22"/>
  <c r="D652" i="22" s="1"/>
  <c r="T34" i="16"/>
  <c r="C91" i="22"/>
  <c r="Q60" i="16"/>
  <c r="B59" i="22"/>
  <c r="Q15" i="16"/>
  <c r="C1065" i="22"/>
  <c r="Q91" i="16"/>
  <c r="O158" i="13"/>
  <c r="O143" i="13"/>
  <c r="O40" i="13"/>
  <c r="O153" i="13"/>
  <c r="O159" i="13"/>
  <c r="O150" i="13"/>
  <c r="O30" i="13"/>
  <c r="O29" i="13"/>
  <c r="O92" i="14" s="1"/>
  <c r="O37" i="13"/>
  <c r="O144" i="13"/>
  <c r="O31" i="13"/>
  <c r="O93" i="14" s="1"/>
  <c r="O27" i="13"/>
  <c r="O147" i="13"/>
  <c r="O154" i="13"/>
  <c r="O34" i="13"/>
  <c r="O96" i="14" s="1"/>
  <c r="O160" i="13"/>
  <c r="O151" i="13"/>
  <c r="O142" i="13"/>
  <c r="O39" i="13"/>
  <c r="O145" i="13"/>
  <c r="O41" i="13"/>
  <c r="O157" i="13"/>
  <c r="O148" i="13"/>
  <c r="O36" i="13"/>
  <c r="O38" i="13"/>
  <c r="O155" i="13"/>
  <c r="O28" i="13"/>
  <c r="O91" i="14" s="1"/>
  <c r="O156" i="13"/>
  <c r="O33" i="13"/>
  <c r="O95" i="14" s="1"/>
  <c r="O25" i="13"/>
  <c r="O89" i="14" s="1"/>
  <c r="O42" i="13"/>
  <c r="O32" i="13"/>
  <c r="O94" i="14" s="1"/>
  <c r="O26" i="13"/>
  <c r="O90" i="14" s="1"/>
  <c r="O43" i="13"/>
  <c r="O35" i="13"/>
  <c r="O97" i="14" s="1"/>
  <c r="O146" i="13"/>
  <c r="O152" i="13"/>
  <c r="O149" i="13"/>
  <c r="B435" i="22"/>
  <c r="I435" i="22" s="1"/>
  <c r="Q27" i="16"/>
  <c r="Q65" i="16"/>
  <c r="C243" i="22"/>
  <c r="D618" i="22"/>
  <c r="O130" i="13"/>
  <c r="Q121" i="16"/>
  <c r="B121" i="22"/>
  <c r="C121" i="22" s="1"/>
  <c r="Q17" i="16"/>
  <c r="Q281" i="16"/>
  <c r="H467" i="22"/>
  <c r="Q35" i="16"/>
  <c r="B681" i="22"/>
  <c r="D681" i="22" s="1"/>
  <c r="P28" i="23" s="1"/>
  <c r="B558" i="22"/>
  <c r="C558" i="22" s="1"/>
  <c r="Q31" i="16"/>
  <c r="O95" i="13"/>
  <c r="F905" i="22"/>
  <c r="Q295" i="16"/>
  <c r="Q131" i="16"/>
  <c r="D937" i="22"/>
  <c r="C618" i="22"/>
  <c r="Q77" i="16"/>
  <c r="O116" i="13"/>
  <c r="B713" i="22"/>
  <c r="Q36" i="16"/>
  <c r="Q87" i="16"/>
  <c r="C937" i="22"/>
  <c r="C809" i="22"/>
  <c r="Q83" i="16"/>
  <c r="D403" i="22"/>
  <c r="Q114" i="16"/>
  <c r="Q130" i="16"/>
  <c r="D905" i="22"/>
  <c r="Q44" i="16"/>
  <c r="B969" i="22"/>
  <c r="H432" i="22"/>
  <c r="N280" i="16"/>
  <c r="C1062" i="22"/>
  <c r="N91" i="16"/>
  <c r="N31" i="16"/>
  <c r="L95" i="13"/>
  <c r="B555" i="22"/>
  <c r="C555" i="22" s="1"/>
  <c r="N19" i="16"/>
  <c r="B180" i="22"/>
  <c r="N44" i="16"/>
  <c r="B966" i="22"/>
  <c r="N21" i="16"/>
  <c r="B240" i="22"/>
  <c r="E240" i="22" s="1"/>
  <c r="B615" i="22"/>
  <c r="N33" i="16"/>
  <c r="L97" i="13"/>
  <c r="F1030" i="22"/>
  <c r="N299" i="16"/>
  <c r="H400" i="22"/>
  <c r="N279" i="16"/>
  <c r="N25" i="16"/>
  <c r="B368" i="22"/>
  <c r="B525" i="22"/>
  <c r="C525" i="22" s="1"/>
  <c r="N30" i="16"/>
  <c r="L94" i="13"/>
  <c r="N113" i="16"/>
  <c r="D368" i="22"/>
  <c r="N45" i="16"/>
  <c r="B998" i="22"/>
  <c r="D998" i="22" s="1"/>
  <c r="M38" i="23" s="1"/>
  <c r="N34" i="16"/>
  <c r="B646" i="22"/>
  <c r="D646" i="22" s="1"/>
  <c r="D934" i="22"/>
  <c r="N131" i="16"/>
  <c r="N43" i="16"/>
  <c r="B934" i="22"/>
  <c r="D336" i="22"/>
  <c r="N112" i="16"/>
  <c r="N135" i="16"/>
  <c r="D1062" i="22"/>
  <c r="N29" i="16"/>
  <c r="L93" i="13"/>
  <c r="B495" i="22"/>
  <c r="C495" i="22" s="1"/>
  <c r="N121" i="16"/>
  <c r="L130" i="13"/>
  <c r="D615" i="22"/>
  <c r="V20" i="23"/>
  <c r="L441" i="22"/>
  <c r="M441" i="22"/>
  <c r="K441" i="22"/>
  <c r="E974" i="22"/>
  <c r="E46" i="19"/>
  <c r="E105" i="19" s="1"/>
  <c r="J440" i="22"/>
  <c r="C209" i="22"/>
  <c r="B325" i="16"/>
  <c r="V16" i="23"/>
  <c r="H313" i="22"/>
  <c r="G313" i="22"/>
  <c r="D1006" i="22"/>
  <c r="U38" i="23" s="1"/>
  <c r="G942" i="22"/>
  <c r="U36" i="23" s="1"/>
  <c r="S60" i="16"/>
  <c r="C316" i="16" s="1"/>
  <c r="C93" i="22"/>
  <c r="S47" i="16"/>
  <c r="B1067" i="22"/>
  <c r="D939" i="22"/>
  <c r="S131" i="16"/>
  <c r="D373" i="22"/>
  <c r="S113" i="16"/>
  <c r="S115" i="16"/>
  <c r="D437" i="22"/>
  <c r="S135" i="16"/>
  <c r="D1067" i="22"/>
  <c r="S69" i="16"/>
  <c r="C373" i="22"/>
  <c r="S39" i="16"/>
  <c r="B811" i="22"/>
  <c r="S38" i="16"/>
  <c r="B779" i="22"/>
  <c r="F907" i="22"/>
  <c r="S295" i="16"/>
  <c r="B215" i="22"/>
  <c r="C215" i="22" s="1"/>
  <c r="S20" i="16"/>
  <c r="C437" i="22"/>
  <c r="S71" i="16"/>
  <c r="C811" i="22"/>
  <c r="S83" i="16"/>
  <c r="B971" i="22"/>
  <c r="E971" i="22" s="1"/>
  <c r="S44" i="16"/>
  <c r="S299" i="16"/>
  <c r="F1035" i="22"/>
  <c r="F463" i="22"/>
  <c r="M200" i="16"/>
  <c r="D87" i="22"/>
  <c r="F87" i="22" s="1"/>
  <c r="M148" i="16"/>
  <c r="M199" i="16"/>
  <c r="F431" i="22"/>
  <c r="D271" i="22"/>
  <c r="M154" i="16"/>
  <c r="M198" i="16"/>
  <c r="F399" i="22"/>
  <c r="M239" i="16"/>
  <c r="G431" i="22"/>
  <c r="G1029" i="22"/>
  <c r="H1029" i="22"/>
  <c r="C584" i="22"/>
  <c r="C494" i="22"/>
  <c r="S95" i="13"/>
  <c r="B562" i="22"/>
  <c r="C562" i="22" s="1"/>
  <c r="U31" i="16"/>
  <c r="D1069" i="22"/>
  <c r="U135" i="16"/>
  <c r="U113" i="16"/>
  <c r="D375" i="22"/>
  <c r="F1037" i="22"/>
  <c r="U299" i="16"/>
  <c r="B877" i="22"/>
  <c r="D877" i="22" s="1"/>
  <c r="T34" i="23" s="1"/>
  <c r="U41" i="16"/>
  <c r="B685" i="22"/>
  <c r="D685" i="22" s="1"/>
  <c r="T28" i="23" s="1"/>
  <c r="U35" i="16"/>
  <c r="B781" i="22"/>
  <c r="U38" i="16"/>
  <c r="D439" i="22"/>
  <c r="U115" i="16"/>
  <c r="C813" i="22"/>
  <c r="U83" i="16"/>
  <c r="D717" i="22"/>
  <c r="U289" i="16"/>
  <c r="B845" i="22"/>
  <c r="E845" i="22" s="1"/>
  <c r="U40" i="16"/>
  <c r="B973" i="22"/>
  <c r="E973" i="22" s="1"/>
  <c r="U44" i="16"/>
  <c r="B1069" i="22"/>
  <c r="U47" i="16"/>
  <c r="U72" i="16"/>
  <c r="C471" i="22"/>
  <c r="S130" i="13"/>
  <c r="D622" i="22"/>
  <c r="U121" i="16"/>
  <c r="U127" i="16"/>
  <c r="D813" i="22"/>
  <c r="U24" i="16"/>
  <c r="B343" i="22"/>
  <c r="F343" i="22" s="1"/>
  <c r="C439" i="22"/>
  <c r="U71" i="16"/>
  <c r="B247" i="22"/>
  <c r="E247" i="22" s="1"/>
  <c r="U21" i="16"/>
  <c r="U27" i="16"/>
  <c r="B439" i="22"/>
  <c r="C187" i="22"/>
  <c r="U63" i="16"/>
  <c r="C370" i="22"/>
  <c r="P69" i="16"/>
  <c r="P37" i="16"/>
  <c r="B744" i="22"/>
  <c r="D744" i="22" s="1"/>
  <c r="O30" i="23" s="1"/>
  <c r="D370" i="22"/>
  <c r="P113" i="16"/>
  <c r="C402" i="22"/>
  <c r="P70" i="16"/>
  <c r="N93" i="13"/>
  <c r="B497" i="22"/>
  <c r="C497" i="22" s="1"/>
  <c r="P29" i="16"/>
  <c r="B808" i="22"/>
  <c r="P39" i="16"/>
  <c r="B840" i="22"/>
  <c r="P40" i="16"/>
  <c r="C466" i="22"/>
  <c r="P72" i="16"/>
  <c r="P19" i="16"/>
  <c r="B182" i="22"/>
  <c r="E182" i="22" s="1"/>
  <c r="D1064" i="22"/>
  <c r="P135" i="16"/>
  <c r="P68" i="16"/>
  <c r="C338" i="22"/>
  <c r="P43" i="16"/>
  <c r="B936" i="22"/>
  <c r="P23" i="16"/>
  <c r="B306" i="22"/>
  <c r="E306" i="22" s="1"/>
  <c r="P127" i="16"/>
  <c r="D808" i="22"/>
  <c r="P44" i="16"/>
  <c r="B968" i="22"/>
  <c r="E968" i="22" s="1"/>
  <c r="P134" i="16"/>
  <c r="D1032" i="22"/>
  <c r="P293" i="16"/>
  <c r="D840" i="22"/>
  <c r="D434" i="22"/>
  <c r="P115" i="16"/>
  <c r="D776" i="22"/>
  <c r="P126" i="16"/>
  <c r="H434" i="22"/>
  <c r="P280" i="16"/>
  <c r="V35" i="23"/>
  <c r="J911" i="22"/>
  <c r="I911" i="22"/>
  <c r="O280" i="16"/>
  <c r="H433" i="22"/>
  <c r="O295" i="16"/>
  <c r="F903" i="22"/>
  <c r="D1031" i="22"/>
  <c r="O134" i="16"/>
  <c r="B711" i="22"/>
  <c r="E711" i="22" s="1"/>
  <c r="O36" i="16"/>
  <c r="B181" i="22"/>
  <c r="O19" i="16"/>
  <c r="B119" i="22"/>
  <c r="C119" i="22" s="1"/>
  <c r="O17" i="16"/>
  <c r="B903" i="22"/>
  <c r="O42" i="16"/>
  <c r="O127" i="16"/>
  <c r="D807" i="22"/>
  <c r="M97" i="13"/>
  <c r="B616" i="22"/>
  <c r="O33" i="16"/>
  <c r="O113" i="16"/>
  <c r="D369" i="22"/>
  <c r="B211" i="22"/>
  <c r="C211" i="22" s="1"/>
  <c r="O20" i="16"/>
  <c r="C273" i="22"/>
  <c r="O66" i="16"/>
  <c r="C241" i="22"/>
  <c r="O65" i="16"/>
  <c r="B433" i="22"/>
  <c r="O27" i="16"/>
  <c r="B807" i="22"/>
  <c r="O39" i="16"/>
  <c r="M93" i="13"/>
  <c r="B496" i="22"/>
  <c r="C496" i="22" s="1"/>
  <c r="O29" i="16"/>
  <c r="O38" i="16"/>
  <c r="B775" i="22"/>
  <c r="E346" i="16"/>
  <c r="E340" i="16"/>
  <c r="G805" i="22"/>
  <c r="D677" i="22"/>
  <c r="H327" i="16"/>
  <c r="H31" i="19" s="1"/>
  <c r="F339" i="22" l="1"/>
  <c r="I470" i="22"/>
  <c r="E841" i="22"/>
  <c r="B334" i="16"/>
  <c r="G936" i="22"/>
  <c r="O36" i="23" s="1"/>
  <c r="B347" i="16"/>
  <c r="B343" i="16"/>
  <c r="I433" i="22"/>
  <c r="B321" i="16"/>
  <c r="F368" i="22"/>
  <c r="H346" i="16"/>
  <c r="H50" i="19" s="1"/>
  <c r="B344" i="16"/>
  <c r="B48" i="19" s="1"/>
  <c r="E972" i="22"/>
  <c r="G935" i="22"/>
  <c r="N36" i="23" s="1"/>
  <c r="E274" i="22"/>
  <c r="B331" i="16"/>
  <c r="B39" i="17" s="1"/>
  <c r="B341" i="16"/>
  <c r="D325" i="16"/>
  <c r="D22" i="18" s="1"/>
  <c r="B216" i="18" s="1"/>
  <c r="H342" i="16"/>
  <c r="H46" i="19" s="1"/>
  <c r="H328" i="16"/>
  <c r="H32" i="19" s="1"/>
  <c r="H91" i="19" s="1"/>
  <c r="H475" i="22" s="1"/>
  <c r="H477" i="22" s="1"/>
  <c r="C346" i="16"/>
  <c r="C343" i="16"/>
  <c r="C47" i="19" s="1"/>
  <c r="B342" i="16"/>
  <c r="B329" i="16"/>
  <c r="H326" i="16"/>
  <c r="H30" i="19" s="1"/>
  <c r="H89" i="19" s="1"/>
  <c r="H411" i="22" s="1"/>
  <c r="H413" i="22" s="1"/>
  <c r="E969" i="22"/>
  <c r="P37" i="23" s="1"/>
  <c r="H340" i="16"/>
  <c r="H44" i="19" s="1"/>
  <c r="C325" i="16"/>
  <c r="C22" i="18" s="1"/>
  <c r="B183" i="18" s="1"/>
  <c r="D183" i="18" s="1"/>
  <c r="C339" i="16"/>
  <c r="C43" i="19" s="1"/>
  <c r="D346" i="16"/>
  <c r="D50" i="19" s="1"/>
  <c r="C324" i="16"/>
  <c r="C21" i="18" s="1"/>
  <c r="B182" i="18" s="1"/>
  <c r="C327" i="16"/>
  <c r="B345" i="16"/>
  <c r="B42" i="18" s="1"/>
  <c r="B170" i="18" s="1"/>
  <c r="B330" i="16"/>
  <c r="B38" i="17" s="1"/>
  <c r="C347" i="16"/>
  <c r="E181" i="22"/>
  <c r="H336" i="16"/>
  <c r="H40" i="19" s="1"/>
  <c r="G811" i="22"/>
  <c r="R32" i="23" s="1"/>
  <c r="D333" i="16"/>
  <c r="B333" i="16"/>
  <c r="E966" i="22"/>
  <c r="I465" i="22"/>
  <c r="C342" i="16"/>
  <c r="C46" i="19" s="1"/>
  <c r="I405" i="22"/>
  <c r="E275" i="22"/>
  <c r="B332" i="16"/>
  <c r="B40" i="17" s="1"/>
  <c r="D342" i="16"/>
  <c r="D46" i="19" s="1"/>
  <c r="D338" i="16"/>
  <c r="D324" i="16"/>
  <c r="D21" i="18" s="1"/>
  <c r="B215" i="18" s="1"/>
  <c r="E844" i="22"/>
  <c r="D347" i="16"/>
  <c r="D44" i="18" s="1"/>
  <c r="B238" i="18" s="1"/>
  <c r="B338" i="16"/>
  <c r="B42" i="19" s="1"/>
  <c r="B339" i="16"/>
  <c r="B36" i="18" s="1"/>
  <c r="B164" i="18" s="1"/>
  <c r="D339" i="16"/>
  <c r="D43" i="19" s="1"/>
  <c r="B340" i="16"/>
  <c r="B37" i="18" s="1"/>
  <c r="B165" i="18" s="1"/>
  <c r="B337" i="16"/>
  <c r="B34" i="18" s="1"/>
  <c r="B162" i="18" s="1"/>
  <c r="B324" i="16"/>
  <c r="B21" i="18" s="1"/>
  <c r="B149" i="18" s="1"/>
  <c r="D343" i="16"/>
  <c r="D40" i="18" s="1"/>
  <c r="B234" i="18" s="1"/>
  <c r="E180" i="22"/>
  <c r="E713" i="22"/>
  <c r="F713" i="22" s="1"/>
  <c r="B335" i="16"/>
  <c r="B39" i="19" s="1"/>
  <c r="B315" i="16"/>
  <c r="B12" i="18" s="1"/>
  <c r="B140" i="18" s="1"/>
  <c r="B319" i="16"/>
  <c r="E712" i="22"/>
  <c r="O29" i="23" s="1"/>
  <c r="C319" i="16"/>
  <c r="C16" i="18" s="1"/>
  <c r="B177" i="18" s="1"/>
  <c r="B316" i="16"/>
  <c r="B13" i="18" s="1"/>
  <c r="B141" i="18" s="1"/>
  <c r="B336" i="16"/>
  <c r="H344" i="16"/>
  <c r="H48" i="19" s="1"/>
  <c r="H107" i="19" s="1"/>
  <c r="D977" i="22" s="1"/>
  <c r="D979" i="22" s="1"/>
  <c r="C333" i="16"/>
  <c r="C30" i="18" s="1"/>
  <c r="B191" i="18" s="1"/>
  <c r="D191" i="18" s="1"/>
  <c r="E90" i="22"/>
  <c r="B317" i="16"/>
  <c r="G812" i="22"/>
  <c r="S32" i="23" s="1"/>
  <c r="C338" i="16"/>
  <c r="C35" i="18" s="1"/>
  <c r="B196" i="18" s="1"/>
  <c r="D43" i="18"/>
  <c r="B237" i="18" s="1"/>
  <c r="B37" i="17"/>
  <c r="B26" i="18"/>
  <c r="B154" i="18" s="1"/>
  <c r="C44" i="18"/>
  <c r="B205" i="18" s="1"/>
  <c r="C51" i="19"/>
  <c r="H103" i="19"/>
  <c r="D849" i="22" s="1"/>
  <c r="D851" i="22" s="1"/>
  <c r="C36" i="18"/>
  <c r="B197" i="18" s="1"/>
  <c r="H105" i="19"/>
  <c r="F913" i="22" s="1"/>
  <c r="F915" i="22" s="1"/>
  <c r="B44" i="19"/>
  <c r="B46" i="19"/>
  <c r="B105" i="19" s="1"/>
  <c r="B39" i="18"/>
  <c r="B167" i="18" s="1"/>
  <c r="B50" i="17"/>
  <c r="H99" i="19"/>
  <c r="D721" i="22" s="1"/>
  <c r="D723" i="22" s="1"/>
  <c r="D30" i="18"/>
  <c r="B224" i="18" s="1"/>
  <c r="B30" i="18"/>
  <c r="B158" i="18" s="1"/>
  <c r="C39" i="18"/>
  <c r="B200" i="18" s="1"/>
  <c r="D39" i="18"/>
  <c r="B233" i="18" s="1"/>
  <c r="D35" i="18"/>
  <c r="B229" i="18" s="1"/>
  <c r="D42" i="19"/>
  <c r="B35" i="18"/>
  <c r="B163" i="18" s="1"/>
  <c r="D51" i="19"/>
  <c r="B38" i="19"/>
  <c r="B97" i="19" s="1"/>
  <c r="B31" i="18"/>
  <c r="B159" i="18" s="1"/>
  <c r="H109" i="19"/>
  <c r="F1041" i="22" s="1"/>
  <c r="B41" i="18"/>
  <c r="B169" i="18" s="1"/>
  <c r="B50" i="19"/>
  <c r="B43" i="18"/>
  <c r="B171" i="18" s="1"/>
  <c r="H101" i="19"/>
  <c r="F785" i="22" s="1"/>
  <c r="F787" i="22" s="1"/>
  <c r="B45" i="19"/>
  <c r="B38" i="18"/>
  <c r="B166" i="18" s="1"/>
  <c r="B49" i="17"/>
  <c r="C40" i="18"/>
  <c r="B201" i="18" s="1"/>
  <c r="B41" i="19"/>
  <c r="B45" i="17"/>
  <c r="F1043" i="22"/>
  <c r="B16" i="18"/>
  <c r="B144" i="18" s="1"/>
  <c r="B40" i="19"/>
  <c r="B33" i="18"/>
  <c r="B161" i="18" s="1"/>
  <c r="B14" i="18"/>
  <c r="B142" i="18" s="1"/>
  <c r="B25" i="17"/>
  <c r="B28" i="18"/>
  <c r="B156" i="18" s="1"/>
  <c r="N10" i="23"/>
  <c r="D119" i="22"/>
  <c r="N29" i="23"/>
  <c r="G711" i="22"/>
  <c r="F711" i="22"/>
  <c r="O37" i="23"/>
  <c r="G968" i="22"/>
  <c r="F968" i="22"/>
  <c r="G779" i="22"/>
  <c r="H779" i="22"/>
  <c r="M22" i="23"/>
  <c r="D495" i="22"/>
  <c r="E615" i="22"/>
  <c r="F615" i="22"/>
  <c r="Q157" i="16"/>
  <c r="E371" i="22"/>
  <c r="G371" i="22" s="1"/>
  <c r="C151" i="22"/>
  <c r="D151" i="22" s="1"/>
  <c r="Q150" i="16"/>
  <c r="Q156" i="16"/>
  <c r="E339" i="22"/>
  <c r="G339" i="22" s="1"/>
  <c r="Q153" i="16"/>
  <c r="D243" i="22"/>
  <c r="F243" i="22" s="1"/>
  <c r="G1068" i="22"/>
  <c r="S40" i="23" s="1"/>
  <c r="S37" i="23"/>
  <c r="G972" i="22"/>
  <c r="F972" i="22"/>
  <c r="F406" i="22"/>
  <c r="T198" i="16"/>
  <c r="F438" i="22"/>
  <c r="T199" i="16"/>
  <c r="C62" i="22"/>
  <c r="D62" i="22" s="1"/>
  <c r="T147" i="16"/>
  <c r="E246" i="22"/>
  <c r="O27" i="23"/>
  <c r="F648" i="22"/>
  <c r="E648" i="22"/>
  <c r="E617" i="22"/>
  <c r="F617" i="22"/>
  <c r="U150" i="16"/>
  <c r="C155" i="22"/>
  <c r="D155" i="22" s="1"/>
  <c r="U157" i="16"/>
  <c r="E375" i="22"/>
  <c r="G375" i="22" s="1"/>
  <c r="E343" i="22"/>
  <c r="G343" i="22" s="1"/>
  <c r="U156" i="16"/>
  <c r="G471" i="22"/>
  <c r="U240" i="16"/>
  <c r="G813" i="22"/>
  <c r="T32" i="23" s="1"/>
  <c r="L12" i="23"/>
  <c r="H179" i="22"/>
  <c r="G179" i="22"/>
  <c r="G1035" i="22"/>
  <c r="H1035" i="22"/>
  <c r="G939" i="22"/>
  <c r="R36" i="23" s="1"/>
  <c r="E31" i="19"/>
  <c r="E90" i="19" s="1"/>
  <c r="I432" i="22"/>
  <c r="M29" i="23"/>
  <c r="G710" i="22"/>
  <c r="F710" i="22"/>
  <c r="M33" i="23"/>
  <c r="G838" i="22"/>
  <c r="F838" i="22"/>
  <c r="F336" i="22"/>
  <c r="E91" i="22"/>
  <c r="P27" i="23"/>
  <c r="F649" i="22"/>
  <c r="E649" i="22"/>
  <c r="E241" i="22"/>
  <c r="G1063" i="22"/>
  <c r="N40" i="23" s="1"/>
  <c r="O155" i="16"/>
  <c r="D305" i="22"/>
  <c r="F305" i="22" s="1"/>
  <c r="O147" i="16"/>
  <c r="C57" i="22"/>
  <c r="D57" i="22" s="1"/>
  <c r="D241" i="22"/>
  <c r="F241" i="22" s="1"/>
  <c r="O153" i="16"/>
  <c r="F465" i="22"/>
  <c r="O200" i="16"/>
  <c r="O13" i="23"/>
  <c r="D212" i="22"/>
  <c r="I402" i="22"/>
  <c r="E279" i="22"/>
  <c r="L17" i="23"/>
  <c r="I335" i="22"/>
  <c r="H335" i="22"/>
  <c r="L38" i="23"/>
  <c r="L10" i="23"/>
  <c r="D117" i="22"/>
  <c r="N153" i="16"/>
  <c r="D240" i="22"/>
  <c r="F240" i="22" s="1"/>
  <c r="N148" i="16"/>
  <c r="D88" i="22"/>
  <c r="F88" i="22" s="1"/>
  <c r="C148" i="22"/>
  <c r="D148" i="22" s="1"/>
  <c r="N150" i="16"/>
  <c r="F464" i="22"/>
  <c r="N200" i="16"/>
  <c r="E336" i="22"/>
  <c r="G336" i="22" s="1"/>
  <c r="N156" i="16"/>
  <c r="P23" i="23"/>
  <c r="D528" i="22"/>
  <c r="G1065" i="22"/>
  <c r="P40" i="23" s="1"/>
  <c r="L27" i="23"/>
  <c r="F645" i="22"/>
  <c r="E645" i="22"/>
  <c r="L30" i="23"/>
  <c r="N27" i="23"/>
  <c r="F647" i="22"/>
  <c r="E647" i="22"/>
  <c r="F338" i="22"/>
  <c r="E338" i="22"/>
  <c r="G338" i="22" s="1"/>
  <c r="P156" i="16"/>
  <c r="G402" i="22"/>
  <c r="P238" i="16"/>
  <c r="F402" i="22"/>
  <c r="P198" i="16"/>
  <c r="C58" i="22"/>
  <c r="D58" i="22" s="1"/>
  <c r="P147" i="16"/>
  <c r="O10" i="23"/>
  <c r="D120" i="22"/>
  <c r="G941" i="22"/>
  <c r="T36" i="23" s="1"/>
  <c r="B318" i="16"/>
  <c r="B15" i="18" s="1"/>
  <c r="B143" i="18" s="1"/>
  <c r="L33" i="23"/>
  <c r="G837" i="22"/>
  <c r="F837" i="22"/>
  <c r="I469" i="22"/>
  <c r="D93" i="22"/>
  <c r="F93" i="22" s="1"/>
  <c r="S148" i="16"/>
  <c r="C153" i="22"/>
  <c r="D153" i="22" s="1"/>
  <c r="S150" i="16"/>
  <c r="S198" i="16"/>
  <c r="F405" i="22"/>
  <c r="E38" i="19"/>
  <c r="E97" i="19" s="1"/>
  <c r="B42" i="17"/>
  <c r="G1062" i="22"/>
  <c r="M40" i="23" s="1"/>
  <c r="I400" i="22"/>
  <c r="E243" i="22"/>
  <c r="E183" i="22"/>
  <c r="F342" i="22"/>
  <c r="H90" i="19"/>
  <c r="H443" i="22" s="1"/>
  <c r="H445" i="22" s="1"/>
  <c r="L32" i="23"/>
  <c r="E44" i="19"/>
  <c r="E103" i="19" s="1"/>
  <c r="B48" i="17"/>
  <c r="G807" i="22"/>
  <c r="N32" i="23" s="1"/>
  <c r="N13" i="23"/>
  <c r="D211" i="22"/>
  <c r="E616" i="22"/>
  <c r="F616" i="22"/>
  <c r="E840" i="22"/>
  <c r="O22" i="23"/>
  <c r="D497" i="22"/>
  <c r="I439" i="22"/>
  <c r="C24" i="18"/>
  <c r="B185" i="18" s="1"/>
  <c r="G1069" i="22"/>
  <c r="T40" i="23" s="1"/>
  <c r="T33" i="23"/>
  <c r="G845" i="22"/>
  <c r="F845" i="22"/>
  <c r="G781" i="22"/>
  <c r="H781" i="22"/>
  <c r="T24" i="23"/>
  <c r="D562" i="22"/>
  <c r="C13" i="18"/>
  <c r="B174" i="18" s="1"/>
  <c r="L25" i="23"/>
  <c r="L39" i="23"/>
  <c r="J1029" i="22"/>
  <c r="I1029" i="22"/>
  <c r="F271" i="22"/>
  <c r="L9" i="23"/>
  <c r="H87" i="22"/>
  <c r="G87" i="22"/>
  <c r="R13" i="23"/>
  <c r="D215" i="22"/>
  <c r="B22" i="18"/>
  <c r="B150" i="18" s="1"/>
  <c r="E159" i="19"/>
  <c r="E913" i="22"/>
  <c r="E915" i="22" s="1"/>
  <c r="P29" i="23"/>
  <c r="G713" i="22"/>
  <c r="P10" i="23"/>
  <c r="D121" i="22"/>
  <c r="C59" i="22"/>
  <c r="D59" i="22" s="1"/>
  <c r="Q147" i="16"/>
  <c r="G467" i="22"/>
  <c r="Q240" i="16"/>
  <c r="Q239" i="16"/>
  <c r="G435" i="22"/>
  <c r="T157" i="16"/>
  <c r="E374" i="22"/>
  <c r="G374" i="22" s="1"/>
  <c r="D278" i="22"/>
  <c r="F278" i="22" s="1"/>
  <c r="T154" i="16"/>
  <c r="F470" i="22"/>
  <c r="T200" i="16"/>
  <c r="S23" i="23"/>
  <c r="D531" i="22"/>
  <c r="U29" i="23"/>
  <c r="G718" i="22"/>
  <c r="F718" i="22"/>
  <c r="E305" i="22"/>
  <c r="E273" i="22"/>
  <c r="G1032" i="22"/>
  <c r="H1032" i="22"/>
  <c r="G712" i="22"/>
  <c r="F712" i="22"/>
  <c r="O24" i="23"/>
  <c r="D557" i="22"/>
  <c r="G1037" i="22"/>
  <c r="H1037" i="22"/>
  <c r="C322" i="16"/>
  <c r="F439" i="22"/>
  <c r="U199" i="16"/>
  <c r="G439" i="22"/>
  <c r="U239" i="16"/>
  <c r="F471" i="22"/>
  <c r="U200" i="16"/>
  <c r="D311" i="22"/>
  <c r="F311" i="22" s="1"/>
  <c r="U155" i="16"/>
  <c r="F239" i="22"/>
  <c r="R29" i="23"/>
  <c r="G715" i="22"/>
  <c r="F715" i="22"/>
  <c r="R27" i="23"/>
  <c r="F651" i="22"/>
  <c r="E651" i="22"/>
  <c r="R24" i="23"/>
  <c r="D560" i="22"/>
  <c r="E47" i="19"/>
  <c r="E106" i="19" s="1"/>
  <c r="B51" i="17"/>
  <c r="U31" i="23"/>
  <c r="J782" i="22"/>
  <c r="I782" i="22"/>
  <c r="G908" i="22"/>
  <c r="H908" i="22"/>
  <c r="S22" i="23"/>
  <c r="D501" i="22"/>
  <c r="S10" i="23"/>
  <c r="D124" i="22"/>
  <c r="L35" i="23"/>
  <c r="J901" i="22"/>
  <c r="I901" i="22"/>
  <c r="E39" i="19"/>
  <c r="E98" i="19" s="1"/>
  <c r="U39" i="23"/>
  <c r="J1038" i="22"/>
  <c r="I1038" i="22"/>
  <c r="I401" i="22"/>
  <c r="O154" i="16"/>
  <c r="D273" i="22"/>
  <c r="F273" i="22" s="1"/>
  <c r="E369" i="22"/>
  <c r="G369" i="22" s="1"/>
  <c r="O157" i="16"/>
  <c r="C149" i="22"/>
  <c r="D149" i="22" s="1"/>
  <c r="O150" i="16"/>
  <c r="B326" i="16"/>
  <c r="B320" i="16"/>
  <c r="B328" i="16"/>
  <c r="T23" i="23"/>
  <c r="D532" i="22"/>
  <c r="T10" i="23"/>
  <c r="D125" i="22"/>
  <c r="F341" i="22"/>
  <c r="G464" i="22"/>
  <c r="N240" i="16"/>
  <c r="E368" i="22"/>
  <c r="G368" i="22" s="1"/>
  <c r="N157" i="16"/>
  <c r="G1033" i="22"/>
  <c r="H1033" i="22"/>
  <c r="G940" i="22"/>
  <c r="S36" i="23" s="1"/>
  <c r="G1036" i="22"/>
  <c r="H1036" i="22"/>
  <c r="L29" i="23"/>
  <c r="G709" i="22"/>
  <c r="F709" i="22"/>
  <c r="E30" i="19"/>
  <c r="E89" i="19" s="1"/>
  <c r="E104" i="19"/>
  <c r="E158" i="19" s="1"/>
  <c r="E344" i="19" s="1"/>
  <c r="L36" i="23"/>
  <c r="N23" i="23"/>
  <c r="D526" i="22"/>
  <c r="F337" i="22"/>
  <c r="E242" i="22"/>
  <c r="P157" i="16"/>
  <c r="E370" i="22"/>
  <c r="G370" i="22" s="1"/>
  <c r="D306" i="22"/>
  <c r="F306" i="22" s="1"/>
  <c r="P155" i="16"/>
  <c r="E187" i="22"/>
  <c r="B323" i="16"/>
  <c r="B20" i="18" s="1"/>
  <c r="B148" i="18" s="1"/>
  <c r="C323" i="16"/>
  <c r="L31" i="23"/>
  <c r="J773" i="22"/>
  <c r="I773" i="22"/>
  <c r="E843" i="22"/>
  <c r="E620" i="22"/>
  <c r="F620" i="22"/>
  <c r="D245" i="22"/>
  <c r="F245" i="22" s="1"/>
  <c r="S153" i="16"/>
  <c r="G405" i="22"/>
  <c r="S238" i="16"/>
  <c r="S239" i="16"/>
  <c r="G437" i="22"/>
  <c r="F469" i="22"/>
  <c r="S200" i="16"/>
  <c r="F437" i="22"/>
  <c r="S199" i="16"/>
  <c r="E42" i="19"/>
  <c r="E101" i="19" s="1"/>
  <c r="G806" i="22"/>
  <c r="M32" i="23" s="1"/>
  <c r="I467" i="22"/>
  <c r="L24" i="23"/>
  <c r="D554" i="22"/>
  <c r="B44" i="18"/>
  <c r="B172" i="18" s="1"/>
  <c r="B51" i="19"/>
  <c r="B110" i="19" s="1"/>
  <c r="B40" i="18"/>
  <c r="B168" i="18" s="1"/>
  <c r="B47" i="19"/>
  <c r="B106" i="19" s="1"/>
  <c r="E50" i="19"/>
  <c r="E109" i="19" s="1"/>
  <c r="B54" i="17"/>
  <c r="N22" i="23"/>
  <c r="D496" i="22"/>
  <c r="G903" i="22"/>
  <c r="H903" i="22"/>
  <c r="B327" i="16"/>
  <c r="D327" i="16"/>
  <c r="J399" i="22"/>
  <c r="J431" i="22"/>
  <c r="G1067" i="22"/>
  <c r="R40" i="23" s="1"/>
  <c r="F969" i="22"/>
  <c r="D91" i="22"/>
  <c r="F91" i="22" s="1"/>
  <c r="Q148" i="16"/>
  <c r="Q155" i="16"/>
  <c r="D307" i="22"/>
  <c r="F307" i="22" s="1"/>
  <c r="Q200" i="16"/>
  <c r="F467" i="22"/>
  <c r="J467" i="22" s="1"/>
  <c r="F435" i="22"/>
  <c r="J435" i="22" s="1"/>
  <c r="Q199" i="16"/>
  <c r="S27" i="23"/>
  <c r="F652" i="22"/>
  <c r="E652" i="22"/>
  <c r="G780" i="22"/>
  <c r="H780" i="22"/>
  <c r="T151" i="16"/>
  <c r="D186" i="22"/>
  <c r="F186" i="22" s="1"/>
  <c r="G406" i="22"/>
  <c r="T238" i="16"/>
  <c r="T150" i="16"/>
  <c r="C154" i="22"/>
  <c r="D154" i="22" s="1"/>
  <c r="T156" i="16"/>
  <c r="E342" i="22"/>
  <c r="G342" i="22" s="1"/>
  <c r="D310" i="22"/>
  <c r="F310" i="22" s="1"/>
  <c r="T155" i="16"/>
  <c r="V46" i="23"/>
  <c r="I466" i="22"/>
  <c r="I434" i="22"/>
  <c r="D95" i="22"/>
  <c r="F95" i="22" s="1"/>
  <c r="U148" i="16"/>
  <c r="U154" i="16"/>
  <c r="D279" i="22"/>
  <c r="F279" i="22" s="1"/>
  <c r="D187" i="22"/>
  <c r="F187" i="22" s="1"/>
  <c r="U151" i="16"/>
  <c r="C321" i="16"/>
  <c r="D55" i="22"/>
  <c r="E93" i="22"/>
  <c r="E43" i="19"/>
  <c r="E102" i="19" s="1"/>
  <c r="E49" i="19"/>
  <c r="B53" i="17"/>
  <c r="C43" i="18"/>
  <c r="B204" i="18" s="1"/>
  <c r="C50" i="19"/>
  <c r="E48" i="19"/>
  <c r="E107" i="19" s="1"/>
  <c r="B52" i="17"/>
  <c r="M13" i="23"/>
  <c r="D210" i="22"/>
  <c r="G774" i="22"/>
  <c r="H774" i="22"/>
  <c r="P22" i="23"/>
  <c r="D498" i="22"/>
  <c r="S13" i="23"/>
  <c r="D216" i="22"/>
  <c r="U26" i="23"/>
  <c r="G623" i="22"/>
  <c r="U33" i="23"/>
  <c r="G846" i="22"/>
  <c r="F846" i="22"/>
  <c r="G1031" i="22"/>
  <c r="H1031" i="22"/>
  <c r="F433" i="22"/>
  <c r="O199" i="16"/>
  <c r="O148" i="16"/>
  <c r="D89" i="22"/>
  <c r="F89" i="22" s="1"/>
  <c r="D181" i="22"/>
  <c r="F181" i="22" s="1"/>
  <c r="O151" i="16"/>
  <c r="O23" i="23"/>
  <c r="D527" i="22"/>
  <c r="F370" i="22"/>
  <c r="I407" i="22"/>
  <c r="T13" i="23"/>
  <c r="D217" i="22"/>
  <c r="I471" i="22"/>
  <c r="F375" i="22"/>
  <c r="F303" i="22"/>
  <c r="I437" i="22"/>
  <c r="R22" i="23"/>
  <c r="D500" i="22"/>
  <c r="U27" i="23"/>
  <c r="F654" i="22"/>
  <c r="E654" i="22"/>
  <c r="L34" i="23"/>
  <c r="G902" i="22"/>
  <c r="H902" i="22"/>
  <c r="N154" i="16"/>
  <c r="D272" i="22"/>
  <c r="F272" i="22" s="1"/>
  <c r="G432" i="22"/>
  <c r="N239" i="16"/>
  <c r="N238" i="16"/>
  <c r="G400" i="22"/>
  <c r="N151" i="16"/>
  <c r="D180" i="22"/>
  <c r="F180" i="22" s="1"/>
  <c r="P33" i="23"/>
  <c r="G841" i="22"/>
  <c r="F841" i="22"/>
  <c r="F371" i="22"/>
  <c r="S24" i="23"/>
  <c r="D561" i="22"/>
  <c r="L37" i="23"/>
  <c r="G965" i="22"/>
  <c r="F965" i="22"/>
  <c r="U21" i="23"/>
  <c r="L472" i="22"/>
  <c r="M472" i="22"/>
  <c r="K472" i="22"/>
  <c r="E40" i="19"/>
  <c r="E99" i="19" s="1"/>
  <c r="B44" i="17"/>
  <c r="E839" i="22"/>
  <c r="N24" i="23"/>
  <c r="D556" i="22"/>
  <c r="F434" i="22"/>
  <c r="P199" i="16"/>
  <c r="C150" i="22"/>
  <c r="D150" i="22" s="1"/>
  <c r="P150" i="16"/>
  <c r="P148" i="16"/>
  <c r="D90" i="22"/>
  <c r="F90" i="22" s="1"/>
  <c r="P154" i="16"/>
  <c r="D274" i="22"/>
  <c r="F274" i="22" s="1"/>
  <c r="D326" i="16"/>
  <c r="L26" i="23"/>
  <c r="G614" i="22"/>
  <c r="L11" i="23"/>
  <c r="E147" i="22"/>
  <c r="F147" i="22"/>
  <c r="S157" i="16"/>
  <c r="E373" i="22"/>
  <c r="G373" i="22" s="1"/>
  <c r="S155" i="16"/>
  <c r="D309" i="22"/>
  <c r="F309" i="22" s="1"/>
  <c r="D185" i="22"/>
  <c r="F185" i="22" s="1"/>
  <c r="S151" i="16"/>
  <c r="I464" i="22"/>
  <c r="E88" i="22"/>
  <c r="G777" i="22"/>
  <c r="H777" i="22"/>
  <c r="G809" i="22"/>
  <c r="P32" i="23" s="1"/>
  <c r="F374" i="22"/>
  <c r="B55" i="17"/>
  <c r="L28" i="23"/>
  <c r="H775" i="22"/>
  <c r="G775" i="22"/>
  <c r="G808" i="22"/>
  <c r="O32" i="23" s="1"/>
  <c r="B18" i="18"/>
  <c r="B146" i="18" s="1"/>
  <c r="C328" i="16"/>
  <c r="C25" i="18" s="1"/>
  <c r="B186" i="18" s="1"/>
  <c r="T37" i="23"/>
  <c r="G973" i="22"/>
  <c r="F973" i="22"/>
  <c r="L22" i="23"/>
  <c r="D494" i="22"/>
  <c r="J463" i="22"/>
  <c r="R37" i="23"/>
  <c r="G971" i="22"/>
  <c r="F971" i="22"/>
  <c r="L13" i="23"/>
  <c r="D209" i="22"/>
  <c r="U20" i="23"/>
  <c r="L440" i="22"/>
  <c r="M440" i="22"/>
  <c r="K440" i="22"/>
  <c r="U37" i="23"/>
  <c r="G974" i="22"/>
  <c r="F974" i="22"/>
  <c r="G934" i="22"/>
  <c r="M36" i="23" s="1"/>
  <c r="M27" i="23"/>
  <c r="F646" i="22"/>
  <c r="E646" i="22"/>
  <c r="M23" i="23"/>
  <c r="D525" i="22"/>
  <c r="M37" i="23"/>
  <c r="G966" i="22"/>
  <c r="F966" i="22"/>
  <c r="M24" i="23"/>
  <c r="D555" i="22"/>
  <c r="P24" i="23"/>
  <c r="D558" i="22"/>
  <c r="Q154" i="16"/>
  <c r="D275" i="22"/>
  <c r="F275" i="22" s="1"/>
  <c r="F403" i="22"/>
  <c r="Q198" i="16"/>
  <c r="Q151" i="16"/>
  <c r="D183" i="22"/>
  <c r="F183" i="22" s="1"/>
  <c r="Q238" i="16"/>
  <c r="G403" i="22"/>
  <c r="E94" i="22"/>
  <c r="G438" i="22"/>
  <c r="T239" i="16"/>
  <c r="D94" i="22"/>
  <c r="F94" i="22" s="1"/>
  <c r="T148" i="16"/>
  <c r="G470" i="22"/>
  <c r="T240" i="16"/>
  <c r="D246" i="22"/>
  <c r="F246" i="22" s="1"/>
  <c r="T153" i="16"/>
  <c r="U19" i="23"/>
  <c r="L408" i="22"/>
  <c r="M408" i="22"/>
  <c r="K408" i="22"/>
  <c r="L40" i="23"/>
  <c r="E967" i="22"/>
  <c r="F369" i="22"/>
  <c r="G776" i="22"/>
  <c r="H776" i="22"/>
  <c r="T22" i="23"/>
  <c r="D502" i="22"/>
  <c r="G909" i="22"/>
  <c r="H909" i="22"/>
  <c r="U238" i="16"/>
  <c r="G407" i="22"/>
  <c r="F407" i="22"/>
  <c r="U198" i="16"/>
  <c r="U153" i="16"/>
  <c r="D247" i="22"/>
  <c r="F247" i="22" s="1"/>
  <c r="U147" i="16"/>
  <c r="C63" i="22"/>
  <c r="D63" i="22" s="1"/>
  <c r="E618" i="22"/>
  <c r="F618" i="22"/>
  <c r="I403" i="22"/>
  <c r="E621" i="22"/>
  <c r="F621" i="22"/>
  <c r="O156" i="16"/>
  <c r="E337" i="22"/>
  <c r="G337" i="22" s="1"/>
  <c r="O240" i="16"/>
  <c r="G465" i="22"/>
  <c r="G433" i="22"/>
  <c r="O239" i="16"/>
  <c r="O238" i="16"/>
  <c r="G401" i="22"/>
  <c r="O198" i="16"/>
  <c r="F401" i="22"/>
  <c r="G904" i="22"/>
  <c r="H904" i="22"/>
  <c r="G1064" i="22"/>
  <c r="O40" i="23" s="1"/>
  <c r="D328" i="16"/>
  <c r="F622" i="22"/>
  <c r="E622" i="22"/>
  <c r="B322" i="16"/>
  <c r="E309" i="22"/>
  <c r="F373" i="22"/>
  <c r="G907" i="22"/>
  <c r="H907" i="22"/>
  <c r="U35" i="23"/>
  <c r="J910" i="22"/>
  <c r="I910" i="22"/>
  <c r="N155" i="16"/>
  <c r="D304" i="22"/>
  <c r="F304" i="22" s="1"/>
  <c r="F432" i="22"/>
  <c r="N199" i="16"/>
  <c r="C56" i="22"/>
  <c r="D56" i="22" s="1"/>
  <c r="N147" i="16"/>
  <c r="F400" i="22"/>
  <c r="N198" i="16"/>
  <c r="G1030" i="22"/>
  <c r="H1030" i="22"/>
  <c r="S29" i="23"/>
  <c r="G716" i="22"/>
  <c r="F716" i="22"/>
  <c r="I438" i="22"/>
  <c r="E100" i="19"/>
  <c r="E154" i="19" s="1"/>
  <c r="E333" i="19" s="1"/>
  <c r="G434" i="22"/>
  <c r="P239" i="16"/>
  <c r="P151" i="16"/>
  <c r="D182" i="22"/>
  <c r="F182" i="22" s="1"/>
  <c r="P153" i="16"/>
  <c r="D242" i="22"/>
  <c r="F242" i="22" s="1"/>
  <c r="F466" i="22"/>
  <c r="P200" i="16"/>
  <c r="G466" i="22"/>
  <c r="P240" i="16"/>
  <c r="E717" i="22"/>
  <c r="C326" i="16"/>
  <c r="C23" i="18" s="1"/>
  <c r="B184" i="18" s="1"/>
  <c r="T27" i="23"/>
  <c r="F653" i="22"/>
  <c r="E653" i="22"/>
  <c r="L18" i="23"/>
  <c r="I367" i="22"/>
  <c r="H367" i="22"/>
  <c r="R23" i="23"/>
  <c r="D530" i="22"/>
  <c r="E185" i="22"/>
  <c r="D277" i="22"/>
  <c r="F277" i="22" s="1"/>
  <c r="S154" i="16"/>
  <c r="G469" i="22"/>
  <c r="S240" i="16"/>
  <c r="C61" i="22"/>
  <c r="D61" i="22" s="1"/>
  <c r="S147" i="16"/>
  <c r="E341" i="22"/>
  <c r="G341" i="22" s="1"/>
  <c r="S156" i="16"/>
  <c r="R10" i="23"/>
  <c r="D123" i="22"/>
  <c r="L23" i="23"/>
  <c r="D524" i="22"/>
  <c r="M10" i="23"/>
  <c r="D118" i="22"/>
  <c r="P13" i="23"/>
  <c r="D213" i="22"/>
  <c r="E307" i="22"/>
  <c r="G937" i="22"/>
  <c r="P36" i="23" s="1"/>
  <c r="G905" i="22"/>
  <c r="H905" i="22"/>
  <c r="S33" i="23"/>
  <c r="G844" i="22"/>
  <c r="F844" i="22"/>
  <c r="I406" i="22"/>
  <c r="E145" i="19"/>
  <c r="E475" i="22"/>
  <c r="E164" i="19"/>
  <c r="E359" i="19" s="1"/>
  <c r="E1073" i="22"/>
  <c r="E1075" i="22" s="1"/>
  <c r="H144" i="19" l="1"/>
  <c r="B29" i="18"/>
  <c r="B157" i="18" s="1"/>
  <c r="G969" i="22"/>
  <c r="J471" i="22"/>
  <c r="B27" i="18"/>
  <c r="B155" i="18" s="1"/>
  <c r="D36" i="18"/>
  <c r="B230" i="18" s="1"/>
  <c r="B46" i="17"/>
  <c r="D47" i="19"/>
  <c r="J400" i="22"/>
  <c r="J432" i="22"/>
  <c r="U46" i="23"/>
  <c r="H153" i="19"/>
  <c r="B47" i="17"/>
  <c r="B32" i="18"/>
  <c r="B160" i="18" s="1"/>
  <c r="B49" i="19"/>
  <c r="B43" i="17"/>
  <c r="J402" i="22"/>
  <c r="F328" i="16"/>
  <c r="F326" i="16"/>
  <c r="F327" i="16"/>
  <c r="G326" i="16"/>
  <c r="G30" i="19" s="1"/>
  <c r="G328" i="16"/>
  <c r="G32" i="19" s="1"/>
  <c r="J437" i="22"/>
  <c r="B43" i="19"/>
  <c r="B102" i="19" s="1"/>
  <c r="E322" i="16"/>
  <c r="E26" i="19" s="1"/>
  <c r="G327" i="16"/>
  <c r="G31" i="19" s="1"/>
  <c r="E321" i="16"/>
  <c r="B41" i="17"/>
  <c r="E315" i="16"/>
  <c r="B23" i="17" s="1"/>
  <c r="J401" i="22"/>
  <c r="E319" i="16"/>
  <c r="C42" i="19"/>
  <c r="C101" i="19" s="1"/>
  <c r="E323" i="16"/>
  <c r="E316" i="16"/>
  <c r="E324" i="16"/>
  <c r="E23" i="19"/>
  <c r="E82" i="19" s="1"/>
  <c r="B27" i="17"/>
  <c r="F32" i="19"/>
  <c r="B36" i="17"/>
  <c r="E20" i="19"/>
  <c r="E79" i="19" s="1"/>
  <c r="B24" i="17"/>
  <c r="F30" i="19"/>
  <c r="F31" i="19"/>
  <c r="B35" i="17"/>
  <c r="G91" i="19"/>
  <c r="G475" i="22" s="1"/>
  <c r="G477" i="22" s="1"/>
  <c r="E28" i="19"/>
  <c r="E87" i="19" s="1"/>
  <c r="B32" i="17"/>
  <c r="G90" i="19"/>
  <c r="G443" i="22" s="1"/>
  <c r="G445" i="22" s="1"/>
  <c r="B29" i="17"/>
  <c r="E25" i="19"/>
  <c r="E300" i="19"/>
  <c r="E299" i="19"/>
  <c r="D184" i="18"/>
  <c r="O12" i="23"/>
  <c r="H182" i="22"/>
  <c r="G182" i="22"/>
  <c r="O35" i="23"/>
  <c r="J904" i="22"/>
  <c r="I904" i="22"/>
  <c r="T14" i="23"/>
  <c r="H247" i="22"/>
  <c r="G247" i="22"/>
  <c r="P12" i="23"/>
  <c r="H183" i="22"/>
  <c r="G183" i="22"/>
  <c r="P15" i="23"/>
  <c r="H275" i="22"/>
  <c r="G275" i="22"/>
  <c r="L21" i="23"/>
  <c r="L463" i="22"/>
  <c r="M463" i="22"/>
  <c r="K463" i="22"/>
  <c r="D146" i="18"/>
  <c r="R12" i="23"/>
  <c r="H185" i="22"/>
  <c r="G185" i="22"/>
  <c r="O9" i="23"/>
  <c r="H90" i="22"/>
  <c r="G90" i="22"/>
  <c r="N33" i="23"/>
  <c r="G839" i="22"/>
  <c r="F839" i="22"/>
  <c r="M15" i="23"/>
  <c r="H272" i="22"/>
  <c r="G272" i="22"/>
  <c r="E161" i="19"/>
  <c r="C977" i="22"/>
  <c r="C979" i="22" s="1"/>
  <c r="E108" i="19"/>
  <c r="E162" i="19" s="1"/>
  <c r="E354" i="19" s="1"/>
  <c r="S17" i="23"/>
  <c r="I342" i="22"/>
  <c r="H342" i="22"/>
  <c r="S31" i="23"/>
  <c r="J780" i="22"/>
  <c r="I780" i="22"/>
  <c r="P9" i="23"/>
  <c r="H91" i="22"/>
  <c r="G91" i="22"/>
  <c r="E163" i="19"/>
  <c r="E1041" i="22"/>
  <c r="E1043" i="22" s="1"/>
  <c r="D172" i="18"/>
  <c r="J469" i="22"/>
  <c r="D148" i="18"/>
  <c r="O18" i="23"/>
  <c r="I370" i="22"/>
  <c r="H370" i="22"/>
  <c r="F141" i="21"/>
  <c r="G42" i="20"/>
  <c r="S39" i="23"/>
  <c r="J1036" i="22"/>
  <c r="I1036" i="22"/>
  <c r="B25" i="18"/>
  <c r="B153" i="18" s="1"/>
  <c r="N11" i="23"/>
  <c r="E149" i="22"/>
  <c r="F149" i="22"/>
  <c r="S18" i="23"/>
  <c r="I374" i="22"/>
  <c r="H374" i="22"/>
  <c r="D185" i="18"/>
  <c r="O33" i="23"/>
  <c r="G840" i="22"/>
  <c r="F840" i="22"/>
  <c r="J405" i="22"/>
  <c r="D143" i="18"/>
  <c r="M9" i="23"/>
  <c r="H88" i="22"/>
  <c r="G88" i="22"/>
  <c r="N16" i="23"/>
  <c r="H305" i="22"/>
  <c r="G305" i="22"/>
  <c r="R39" i="23"/>
  <c r="J1035" i="22"/>
  <c r="I1035" i="22"/>
  <c r="T17" i="23"/>
  <c r="I343" i="22"/>
  <c r="H343" i="22"/>
  <c r="P17" i="23"/>
  <c r="I339" i="22"/>
  <c r="H339" i="22"/>
  <c r="P18" i="23"/>
  <c r="I371" i="22"/>
  <c r="H371" i="22"/>
  <c r="B99" i="19"/>
  <c r="B721" i="22" s="1"/>
  <c r="D177" i="18"/>
  <c r="D140" i="18"/>
  <c r="D230" i="18"/>
  <c r="D166" i="18"/>
  <c r="B107" i="19"/>
  <c r="B977" i="22" s="1"/>
  <c r="B151" i="19"/>
  <c r="B657" i="22"/>
  <c r="D163" i="18"/>
  <c r="D101" i="19"/>
  <c r="D785" i="22" s="1"/>
  <c r="D787" i="22" s="1"/>
  <c r="D105" i="19"/>
  <c r="D913" i="22" s="1"/>
  <c r="D915" i="22" s="1"/>
  <c r="D224" i="18"/>
  <c r="B103" i="19"/>
  <c r="B849" i="22" s="1"/>
  <c r="D197" i="18"/>
  <c r="B108" i="19"/>
  <c r="B1009" i="22" s="1"/>
  <c r="D237" i="18"/>
  <c r="E477" i="22"/>
  <c r="R17" i="23"/>
  <c r="I341" i="22"/>
  <c r="H341" i="22"/>
  <c r="T29" i="23"/>
  <c r="G717" i="22"/>
  <c r="F717" i="22"/>
  <c r="J466" i="22"/>
  <c r="M19" i="23"/>
  <c r="L400" i="22"/>
  <c r="M400" i="22"/>
  <c r="K400" i="22"/>
  <c r="M20" i="23"/>
  <c r="L432" i="22"/>
  <c r="M432" i="22"/>
  <c r="K432" i="22"/>
  <c r="R35" i="23"/>
  <c r="J907" i="22"/>
  <c r="I907" i="22"/>
  <c r="T26" i="23"/>
  <c r="G622" i="22"/>
  <c r="P26" i="23"/>
  <c r="G618" i="22"/>
  <c r="N37" i="23"/>
  <c r="G967" i="22"/>
  <c r="F967" i="22"/>
  <c r="P31" i="23"/>
  <c r="J777" i="22"/>
  <c r="I777" i="22"/>
  <c r="R16" i="23"/>
  <c r="H309" i="22"/>
  <c r="G309" i="22"/>
  <c r="D23" i="18"/>
  <c r="B217" i="18" s="1"/>
  <c r="J434" i="22"/>
  <c r="L16" i="23"/>
  <c r="H303" i="22"/>
  <c r="G303" i="22"/>
  <c r="N12" i="23"/>
  <c r="H181" i="22"/>
  <c r="G181" i="22"/>
  <c r="J433" i="22"/>
  <c r="C109" i="19"/>
  <c r="C1041" i="22" s="1"/>
  <c r="C1043" i="22" s="1"/>
  <c r="L8" i="23"/>
  <c r="E55" i="22"/>
  <c r="F55" i="22"/>
  <c r="T12" i="23"/>
  <c r="H187" i="22"/>
  <c r="G187" i="22"/>
  <c r="T9" i="23"/>
  <c r="H95" i="22"/>
  <c r="G95" i="22"/>
  <c r="P16" i="23"/>
  <c r="H307" i="22"/>
  <c r="G307" i="22"/>
  <c r="L19" i="23"/>
  <c r="L399" i="22"/>
  <c r="M399" i="22"/>
  <c r="K399" i="22"/>
  <c r="D24" i="18"/>
  <c r="B218" i="18" s="1"/>
  <c r="B160" i="19"/>
  <c r="B349" i="19" s="1"/>
  <c r="B945" i="22"/>
  <c r="R33" i="23"/>
  <c r="G843" i="22"/>
  <c r="F843" i="22"/>
  <c r="C881" i="22"/>
  <c r="C883" i="22" s="1"/>
  <c r="E325" i="16"/>
  <c r="B28" i="17"/>
  <c r="B17" i="18"/>
  <c r="B145" i="18" s="1"/>
  <c r="L14" i="23"/>
  <c r="H239" i="22"/>
  <c r="G239" i="22"/>
  <c r="T21" i="23"/>
  <c r="L471" i="22"/>
  <c r="M471" i="22"/>
  <c r="K471" i="22"/>
  <c r="J439" i="22"/>
  <c r="J470" i="22"/>
  <c r="D150" i="18"/>
  <c r="L15" i="23"/>
  <c r="H271" i="22"/>
  <c r="G271" i="22"/>
  <c r="T31" i="23"/>
  <c r="J781" i="22"/>
  <c r="I781" i="22"/>
  <c r="N26" i="23"/>
  <c r="G616" i="22"/>
  <c r="R9" i="23"/>
  <c r="H93" i="22"/>
  <c r="G93" i="22"/>
  <c r="O8" i="23"/>
  <c r="E58" i="22"/>
  <c r="F58" i="22"/>
  <c r="J464" i="22"/>
  <c r="N14" i="23"/>
  <c r="H241" i="22"/>
  <c r="G241" i="22"/>
  <c r="E144" i="19"/>
  <c r="E443" i="22"/>
  <c r="T18" i="23"/>
  <c r="I375" i="22"/>
  <c r="H375" i="22"/>
  <c r="O26" i="23"/>
  <c r="G617" i="22"/>
  <c r="S8" i="23"/>
  <c r="E62" i="22"/>
  <c r="F62" i="22"/>
  <c r="J406" i="22"/>
  <c r="D196" i="18"/>
  <c r="D142" i="18"/>
  <c r="H161" i="19"/>
  <c r="B98" i="19"/>
  <c r="B689" i="22" s="1"/>
  <c r="D106" i="19"/>
  <c r="D945" i="22" s="1"/>
  <c r="D947" i="22" s="1"/>
  <c r="B100" i="19"/>
  <c r="B753" i="22" s="1"/>
  <c r="C106" i="19"/>
  <c r="C945" i="22" s="1"/>
  <c r="C947" i="22" s="1"/>
  <c r="B104" i="19"/>
  <c r="B881" i="22" s="1"/>
  <c r="D171" i="18"/>
  <c r="H163" i="19"/>
  <c r="D238" i="18"/>
  <c r="B101" i="19"/>
  <c r="B785" i="22" s="1"/>
  <c r="D229" i="18"/>
  <c r="D167" i="18"/>
  <c r="H159" i="19"/>
  <c r="C102" i="19"/>
  <c r="C817" i="22" s="1"/>
  <c r="C819" i="22" s="1"/>
  <c r="H157" i="19"/>
  <c r="C110" i="19"/>
  <c r="C164" i="19" s="1"/>
  <c r="C359" i="19" s="1"/>
  <c r="D170" i="18"/>
  <c r="D154" i="18"/>
  <c r="O14" i="23"/>
  <c r="H242" i="22"/>
  <c r="G242" i="22"/>
  <c r="G38" i="20"/>
  <c r="F130" i="21"/>
  <c r="M39" i="23"/>
  <c r="J1030" i="22"/>
  <c r="I1030" i="22"/>
  <c r="M16" i="23"/>
  <c r="H304" i="22"/>
  <c r="G304" i="22"/>
  <c r="D25" i="18"/>
  <c r="B219" i="18" s="1"/>
  <c r="N19" i="23"/>
  <c r="L401" i="22"/>
  <c r="M401" i="22"/>
  <c r="K401" i="22"/>
  <c r="N17" i="23"/>
  <c r="I337" i="22"/>
  <c r="H337" i="22"/>
  <c r="S26" i="23"/>
  <c r="G621" i="22"/>
  <c r="T8" i="23"/>
  <c r="F63" i="22"/>
  <c r="E63" i="22"/>
  <c r="T35" i="23"/>
  <c r="J909" i="22"/>
  <c r="I909" i="22"/>
  <c r="O31" i="23"/>
  <c r="J776" i="22"/>
  <c r="I776" i="22"/>
  <c r="S14" i="23"/>
  <c r="H246" i="22"/>
  <c r="G246" i="22"/>
  <c r="S9" i="23"/>
  <c r="H94" i="22"/>
  <c r="G94" i="22"/>
  <c r="D186" i="18"/>
  <c r="O15" i="23"/>
  <c r="H274" i="22"/>
  <c r="G274" i="22"/>
  <c r="E153" i="19"/>
  <c r="C721" i="22"/>
  <c r="C723" i="22" s="1"/>
  <c r="M12" i="23"/>
  <c r="H180" i="22"/>
  <c r="G180" i="22"/>
  <c r="M35" i="23"/>
  <c r="J902" i="22"/>
  <c r="I902" i="22"/>
  <c r="N9" i="23"/>
  <c r="H89" i="22"/>
  <c r="G89" i="22"/>
  <c r="N39" i="23"/>
  <c r="J1031" i="22"/>
  <c r="I1031" i="22"/>
  <c r="D204" i="18"/>
  <c r="E156" i="19"/>
  <c r="E339" i="19" s="1"/>
  <c r="E817" i="22"/>
  <c r="E819" i="22" s="1"/>
  <c r="T15" i="23"/>
  <c r="H279" i="22"/>
  <c r="G279" i="22"/>
  <c r="S11" i="23"/>
  <c r="E154" i="22"/>
  <c r="F154" i="22"/>
  <c r="S12" i="23"/>
  <c r="H186" i="22"/>
  <c r="G186" i="22"/>
  <c r="P20" i="23"/>
  <c r="L435" i="22"/>
  <c r="M435" i="22"/>
  <c r="K435" i="22"/>
  <c r="B24" i="18"/>
  <c r="B152" i="18" s="1"/>
  <c r="D168" i="18"/>
  <c r="R20" i="23"/>
  <c r="M437" i="22"/>
  <c r="L437" i="22"/>
  <c r="K437" i="22"/>
  <c r="R14" i="23"/>
  <c r="H245" i="22"/>
  <c r="G245" i="22"/>
  <c r="M18" i="23"/>
  <c r="I368" i="22"/>
  <c r="H368" i="22"/>
  <c r="B23" i="18"/>
  <c r="B151" i="18" s="1"/>
  <c r="N18" i="23"/>
  <c r="I369" i="22"/>
  <c r="H369" i="22"/>
  <c r="E152" i="19"/>
  <c r="C689" i="22"/>
  <c r="C691" i="22" s="1"/>
  <c r="B206" i="19"/>
  <c r="C19" i="18"/>
  <c r="B180" i="18" s="1"/>
  <c r="O39" i="23"/>
  <c r="J1032" i="22"/>
  <c r="I1032" i="22"/>
  <c r="D174" i="18"/>
  <c r="H296" i="19"/>
  <c r="H297" i="19"/>
  <c r="E318" i="16"/>
  <c r="M14" i="23"/>
  <c r="H240" i="22"/>
  <c r="G240" i="22"/>
  <c r="N8" i="23"/>
  <c r="F57" i="22"/>
  <c r="E57" i="22"/>
  <c r="P14" i="23"/>
  <c r="H243" i="22"/>
  <c r="G243" i="22"/>
  <c r="M26" i="23"/>
  <c r="G615" i="22"/>
  <c r="R31" i="23"/>
  <c r="J779" i="22"/>
  <c r="I779" i="22"/>
  <c r="D141" i="18"/>
  <c r="D144" i="18"/>
  <c r="D160" i="18"/>
  <c r="D234" i="18"/>
  <c r="D149" i="18"/>
  <c r="D162" i="18"/>
  <c r="D201" i="18"/>
  <c r="B109" i="19"/>
  <c r="B1041" i="22" s="1"/>
  <c r="D110" i="19"/>
  <c r="D1073" i="22" s="1"/>
  <c r="D1075" i="22" s="1"/>
  <c r="D200" i="18"/>
  <c r="H331" i="19"/>
  <c r="H330" i="19"/>
  <c r="H329" i="19"/>
  <c r="B159" i="19"/>
  <c r="B913" i="22"/>
  <c r="D205" i="18"/>
  <c r="B156" i="19"/>
  <c r="B339" i="19" s="1"/>
  <c r="B817" i="22"/>
  <c r="G48" i="20"/>
  <c r="F156" i="21"/>
  <c r="P35" i="23"/>
  <c r="J905" i="22"/>
  <c r="I905" i="22"/>
  <c r="R8" i="23"/>
  <c r="F61" i="22"/>
  <c r="E61" i="22"/>
  <c r="R15" i="23"/>
  <c r="H277" i="22"/>
  <c r="G277" i="22"/>
  <c r="C753" i="22"/>
  <c r="C755" i="22" s="1"/>
  <c r="M8" i="23"/>
  <c r="E56" i="22"/>
  <c r="F56" i="22"/>
  <c r="E27" i="19"/>
  <c r="B31" i="17"/>
  <c r="B19" i="18"/>
  <c r="B147" i="18" s="1"/>
  <c r="J407" i="22"/>
  <c r="J403" i="22"/>
  <c r="N31" i="23"/>
  <c r="J775" i="22"/>
  <c r="I775" i="22"/>
  <c r="R18" i="23"/>
  <c r="I373" i="22"/>
  <c r="H373" i="22"/>
  <c r="O11" i="23"/>
  <c r="E150" i="22"/>
  <c r="F150" i="22"/>
  <c r="M31" i="23"/>
  <c r="J774" i="22"/>
  <c r="I774" i="22"/>
  <c r="C18" i="18"/>
  <c r="B179" i="18" s="1"/>
  <c r="S16" i="23"/>
  <c r="H310" i="22"/>
  <c r="G310" i="22"/>
  <c r="P21" i="23"/>
  <c r="L467" i="22"/>
  <c r="M467" i="22"/>
  <c r="K467" i="22"/>
  <c r="L20" i="23"/>
  <c r="L431" i="22"/>
  <c r="M431" i="22"/>
  <c r="K431" i="22"/>
  <c r="N35" i="23"/>
  <c r="J903" i="22"/>
  <c r="I903" i="22"/>
  <c r="B164" i="19"/>
  <c r="B359" i="19" s="1"/>
  <c r="B1073" i="22"/>
  <c r="E155" i="19"/>
  <c r="E785" i="22"/>
  <c r="R26" i="23"/>
  <c r="G620" i="22"/>
  <c r="C20" i="18"/>
  <c r="B181" i="18" s="1"/>
  <c r="O16" i="23"/>
  <c r="H306" i="22"/>
  <c r="G306" i="22"/>
  <c r="E143" i="19"/>
  <c r="E411" i="22"/>
  <c r="P39" i="23"/>
  <c r="J1033" i="22"/>
  <c r="I1033" i="22"/>
  <c r="N15" i="23"/>
  <c r="H273" i="22"/>
  <c r="G273" i="22"/>
  <c r="S35" i="23"/>
  <c r="J908" i="22"/>
  <c r="I908" i="22"/>
  <c r="E160" i="19"/>
  <c r="E349" i="19" s="1"/>
  <c r="E945" i="22"/>
  <c r="E947" i="22" s="1"/>
  <c r="B214" i="19"/>
  <c r="T16" i="23"/>
  <c r="H311" i="22"/>
  <c r="G311" i="22"/>
  <c r="T39" i="23"/>
  <c r="J1037" i="22"/>
  <c r="I1037" i="22"/>
  <c r="S15" i="23"/>
  <c r="G278" i="22"/>
  <c r="H278" i="22"/>
  <c r="P8" i="23"/>
  <c r="F59" i="22"/>
  <c r="E59" i="22"/>
  <c r="E347" i="19"/>
  <c r="E346" i="19"/>
  <c r="E157" i="19"/>
  <c r="C849" i="22"/>
  <c r="C851" i="22" s="1"/>
  <c r="E151" i="19"/>
  <c r="C657" i="22"/>
  <c r="C659" i="22" s="1"/>
  <c r="B205" i="19"/>
  <c r="R11" i="23"/>
  <c r="E153" i="22"/>
  <c r="F153" i="22"/>
  <c r="O19" i="23"/>
  <c r="L402" i="22"/>
  <c r="M402" i="22"/>
  <c r="K402" i="22"/>
  <c r="O17" i="23"/>
  <c r="I338" i="22"/>
  <c r="H338" i="22"/>
  <c r="M17" i="23"/>
  <c r="I336" i="22"/>
  <c r="H336" i="22"/>
  <c r="M11" i="23"/>
  <c r="E148" i="22"/>
  <c r="F148" i="22"/>
  <c r="J465" i="22"/>
  <c r="T11" i="23"/>
  <c r="E155" i="22"/>
  <c r="F155" i="22"/>
  <c r="J438" i="22"/>
  <c r="P11" i="23"/>
  <c r="E151" i="22"/>
  <c r="F151" i="22"/>
  <c r="D156" i="18"/>
  <c r="D161" i="18"/>
  <c r="D102" i="19"/>
  <c r="D817" i="22" s="1"/>
  <c r="D819" i="22" s="1"/>
  <c r="H145" i="19"/>
  <c r="H155" i="19"/>
  <c r="D169" i="18"/>
  <c r="D159" i="18"/>
  <c r="D216" i="18"/>
  <c r="D215" i="18"/>
  <c r="D233" i="18"/>
  <c r="D157" i="18"/>
  <c r="C105" i="19"/>
  <c r="D158" i="18"/>
  <c r="D182" i="18"/>
  <c r="D165" i="18"/>
  <c r="H143" i="19"/>
  <c r="D155" i="18"/>
  <c r="D109" i="19"/>
  <c r="D1041" i="22" s="1"/>
  <c r="D1043" i="22" s="1"/>
  <c r="D164" i="18"/>
  <c r="C785" i="22" l="1"/>
  <c r="C787" i="22" s="1"/>
  <c r="B209" i="19"/>
  <c r="F165" i="18"/>
  <c r="H165" i="18" s="1"/>
  <c r="E19" i="19"/>
  <c r="E78" i="19" s="1"/>
  <c r="G145" i="19"/>
  <c r="B211" i="19"/>
  <c r="B207" i="19"/>
  <c r="G89" i="19"/>
  <c r="G411" i="22" s="1"/>
  <c r="G413" i="22" s="1"/>
  <c r="F157" i="18"/>
  <c r="H157" i="18" s="1"/>
  <c r="B30" i="17"/>
  <c r="B154" i="19"/>
  <c r="B333" i="19" s="1"/>
  <c r="B34" i="17"/>
  <c r="B208" i="19"/>
  <c r="F182" i="18"/>
  <c r="H182" i="18" s="1"/>
  <c r="D155" i="19"/>
  <c r="B152" i="19"/>
  <c r="F191" i="18"/>
  <c r="H191" i="18" s="1"/>
  <c r="F158" i="18"/>
  <c r="H158" i="18" s="1"/>
  <c r="F161" i="18"/>
  <c r="H161" i="18" s="1"/>
  <c r="F169" i="18"/>
  <c r="H169" i="18" s="1"/>
  <c r="F155" i="18"/>
  <c r="H155" i="18" s="1"/>
  <c r="F164" i="18"/>
  <c r="H164" i="18" s="1"/>
  <c r="B158" i="19"/>
  <c r="B344" i="19" s="1"/>
  <c r="D141" i="21" s="1"/>
  <c r="T141" i="21" s="1"/>
  <c r="C163" i="19"/>
  <c r="C155" i="19"/>
  <c r="C336" i="19" s="1"/>
  <c r="F183" i="18"/>
  <c r="H183" i="18" s="1"/>
  <c r="U141" i="21"/>
  <c r="C913" i="22"/>
  <c r="C915" i="22" s="1"/>
  <c r="B213" i="19"/>
  <c r="F233" i="18"/>
  <c r="H233" i="18" s="1"/>
  <c r="F216" i="18"/>
  <c r="H216" i="18" s="1"/>
  <c r="S20" i="23"/>
  <c r="L438" i="22"/>
  <c r="M438" i="22"/>
  <c r="K438" i="22"/>
  <c r="P19" i="23"/>
  <c r="L403" i="22"/>
  <c r="M403" i="22"/>
  <c r="K403" i="22"/>
  <c r="D147" i="18"/>
  <c r="F147" i="18"/>
  <c r="H147" i="18" s="1"/>
  <c r="J65" i="20"/>
  <c r="I127" i="21"/>
  <c r="D164" i="19"/>
  <c r="D359" i="19" s="1"/>
  <c r="F160" i="18"/>
  <c r="H160" i="18" s="1"/>
  <c r="F174" i="18"/>
  <c r="H174" i="18" s="1"/>
  <c r="D151" i="18"/>
  <c r="F151" i="18"/>
  <c r="H151" i="18" s="1"/>
  <c r="F204" i="18"/>
  <c r="H204" i="18" s="1"/>
  <c r="F170" i="18"/>
  <c r="H170" i="18" s="1"/>
  <c r="C156" i="19"/>
  <c r="C339" i="19" s="1"/>
  <c r="F167" i="18"/>
  <c r="H167" i="18" s="1"/>
  <c r="G785" i="22"/>
  <c r="G787" i="22" s="1"/>
  <c r="B787" i="22"/>
  <c r="F171" i="18"/>
  <c r="H171" i="18" s="1"/>
  <c r="C160" i="19"/>
  <c r="C349" i="19" s="1"/>
  <c r="D160" i="19"/>
  <c r="D349" i="19" s="1"/>
  <c r="H352" i="19"/>
  <c r="H351" i="19"/>
  <c r="F196" i="18"/>
  <c r="H196" i="18" s="1"/>
  <c r="E445" i="22"/>
  <c r="E29" i="19"/>
  <c r="B33" i="17"/>
  <c r="G945" i="22"/>
  <c r="B947" i="22"/>
  <c r="N20" i="23"/>
  <c r="L433" i="22"/>
  <c r="M433" i="22"/>
  <c r="K433" i="22"/>
  <c r="F217" i="18"/>
  <c r="H217" i="18" s="1"/>
  <c r="D217" i="18"/>
  <c r="B162" i="19"/>
  <c r="B354" i="19" s="1"/>
  <c r="B157" i="19"/>
  <c r="D159" i="19"/>
  <c r="F163" i="18"/>
  <c r="H163" i="18" s="1"/>
  <c r="B161" i="19"/>
  <c r="F212" i="18"/>
  <c r="H212" i="18" s="1"/>
  <c r="F203" i="18"/>
  <c r="H203" i="18" s="1"/>
  <c r="F175" i="18"/>
  <c r="H175" i="18" s="1"/>
  <c r="F190" i="18"/>
  <c r="H190" i="18" s="1"/>
  <c r="F214" i="18"/>
  <c r="H214" i="18" s="1"/>
  <c r="F208" i="18"/>
  <c r="H208" i="18" s="1"/>
  <c r="F195" i="18"/>
  <c r="H195" i="18" s="1"/>
  <c r="F202" i="18"/>
  <c r="H202" i="18" s="1"/>
  <c r="F228" i="18"/>
  <c r="H228" i="18" s="1"/>
  <c r="E721" i="22"/>
  <c r="B723" i="22"/>
  <c r="F153" i="18"/>
  <c r="H153" i="18" s="1"/>
  <c r="D153" i="18"/>
  <c r="I253" i="24"/>
  <c r="F148" i="18"/>
  <c r="H148" i="18" s="1"/>
  <c r="B215" i="19"/>
  <c r="G29" i="20"/>
  <c r="F96" i="21"/>
  <c r="E85" i="19"/>
  <c r="F90" i="19"/>
  <c r="E133" i="19"/>
  <c r="D99" i="22"/>
  <c r="N21" i="23"/>
  <c r="N46" i="23" s="1"/>
  <c r="L465" i="22"/>
  <c r="M465" i="22"/>
  <c r="K465" i="22"/>
  <c r="G43" i="20"/>
  <c r="F143" i="21"/>
  <c r="P46" i="23"/>
  <c r="G44" i="20"/>
  <c r="F146" i="21"/>
  <c r="D146" i="21"/>
  <c r="F181" i="18"/>
  <c r="H181" i="18" s="1"/>
  <c r="D181" i="18"/>
  <c r="B1075" i="22"/>
  <c r="G817" i="22"/>
  <c r="B819" i="22"/>
  <c r="H913" i="22"/>
  <c r="G913" i="22"/>
  <c r="G915" i="22" s="1"/>
  <c r="B915" i="22"/>
  <c r="I128" i="21"/>
  <c r="J86" i="20"/>
  <c r="F201" i="18"/>
  <c r="H201" i="18" s="1"/>
  <c r="F149" i="18"/>
  <c r="H149" i="18" s="1"/>
  <c r="F141" i="18"/>
  <c r="H141" i="18" s="1"/>
  <c r="I94" i="21"/>
  <c r="J77" i="20"/>
  <c r="B210" i="19"/>
  <c r="E330" i="19"/>
  <c r="E329" i="19"/>
  <c r="E331" i="19"/>
  <c r="F154" i="18"/>
  <c r="H154" i="18" s="1"/>
  <c r="N156" i="21"/>
  <c r="E48" i="20"/>
  <c r="S19" i="23"/>
  <c r="L406" i="22"/>
  <c r="M406" i="22"/>
  <c r="K406" i="22"/>
  <c r="E296" i="19"/>
  <c r="E297" i="19"/>
  <c r="F150" i="18"/>
  <c r="H150" i="18" s="1"/>
  <c r="D44" i="20"/>
  <c r="M146" i="21"/>
  <c r="L46" i="23"/>
  <c r="O21" i="23"/>
  <c r="L466" i="22"/>
  <c r="M466" i="22"/>
  <c r="K466" i="22"/>
  <c r="B1011" i="22"/>
  <c r="E849" i="22"/>
  <c r="B851" i="22"/>
  <c r="E977" i="22"/>
  <c r="B979" i="22"/>
  <c r="F230" i="18"/>
  <c r="H230" i="18" s="1"/>
  <c r="F209" i="18"/>
  <c r="H209" i="18" s="1"/>
  <c r="F231" i="18"/>
  <c r="H231" i="18" s="1"/>
  <c r="F193" i="18"/>
  <c r="H193" i="18" s="1"/>
  <c r="F223" i="18"/>
  <c r="H223" i="18" s="1"/>
  <c r="F198" i="18"/>
  <c r="H198" i="18" s="1"/>
  <c r="F227" i="18"/>
  <c r="H227" i="18" s="1"/>
  <c r="F189" i="18"/>
  <c r="H189" i="18" s="1"/>
  <c r="F210" i="18"/>
  <c r="H210" i="18" s="1"/>
  <c r="F192" i="18"/>
  <c r="H192" i="18" s="1"/>
  <c r="R19" i="23"/>
  <c r="L405" i="22"/>
  <c r="M405" i="22"/>
  <c r="K405" i="22"/>
  <c r="B217" i="19"/>
  <c r="F97" i="21"/>
  <c r="G78" i="20"/>
  <c r="F91" i="19"/>
  <c r="F145" i="19" s="1"/>
  <c r="E136" i="19"/>
  <c r="D191" i="22"/>
  <c r="H337" i="19"/>
  <c r="H335" i="19"/>
  <c r="H336" i="19"/>
  <c r="F215" i="18"/>
  <c r="H215" i="18" s="1"/>
  <c r="E341" i="19"/>
  <c r="E342" i="19"/>
  <c r="G89" i="20"/>
  <c r="F144" i="21"/>
  <c r="E413" i="22"/>
  <c r="H785" i="22"/>
  <c r="E787" i="22"/>
  <c r="M156" i="21"/>
  <c r="D48" i="20"/>
  <c r="E156" i="21"/>
  <c r="T19" i="23"/>
  <c r="L407" i="22"/>
  <c r="M407" i="22"/>
  <c r="K407" i="22"/>
  <c r="E86" i="19"/>
  <c r="E140" i="19" s="1"/>
  <c r="E282" i="19" s="1"/>
  <c r="D156" i="21"/>
  <c r="D40" i="20"/>
  <c r="M136" i="21"/>
  <c r="B347" i="19"/>
  <c r="B346" i="19"/>
  <c r="H1041" i="22"/>
  <c r="G1041" i="22"/>
  <c r="G1043" i="22" s="1"/>
  <c r="B1043" i="22"/>
  <c r="F144" i="18"/>
  <c r="H144" i="18" s="1"/>
  <c r="I93" i="21"/>
  <c r="J28" i="20"/>
  <c r="F152" i="18"/>
  <c r="H152" i="18" s="1"/>
  <c r="D152" i="18"/>
  <c r="F186" i="18"/>
  <c r="H186" i="18" s="1"/>
  <c r="D219" i="18"/>
  <c r="F219" i="18"/>
  <c r="H219" i="18" s="1"/>
  <c r="C1073" i="22"/>
  <c r="C1075" i="22" s="1"/>
  <c r="B218" i="19"/>
  <c r="H347" i="19"/>
  <c r="H346" i="19"/>
  <c r="F229" i="18"/>
  <c r="H229" i="18" s="1"/>
  <c r="F238" i="18"/>
  <c r="H238" i="18" s="1"/>
  <c r="D42" i="20"/>
  <c r="M141" i="21"/>
  <c r="E141" i="21"/>
  <c r="E130" i="21"/>
  <c r="D38" i="20"/>
  <c r="M130" i="21"/>
  <c r="B327" i="19"/>
  <c r="B326" i="19"/>
  <c r="F142" i="18"/>
  <c r="H142" i="18" s="1"/>
  <c r="M21" i="23"/>
  <c r="M46" i="23" s="1"/>
  <c r="L464" i="22"/>
  <c r="M464" i="22"/>
  <c r="K464" i="22"/>
  <c r="S21" i="23"/>
  <c r="L470" i="22"/>
  <c r="M470" i="22"/>
  <c r="K470" i="22"/>
  <c r="F145" i="18"/>
  <c r="H145" i="18" s="1"/>
  <c r="D145" i="18"/>
  <c r="B212" i="19"/>
  <c r="C356" i="19"/>
  <c r="C357" i="19"/>
  <c r="O20" i="23"/>
  <c r="L434" i="22"/>
  <c r="M434" i="22"/>
  <c r="K434" i="22"/>
  <c r="F197" i="18"/>
  <c r="H197" i="18" s="1"/>
  <c r="F224" i="18"/>
  <c r="H224" i="18" s="1"/>
  <c r="D335" i="19"/>
  <c r="D337" i="19"/>
  <c r="D336" i="19"/>
  <c r="D657" i="22"/>
  <c r="B659" i="22"/>
  <c r="F166" i="18"/>
  <c r="H166" i="18" s="1"/>
  <c r="F178" i="18"/>
  <c r="H178" i="18" s="1"/>
  <c r="F232" i="18"/>
  <c r="H232" i="18" s="1"/>
  <c r="F226" i="18"/>
  <c r="H226" i="18" s="1"/>
  <c r="F173" i="18"/>
  <c r="H173" i="18" s="1"/>
  <c r="F187" i="18"/>
  <c r="H187" i="18" s="1"/>
  <c r="F235" i="18"/>
  <c r="H235" i="18" s="1"/>
  <c r="F188" i="18"/>
  <c r="H188" i="18" s="1"/>
  <c r="F221" i="18"/>
  <c r="H221" i="18" s="1"/>
  <c r="F225" i="18"/>
  <c r="H225" i="18" s="1"/>
  <c r="F222" i="18"/>
  <c r="H222" i="18" s="1"/>
  <c r="F177" i="18"/>
  <c r="H177" i="18" s="1"/>
  <c r="C335" i="19"/>
  <c r="F185" i="18"/>
  <c r="H185" i="18" s="1"/>
  <c r="R21" i="23"/>
  <c r="L469" i="22"/>
  <c r="M469" i="22"/>
  <c r="K469" i="22"/>
  <c r="F151" i="21"/>
  <c r="G46" i="20"/>
  <c r="I263" i="24"/>
  <c r="D151" i="21"/>
  <c r="E351" i="19"/>
  <c r="E352" i="19"/>
  <c r="F89" i="19"/>
  <c r="F143" i="19" s="1"/>
  <c r="F159" i="18"/>
  <c r="H159" i="18" s="1"/>
  <c r="H299" i="19"/>
  <c r="H300" i="19"/>
  <c r="D163" i="19"/>
  <c r="H293" i="19"/>
  <c r="H294" i="19"/>
  <c r="H292" i="19"/>
  <c r="C159" i="19"/>
  <c r="D156" i="19"/>
  <c r="D339" i="19" s="1"/>
  <c r="E136" i="21" s="1"/>
  <c r="F156" i="18"/>
  <c r="H156" i="18" s="1"/>
  <c r="E323" i="19"/>
  <c r="E324" i="19"/>
  <c r="E322" i="19"/>
  <c r="E292" i="19"/>
  <c r="E294" i="19"/>
  <c r="E293" i="19"/>
  <c r="E335" i="19"/>
  <c r="E336" i="19"/>
  <c r="E337" i="19"/>
  <c r="F179" i="18"/>
  <c r="H179" i="18" s="1"/>
  <c r="D179" i="18"/>
  <c r="F205" i="18"/>
  <c r="H205" i="18" s="1"/>
  <c r="I126" i="21"/>
  <c r="J37" i="20"/>
  <c r="F200" i="18"/>
  <c r="H200" i="18" s="1"/>
  <c r="B163" i="19"/>
  <c r="F162" i="18"/>
  <c r="H162" i="18" s="1"/>
  <c r="F234" i="18"/>
  <c r="H234" i="18" s="1"/>
  <c r="E22" i="19"/>
  <c r="E81" i="19" s="1"/>
  <c r="B26" i="17"/>
  <c r="B77" i="17" s="1"/>
  <c r="F180" i="18"/>
  <c r="H180" i="18" s="1"/>
  <c r="D180" i="18"/>
  <c r="E326" i="19"/>
  <c r="E327" i="19"/>
  <c r="F168" i="18"/>
  <c r="H168" i="18" s="1"/>
  <c r="G40" i="20"/>
  <c r="F136" i="21"/>
  <c r="H342" i="19"/>
  <c r="H341" i="19"/>
  <c r="B155" i="19"/>
  <c r="H357" i="19"/>
  <c r="H356" i="19"/>
  <c r="D881" i="22"/>
  <c r="B883" i="22"/>
  <c r="D753" i="22"/>
  <c r="B755" i="22"/>
  <c r="D689" i="22"/>
  <c r="B691" i="22"/>
  <c r="O46" i="23"/>
  <c r="T20" i="23"/>
  <c r="T46" i="23" s="1"/>
  <c r="L439" i="22"/>
  <c r="M439" i="22"/>
  <c r="K439" i="22"/>
  <c r="F218" i="18"/>
  <c r="H218" i="18" s="1"/>
  <c r="D218" i="18"/>
  <c r="F237" i="18"/>
  <c r="H237" i="18" s="1"/>
  <c r="B322" i="19"/>
  <c r="B324" i="19"/>
  <c r="B323" i="19"/>
  <c r="F194" i="18"/>
  <c r="H194" i="18" s="1"/>
  <c r="F206" i="18"/>
  <c r="H206" i="18" s="1"/>
  <c r="F236" i="18"/>
  <c r="H236" i="18" s="1"/>
  <c r="F220" i="18"/>
  <c r="H220" i="18" s="1"/>
  <c r="F140" i="18"/>
  <c r="H140" i="18" s="1"/>
  <c r="F213" i="18"/>
  <c r="H213" i="18" s="1"/>
  <c r="F176" i="18"/>
  <c r="H176" i="18" s="1"/>
  <c r="F207" i="18"/>
  <c r="H207" i="18" s="1"/>
  <c r="F211" i="18"/>
  <c r="H211" i="18" s="1"/>
  <c r="F199" i="18"/>
  <c r="H199" i="18" s="1"/>
  <c r="B153" i="19"/>
  <c r="F143" i="18"/>
  <c r="H143" i="18" s="1"/>
  <c r="F172" i="18"/>
  <c r="H172" i="18" s="1"/>
  <c r="E357" i="19"/>
  <c r="E356" i="19"/>
  <c r="C1009" i="22"/>
  <c r="C1011" i="22" s="1"/>
  <c r="B216" i="19"/>
  <c r="F146" i="18"/>
  <c r="H146" i="18" s="1"/>
  <c r="F184" i="18"/>
  <c r="H184" i="18" s="1"/>
  <c r="E84" i="19"/>
  <c r="E138" i="19"/>
  <c r="G144" i="19"/>
  <c r="E141" i="19"/>
  <c r="E347" i="22"/>
  <c r="G300" i="19"/>
  <c r="G299" i="19"/>
  <c r="E132" i="19"/>
  <c r="C67" i="22"/>
  <c r="C69" i="22" s="1"/>
  <c r="E146" i="21" l="1"/>
  <c r="C337" i="19"/>
  <c r="N134" i="21" s="1"/>
  <c r="I258" i="24"/>
  <c r="G143" i="19"/>
  <c r="I242" i="24"/>
  <c r="D130" i="21"/>
  <c r="D136" i="21"/>
  <c r="S141" i="21"/>
  <c r="I165" i="18"/>
  <c r="R46" i="23"/>
  <c r="V141" i="21"/>
  <c r="S46" i="23"/>
  <c r="I146" i="18"/>
  <c r="L139" i="18"/>
  <c r="C77" i="17"/>
  <c r="B99" i="18" s="1"/>
  <c r="B110" i="18" s="1"/>
  <c r="B234" i="19"/>
  <c r="R136" i="21"/>
  <c r="P136" i="21"/>
  <c r="Q136" i="21"/>
  <c r="F293" i="19"/>
  <c r="F292" i="19"/>
  <c r="F294" i="19"/>
  <c r="F300" i="19"/>
  <c r="F299" i="19"/>
  <c r="G297" i="19"/>
  <c r="G296" i="19"/>
  <c r="F154" i="21"/>
  <c r="G91" i="20"/>
  <c r="E277" i="19"/>
  <c r="E278" i="19"/>
  <c r="E276" i="19"/>
  <c r="I29" i="20"/>
  <c r="H96" i="21"/>
  <c r="E285" i="19"/>
  <c r="E284" i="19"/>
  <c r="E286" i="19"/>
  <c r="I184" i="18"/>
  <c r="F153" i="21"/>
  <c r="G47" i="20"/>
  <c r="B331" i="19"/>
  <c r="B330" i="19"/>
  <c r="D127" i="21" s="1"/>
  <c r="B329" i="19"/>
  <c r="I238" i="24" s="1"/>
  <c r="C64" i="25" s="1"/>
  <c r="I176" i="18"/>
  <c r="I236" i="18"/>
  <c r="M121" i="21"/>
  <c r="E121" i="21"/>
  <c r="D84" i="20"/>
  <c r="I218" i="18"/>
  <c r="I153" i="21"/>
  <c r="J47" i="20"/>
  <c r="J88" i="20"/>
  <c r="I139" i="21"/>
  <c r="I234" i="18"/>
  <c r="I179" i="18"/>
  <c r="G58" i="20"/>
  <c r="F90" i="21"/>
  <c r="F121" i="21"/>
  <c r="G84" i="20"/>
  <c r="D121" i="21"/>
  <c r="I233" i="24"/>
  <c r="B325" i="24" s="1"/>
  <c r="C346" i="19"/>
  <c r="C347" i="19"/>
  <c r="D356" i="19"/>
  <c r="D357" i="19"/>
  <c r="I157" i="18"/>
  <c r="T151" i="21"/>
  <c r="V151" i="21"/>
  <c r="S151" i="21"/>
  <c r="U151" i="21"/>
  <c r="I185" i="18"/>
  <c r="I177" i="18"/>
  <c r="I188" i="18"/>
  <c r="I226" i="18"/>
  <c r="O132" i="21"/>
  <c r="F39" i="20"/>
  <c r="N153" i="21"/>
  <c r="E47" i="20"/>
  <c r="I142" i="18"/>
  <c r="J89" i="20"/>
  <c r="I144" i="21"/>
  <c r="F79" i="21"/>
  <c r="G24" i="20"/>
  <c r="I215" i="18"/>
  <c r="J39" i="20"/>
  <c r="I132" i="21"/>
  <c r="E268" i="19"/>
  <c r="E270" i="19"/>
  <c r="E269" i="19"/>
  <c r="I210" i="18"/>
  <c r="I223" i="18"/>
  <c r="I230" i="18"/>
  <c r="X33" i="23"/>
  <c r="Y33" i="23" s="1"/>
  <c r="G849" i="22"/>
  <c r="G851" i="22" s="1"/>
  <c r="F849" i="22"/>
  <c r="F851" i="22" s="1"/>
  <c r="E851" i="22"/>
  <c r="G37" i="20"/>
  <c r="F126" i="21"/>
  <c r="I201" i="18"/>
  <c r="E256" i="19"/>
  <c r="E258" i="19"/>
  <c r="E257" i="19"/>
  <c r="D283" i="22"/>
  <c r="D285" i="22" s="1"/>
  <c r="I228" i="18"/>
  <c r="I208" i="18"/>
  <c r="I203" i="18"/>
  <c r="D347" i="19"/>
  <c r="D346" i="19"/>
  <c r="I217" i="18"/>
  <c r="X36" i="23"/>
  <c r="Y36" i="23" s="1"/>
  <c r="G947" i="22"/>
  <c r="I149" i="21"/>
  <c r="J90" i="20"/>
  <c r="I170" i="18"/>
  <c r="I174" i="18"/>
  <c r="I233" i="18"/>
  <c r="I183" i="18"/>
  <c r="I191" i="18"/>
  <c r="I199" i="18"/>
  <c r="I213" i="18"/>
  <c r="I206" i="18"/>
  <c r="M119" i="21"/>
  <c r="D35" i="20"/>
  <c r="E119" i="21"/>
  <c r="X30" i="23"/>
  <c r="Y30" i="23" s="1"/>
  <c r="D755" i="22"/>
  <c r="I154" i="21"/>
  <c r="J91" i="20"/>
  <c r="I168" i="18"/>
  <c r="I180" i="18"/>
  <c r="I162" i="18"/>
  <c r="G87" i="20"/>
  <c r="F134" i="21"/>
  <c r="G76" i="20"/>
  <c r="F91" i="21"/>
  <c r="G64" i="20"/>
  <c r="F120" i="21"/>
  <c r="D120" i="21"/>
  <c r="I232" i="24"/>
  <c r="B293" i="24" s="1"/>
  <c r="I89" i="21"/>
  <c r="J27" i="20"/>
  <c r="I97" i="21"/>
  <c r="J78" i="20"/>
  <c r="I164" i="18"/>
  <c r="F411" i="22"/>
  <c r="N132" i="21"/>
  <c r="E39" i="20"/>
  <c r="I222" i="18"/>
  <c r="I235" i="18"/>
  <c r="I232" i="18"/>
  <c r="X27" i="23"/>
  <c r="Y27" i="23" s="1"/>
  <c r="F657" i="22"/>
  <c r="F659" i="22" s="1"/>
  <c r="E657" i="22"/>
  <c r="E659" i="22" s="1"/>
  <c r="D659" i="22"/>
  <c r="I224" i="18"/>
  <c r="E123" i="21"/>
  <c r="D36" i="20"/>
  <c r="M123" i="21"/>
  <c r="P130" i="21"/>
  <c r="R130" i="21"/>
  <c r="Q130" i="21"/>
  <c r="I238" i="18"/>
  <c r="I186" i="18"/>
  <c r="X39" i="23"/>
  <c r="Y39" i="23" s="1"/>
  <c r="J1041" i="22"/>
  <c r="J1043" i="22" s="1"/>
  <c r="I1041" i="22"/>
  <c r="I1043" i="22" s="1"/>
  <c r="H1043" i="22"/>
  <c r="D315" i="22"/>
  <c r="D317" i="22" s="1"/>
  <c r="I158" i="18"/>
  <c r="J87" i="20"/>
  <c r="I134" i="21"/>
  <c r="I189" i="18"/>
  <c r="I193" i="18"/>
  <c r="I150" i="18"/>
  <c r="F127" i="21"/>
  <c r="G65" i="20"/>
  <c r="I239" i="24"/>
  <c r="B295" i="24" s="1"/>
  <c r="X35" i="23"/>
  <c r="Y35" i="23" s="1"/>
  <c r="J913" i="22"/>
  <c r="J915" i="22" s="1"/>
  <c r="I913" i="22"/>
  <c r="I915" i="22" s="1"/>
  <c r="H915" i="22"/>
  <c r="I181" i="18"/>
  <c r="F443" i="22"/>
  <c r="I153" i="18"/>
  <c r="I214" i="18"/>
  <c r="I212" i="18"/>
  <c r="B342" i="19"/>
  <c r="I251" i="24" s="1"/>
  <c r="B329" i="24" s="1"/>
  <c r="B341" i="19"/>
  <c r="O146" i="21"/>
  <c r="F44" i="20"/>
  <c r="I204" i="18"/>
  <c r="I160" i="18"/>
  <c r="I147" i="18"/>
  <c r="I172" i="18"/>
  <c r="I140" i="18"/>
  <c r="I194" i="18"/>
  <c r="I237" i="18"/>
  <c r="B336" i="19"/>
  <c r="D133" i="21" s="1"/>
  <c r="B337" i="19"/>
  <c r="E134" i="21" s="1"/>
  <c r="B335" i="19"/>
  <c r="D132" i="21" s="1"/>
  <c r="S136" i="21"/>
  <c r="T136" i="21"/>
  <c r="V136" i="21"/>
  <c r="U136" i="21"/>
  <c r="G85" i="20"/>
  <c r="F124" i="21"/>
  <c r="D124" i="21"/>
  <c r="I236" i="24"/>
  <c r="B326" i="24" s="1"/>
  <c r="E63" i="25" s="1"/>
  <c r="B357" i="19"/>
  <c r="B356" i="19"/>
  <c r="I205" i="18"/>
  <c r="G66" i="20"/>
  <c r="F133" i="21"/>
  <c r="I245" i="24"/>
  <c r="B296" i="24" s="1"/>
  <c r="F89" i="21"/>
  <c r="G27" i="20"/>
  <c r="I156" i="18"/>
  <c r="I91" i="21"/>
  <c r="J76" i="20"/>
  <c r="J29" i="20"/>
  <c r="I96" i="21"/>
  <c r="I161" i="18"/>
  <c r="F149" i="21"/>
  <c r="G90" i="20"/>
  <c r="I225" i="18"/>
  <c r="I187" i="18"/>
  <c r="I178" i="18"/>
  <c r="O133" i="21"/>
  <c r="F66" i="20"/>
  <c r="I197" i="18"/>
  <c r="E124" i="21"/>
  <c r="D85" i="20"/>
  <c r="M124" i="21"/>
  <c r="Q141" i="21"/>
  <c r="P141" i="21"/>
  <c r="R141" i="21"/>
  <c r="I229" i="18"/>
  <c r="I144" i="18"/>
  <c r="E143" i="21"/>
  <c r="M143" i="21"/>
  <c r="D43" i="20"/>
  <c r="F139" i="21"/>
  <c r="G88" i="20"/>
  <c r="I155" i="18"/>
  <c r="F475" i="22"/>
  <c r="I227" i="18"/>
  <c r="I231" i="18"/>
  <c r="X37" i="23"/>
  <c r="Y37" i="23" s="1"/>
  <c r="G977" i="22"/>
  <c r="G979" i="22" s="1"/>
  <c r="F977" i="22"/>
  <c r="F979" i="22" s="1"/>
  <c r="E979" i="22"/>
  <c r="D1009" i="22"/>
  <c r="R146" i="21"/>
  <c r="P146" i="21"/>
  <c r="Q146" i="21"/>
  <c r="F94" i="21"/>
  <c r="G77" i="20"/>
  <c r="I154" i="18"/>
  <c r="I141" i="18"/>
  <c r="V146" i="21"/>
  <c r="T146" i="21"/>
  <c r="U146" i="21"/>
  <c r="S146" i="21"/>
  <c r="F144" i="19"/>
  <c r="I148" i="18"/>
  <c r="I202" i="18"/>
  <c r="I190" i="18"/>
  <c r="B352" i="19"/>
  <c r="B351" i="19"/>
  <c r="I260" i="24" s="1"/>
  <c r="C68" i="25" s="1"/>
  <c r="E151" i="21"/>
  <c r="D46" i="20"/>
  <c r="M151" i="21"/>
  <c r="E88" i="19"/>
  <c r="E142" i="19" s="1"/>
  <c r="I196" i="18"/>
  <c r="E44" i="20"/>
  <c r="N146" i="21"/>
  <c r="I167" i="18"/>
  <c r="I151" i="18"/>
  <c r="O156" i="21"/>
  <c r="F48" i="20"/>
  <c r="I268" i="24"/>
  <c r="I78" i="20"/>
  <c r="H97" i="21"/>
  <c r="I211" i="18"/>
  <c r="E253" i="19"/>
  <c r="E252" i="19"/>
  <c r="E254" i="19"/>
  <c r="E349" i="22"/>
  <c r="D251" i="22"/>
  <c r="D253" i="22" s="1"/>
  <c r="I143" i="18"/>
  <c r="I207" i="18"/>
  <c r="I220" i="18"/>
  <c r="M120" i="21"/>
  <c r="D64" i="20"/>
  <c r="E120" i="21"/>
  <c r="X28" i="23"/>
  <c r="Y28" i="23" s="1"/>
  <c r="D691" i="22"/>
  <c r="X34" i="23"/>
  <c r="Y34" i="23" s="1"/>
  <c r="D883" i="22"/>
  <c r="I138" i="21"/>
  <c r="J41" i="20"/>
  <c r="G36" i="20"/>
  <c r="F123" i="21"/>
  <c r="I235" i="24"/>
  <c r="C63" i="25" s="1"/>
  <c r="D123" i="21"/>
  <c r="E135" i="19"/>
  <c r="C159" i="22"/>
  <c r="C161" i="22" s="1"/>
  <c r="I200" i="18"/>
  <c r="F132" i="21"/>
  <c r="G39" i="20"/>
  <c r="I244" i="24"/>
  <c r="C65" i="25" s="1"/>
  <c r="G35" i="20"/>
  <c r="F119" i="21"/>
  <c r="I231" i="24"/>
  <c r="C62" i="25" s="1"/>
  <c r="D119" i="21"/>
  <c r="O136" i="21"/>
  <c r="F40" i="20"/>
  <c r="J58" i="20"/>
  <c r="I90" i="21"/>
  <c r="I159" i="18"/>
  <c r="F148" i="21"/>
  <c r="G45" i="20"/>
  <c r="E66" i="20"/>
  <c r="N133" i="21"/>
  <c r="I221" i="18"/>
  <c r="I173" i="18"/>
  <c r="I166" i="18"/>
  <c r="O134" i="21"/>
  <c r="F87" i="20"/>
  <c r="E91" i="20"/>
  <c r="N154" i="21"/>
  <c r="I145" i="18"/>
  <c r="J43" i="20"/>
  <c r="I143" i="21"/>
  <c r="I219" i="18"/>
  <c r="I152" i="18"/>
  <c r="M144" i="21"/>
  <c r="D89" i="20"/>
  <c r="T156" i="21"/>
  <c r="U156" i="21"/>
  <c r="S156" i="21"/>
  <c r="V156" i="21"/>
  <c r="Q156" i="21"/>
  <c r="P156" i="21"/>
  <c r="R156" i="21"/>
  <c r="X31" i="23"/>
  <c r="Y31" i="23" s="1"/>
  <c r="J785" i="22"/>
  <c r="J787" i="22" s="1"/>
  <c r="I785" i="22"/>
  <c r="I787" i="22" s="1"/>
  <c r="H787" i="22"/>
  <c r="G41" i="20"/>
  <c r="F138" i="21"/>
  <c r="I250" i="24"/>
  <c r="C66" i="25" s="1"/>
  <c r="D138" i="21"/>
  <c r="I133" i="21"/>
  <c r="J66" i="20"/>
  <c r="D193" i="22"/>
  <c r="I192" i="18"/>
  <c r="I198" i="18"/>
  <c r="I209" i="18"/>
  <c r="G28" i="20"/>
  <c r="F93" i="21"/>
  <c r="G86" i="20"/>
  <c r="F128" i="21"/>
  <c r="D128" i="21"/>
  <c r="I240" i="24"/>
  <c r="B327" i="24" s="1"/>
  <c r="I149" i="18"/>
  <c r="X32" i="23"/>
  <c r="Y32" i="23" s="1"/>
  <c r="G819" i="22"/>
  <c r="G1073" i="22"/>
  <c r="D101" i="22"/>
  <c r="E139" i="19"/>
  <c r="E280" i="19" s="1"/>
  <c r="X29" i="23"/>
  <c r="Y29" i="23" s="1"/>
  <c r="G721" i="22"/>
  <c r="G723" i="22" s="1"/>
  <c r="F721" i="22"/>
  <c r="F723" i="22" s="1"/>
  <c r="E723" i="22"/>
  <c r="I195" i="18"/>
  <c r="I175" i="18"/>
  <c r="I163" i="18"/>
  <c r="I148" i="21"/>
  <c r="J45" i="20"/>
  <c r="I171" i="18"/>
  <c r="I248" i="24"/>
  <c r="E40" i="20"/>
  <c r="N136" i="21"/>
  <c r="I216" i="18"/>
  <c r="I182" i="18"/>
  <c r="I169" i="18"/>
  <c r="E144" i="21" l="1"/>
  <c r="E87" i="20"/>
  <c r="I256" i="24"/>
  <c r="B330" i="24" s="1"/>
  <c r="D148" i="21"/>
  <c r="I255" i="24"/>
  <c r="C67" i="25" s="1"/>
  <c r="D139" i="21"/>
  <c r="T139" i="21" s="1"/>
  <c r="G293" i="19"/>
  <c r="G292" i="19"/>
  <c r="G294" i="19"/>
  <c r="T130" i="21"/>
  <c r="U130" i="21"/>
  <c r="S130" i="21"/>
  <c r="V130" i="21"/>
  <c r="D126" i="21"/>
  <c r="S126" i="21" s="1"/>
  <c r="E64" i="25"/>
  <c r="I266" i="24"/>
  <c r="B332" i="24" s="1"/>
  <c r="D64" i="25"/>
  <c r="E289" i="19"/>
  <c r="E288" i="19"/>
  <c r="E290" i="19"/>
  <c r="T128" i="21"/>
  <c r="V128" i="21"/>
  <c r="S128" i="21"/>
  <c r="U128" i="21"/>
  <c r="J128" i="21"/>
  <c r="K128" i="21"/>
  <c r="T138" i="21"/>
  <c r="J138" i="21"/>
  <c r="S138" i="21"/>
  <c r="K138" i="21"/>
  <c r="U138" i="21"/>
  <c r="V138" i="21"/>
  <c r="R144" i="21"/>
  <c r="Q144" i="21"/>
  <c r="P144" i="21"/>
  <c r="P120" i="21"/>
  <c r="R120" i="21"/>
  <c r="Q120" i="21"/>
  <c r="L120" i="21"/>
  <c r="F50" i="21"/>
  <c r="G49" i="20"/>
  <c r="P151" i="21"/>
  <c r="R151" i="21"/>
  <c r="Q151" i="21"/>
  <c r="X38" i="23"/>
  <c r="Y38" i="23" s="1"/>
  <c r="D1011" i="22"/>
  <c r="F477" i="22"/>
  <c r="P143" i="21"/>
  <c r="L143" i="21"/>
  <c r="Q124" i="21"/>
  <c r="P124" i="21"/>
  <c r="R124" i="21"/>
  <c r="U133" i="21"/>
  <c r="V133" i="21"/>
  <c r="S133" i="21"/>
  <c r="T133" i="21"/>
  <c r="S124" i="21"/>
  <c r="U124" i="21"/>
  <c r="T124" i="21"/>
  <c r="V124" i="21"/>
  <c r="D87" i="20"/>
  <c r="M134" i="21"/>
  <c r="J221" i="18"/>
  <c r="K221" i="18" s="1"/>
  <c r="J143" i="18"/>
  <c r="K143" i="18" s="1"/>
  <c r="J175" i="18"/>
  <c r="K175" i="18" s="1"/>
  <c r="J140" i="18"/>
  <c r="J176" i="18"/>
  <c r="K176" i="18" s="1"/>
  <c r="J150" i="18"/>
  <c r="K150" i="18" s="1"/>
  <c r="J213" i="18"/>
  <c r="K213" i="18" s="1"/>
  <c r="J190" i="18"/>
  <c r="K190" i="18" s="1"/>
  <c r="J202" i="18"/>
  <c r="K202" i="18" s="1"/>
  <c r="J159" i="18"/>
  <c r="K159" i="18" s="1"/>
  <c r="J238" i="18"/>
  <c r="K238" i="18" s="1"/>
  <c r="J229" i="18"/>
  <c r="K229" i="18" s="1"/>
  <c r="J149" i="18"/>
  <c r="K149" i="18" s="1"/>
  <c r="J178" i="18"/>
  <c r="K178" i="18" s="1"/>
  <c r="J173" i="18"/>
  <c r="K173" i="18" s="1"/>
  <c r="J145" i="18"/>
  <c r="K145" i="18" s="1"/>
  <c r="J161" i="18"/>
  <c r="K161" i="18" s="1"/>
  <c r="J171" i="18"/>
  <c r="K171" i="18" s="1"/>
  <c r="J155" i="18"/>
  <c r="K155" i="18" s="1"/>
  <c r="J183" i="18"/>
  <c r="K183" i="18" s="1"/>
  <c r="J200" i="18"/>
  <c r="K200" i="18" s="1"/>
  <c r="J233" i="18"/>
  <c r="K233" i="18" s="1"/>
  <c r="J237" i="18"/>
  <c r="K237" i="18" s="1"/>
  <c r="J196" i="18"/>
  <c r="K196" i="18" s="1"/>
  <c r="J231" i="18"/>
  <c r="K231" i="18" s="1"/>
  <c r="J205" i="18"/>
  <c r="K205" i="18" s="1"/>
  <c r="J158" i="18"/>
  <c r="K158" i="18" s="1"/>
  <c r="J203" i="18"/>
  <c r="K203" i="18" s="1"/>
  <c r="J169" i="18"/>
  <c r="K169" i="18" s="1"/>
  <c r="J236" i="18"/>
  <c r="K236" i="18" s="1"/>
  <c r="J163" i="18"/>
  <c r="K163" i="18" s="1"/>
  <c r="J167" i="18"/>
  <c r="K167" i="18" s="1"/>
  <c r="J194" i="18"/>
  <c r="K194" i="18" s="1"/>
  <c r="J182" i="18"/>
  <c r="K182" i="18" s="1"/>
  <c r="J184" i="18"/>
  <c r="K184" i="18" s="1"/>
  <c r="J223" i="18"/>
  <c r="K223" i="18" s="1"/>
  <c r="J189" i="18"/>
  <c r="K189" i="18" s="1"/>
  <c r="J193" i="18"/>
  <c r="K193" i="18" s="1"/>
  <c r="J144" i="18"/>
  <c r="K144" i="18" s="1"/>
  <c r="J185" i="18"/>
  <c r="K185" i="18" s="1"/>
  <c r="J186" i="18"/>
  <c r="K186" i="18" s="1"/>
  <c r="J206" i="18"/>
  <c r="K206" i="18" s="1"/>
  <c r="J165" i="18"/>
  <c r="K165" i="18" s="1"/>
  <c r="J180" i="18"/>
  <c r="K180" i="18" s="1"/>
  <c r="J204" i="18"/>
  <c r="K204" i="18" s="1"/>
  <c r="J228" i="18"/>
  <c r="K228" i="18" s="1"/>
  <c r="J230" i="18"/>
  <c r="K230" i="18" s="1"/>
  <c r="J234" i="18"/>
  <c r="K234" i="18" s="1"/>
  <c r="J207" i="18"/>
  <c r="K207" i="18" s="1"/>
  <c r="J160" i="18"/>
  <c r="K160" i="18" s="1"/>
  <c r="J226" i="18"/>
  <c r="K226" i="18" s="1"/>
  <c r="J157" i="18"/>
  <c r="K157" i="18" s="1"/>
  <c r="J164" i="18"/>
  <c r="K164" i="18" s="1"/>
  <c r="J166" i="18"/>
  <c r="K166" i="18" s="1"/>
  <c r="J170" i="18"/>
  <c r="K170" i="18" s="1"/>
  <c r="J218" i="18"/>
  <c r="K218" i="18" s="1"/>
  <c r="J211" i="18"/>
  <c r="K211" i="18" s="1"/>
  <c r="J220" i="18"/>
  <c r="K220" i="18" s="1"/>
  <c r="J151" i="18"/>
  <c r="K151" i="18" s="1"/>
  <c r="J181" i="18"/>
  <c r="K181" i="18" s="1"/>
  <c r="J217" i="18"/>
  <c r="K217" i="18" s="1"/>
  <c r="J154" i="18"/>
  <c r="K154" i="18" s="1"/>
  <c r="J215" i="18"/>
  <c r="K215" i="18" s="1"/>
  <c r="J162" i="18"/>
  <c r="K162" i="18" s="1"/>
  <c r="J197" i="18"/>
  <c r="K197" i="18" s="1"/>
  <c r="J187" i="18"/>
  <c r="K187" i="18" s="1"/>
  <c r="J142" i="18"/>
  <c r="K142" i="18" s="1"/>
  <c r="J188" i="18"/>
  <c r="K188" i="18" s="1"/>
  <c r="J224" i="18"/>
  <c r="K224" i="18" s="1"/>
  <c r="J174" i="18"/>
  <c r="K174" i="18" s="1"/>
  <c r="J209" i="18"/>
  <c r="K209" i="18" s="1"/>
  <c r="J148" i="18"/>
  <c r="K148" i="18" s="1"/>
  <c r="J232" i="18"/>
  <c r="K232" i="18" s="1"/>
  <c r="J216" i="18"/>
  <c r="K216" i="18" s="1"/>
  <c r="J146" i="18"/>
  <c r="K146" i="18" s="1"/>
  <c r="J191" i="18"/>
  <c r="K191" i="18" s="1"/>
  <c r="J147" i="18"/>
  <c r="K147" i="18" s="1"/>
  <c r="J141" i="18"/>
  <c r="K141" i="18" s="1"/>
  <c r="J199" i="18"/>
  <c r="K199" i="18" s="1"/>
  <c r="J168" i="18"/>
  <c r="K168" i="18" s="1"/>
  <c r="J152" i="18"/>
  <c r="K152" i="18" s="1"/>
  <c r="J195" i="18"/>
  <c r="K195" i="18" s="1"/>
  <c r="J210" i="18"/>
  <c r="K210" i="18" s="1"/>
  <c r="J227" i="18"/>
  <c r="K227" i="18" s="1"/>
  <c r="J225" i="18"/>
  <c r="K225" i="18" s="1"/>
  <c r="J235" i="18"/>
  <c r="K235" i="18" s="1"/>
  <c r="J219" i="18"/>
  <c r="K219" i="18" s="1"/>
  <c r="J179" i="18"/>
  <c r="K179" i="18" s="1"/>
  <c r="J156" i="18"/>
  <c r="K156" i="18" s="1"/>
  <c r="J208" i="18"/>
  <c r="K208" i="18" s="1"/>
  <c r="J212" i="18"/>
  <c r="K212" i="18" s="1"/>
  <c r="J153" i="18"/>
  <c r="K153" i="18" s="1"/>
  <c r="J201" i="18"/>
  <c r="K201" i="18" s="1"/>
  <c r="J177" i="18"/>
  <c r="K177" i="18" s="1"/>
  <c r="J172" i="18"/>
  <c r="K172" i="18" s="1"/>
  <c r="J222" i="18"/>
  <c r="K222" i="18" s="1"/>
  <c r="J192" i="18"/>
  <c r="K192" i="18" s="1"/>
  <c r="J214" i="18"/>
  <c r="K214" i="18" s="1"/>
  <c r="J198" i="18"/>
  <c r="K198" i="18" s="1"/>
  <c r="E139" i="21"/>
  <c r="M139" i="21"/>
  <c r="D88" i="20"/>
  <c r="S127" i="21"/>
  <c r="T127" i="21"/>
  <c r="U127" i="21"/>
  <c r="V127" i="21"/>
  <c r="P123" i="21"/>
  <c r="R123" i="21"/>
  <c r="Q123" i="21"/>
  <c r="F413" i="22"/>
  <c r="F54" i="21"/>
  <c r="G50" i="20"/>
  <c r="O153" i="21"/>
  <c r="F47" i="20"/>
  <c r="V121" i="21"/>
  <c r="S121" i="21"/>
  <c r="U121" i="21"/>
  <c r="T121" i="21"/>
  <c r="D65" i="20"/>
  <c r="M127" i="21"/>
  <c r="E127" i="21"/>
  <c r="F81" i="21"/>
  <c r="G25" i="20"/>
  <c r="F73" i="21"/>
  <c r="G22" i="20"/>
  <c r="H94" i="21"/>
  <c r="I77" i="20"/>
  <c r="G91" i="21"/>
  <c r="H76" i="20"/>
  <c r="V148" i="21"/>
  <c r="S148" i="21"/>
  <c r="K148" i="21"/>
  <c r="U148" i="21"/>
  <c r="J148" i="21"/>
  <c r="T148" i="21"/>
  <c r="E266" i="19"/>
  <c r="E264" i="19"/>
  <c r="E265" i="19"/>
  <c r="E379" i="22"/>
  <c r="E148" i="21"/>
  <c r="D45" i="20"/>
  <c r="M148" i="21"/>
  <c r="R134" i="21"/>
  <c r="Q134" i="21"/>
  <c r="P134" i="21"/>
  <c r="D65" i="25"/>
  <c r="M153" i="21"/>
  <c r="D47" i="20"/>
  <c r="E153" i="21"/>
  <c r="E133" i="21"/>
  <c r="M133" i="21"/>
  <c r="D66" i="20"/>
  <c r="F445" i="22"/>
  <c r="I172" i="21"/>
  <c r="Q119" i="21"/>
  <c r="P119" i="21"/>
  <c r="L119" i="21"/>
  <c r="R119" i="21"/>
  <c r="D143" i="21"/>
  <c r="O143" i="21"/>
  <c r="R143" i="21" s="1"/>
  <c r="F43" i="20"/>
  <c r="G68" i="20"/>
  <c r="F55" i="21"/>
  <c r="V126" i="21"/>
  <c r="T126" i="21"/>
  <c r="G53" i="20"/>
  <c r="F66" i="21"/>
  <c r="E89" i="20"/>
  <c r="N144" i="21"/>
  <c r="D144" i="21"/>
  <c r="E128" i="21"/>
  <c r="D86" i="20"/>
  <c r="M128" i="21"/>
  <c r="G56" i="20"/>
  <c r="F82" i="21"/>
  <c r="G73" i="20"/>
  <c r="F75" i="21"/>
  <c r="G89" i="21"/>
  <c r="H27" i="20"/>
  <c r="V119" i="21"/>
  <c r="T119" i="21"/>
  <c r="J119" i="21"/>
  <c r="U119" i="21"/>
  <c r="K119" i="21"/>
  <c r="S119" i="21"/>
  <c r="S123" i="21"/>
  <c r="U123" i="21"/>
  <c r="T123" i="21"/>
  <c r="V123" i="21"/>
  <c r="F51" i="21"/>
  <c r="G67" i="20"/>
  <c r="D90" i="20"/>
  <c r="M149" i="21"/>
  <c r="E149" i="21"/>
  <c r="F297" i="19"/>
  <c r="F296" i="19"/>
  <c r="E66" i="25"/>
  <c r="D149" i="21"/>
  <c r="D91" i="20"/>
  <c r="E154" i="21"/>
  <c r="M154" i="21"/>
  <c r="D62" i="25"/>
  <c r="D134" i="21"/>
  <c r="F89" i="20"/>
  <c r="O144" i="21"/>
  <c r="F53" i="21"/>
  <c r="G17" i="20"/>
  <c r="F67" i="21"/>
  <c r="G71" i="20"/>
  <c r="E43" i="20"/>
  <c r="N143" i="21"/>
  <c r="Q143" i="21" s="1"/>
  <c r="D153" i="21"/>
  <c r="G55" i="20"/>
  <c r="F74" i="21"/>
  <c r="H29" i="20"/>
  <c r="G96" i="21"/>
  <c r="H58" i="20"/>
  <c r="G90" i="21"/>
  <c r="F77" i="21"/>
  <c r="G23" i="20"/>
  <c r="X40" i="23"/>
  <c r="Y40" i="23" s="1"/>
  <c r="G1075" i="22"/>
  <c r="K132" i="21"/>
  <c r="S132" i="21"/>
  <c r="U132" i="21"/>
  <c r="J132" i="21"/>
  <c r="T132" i="21"/>
  <c r="V132" i="21"/>
  <c r="F49" i="21"/>
  <c r="G16" i="20"/>
  <c r="U139" i="21"/>
  <c r="I261" i="24"/>
  <c r="B331" i="24" s="1"/>
  <c r="E68" i="25" s="1"/>
  <c r="M132" i="21"/>
  <c r="E132" i="21"/>
  <c r="D39" i="20"/>
  <c r="D41" i="20"/>
  <c r="E138" i="21"/>
  <c r="M138" i="21"/>
  <c r="U120" i="21"/>
  <c r="J120" i="21"/>
  <c r="T120" i="21"/>
  <c r="S120" i="21"/>
  <c r="V120" i="21"/>
  <c r="I246" i="24"/>
  <c r="B328" i="24" s="1"/>
  <c r="E65" i="25" s="1"/>
  <c r="F65" i="21"/>
  <c r="G20" i="20"/>
  <c r="F91" i="20"/>
  <c r="O154" i="21"/>
  <c r="E62" i="25"/>
  <c r="R121" i="21"/>
  <c r="P121" i="21"/>
  <c r="Q121" i="21"/>
  <c r="M126" i="21"/>
  <c r="D37" i="20"/>
  <c r="E126" i="21"/>
  <c r="I265" i="24"/>
  <c r="C69" i="25" s="1"/>
  <c r="F83" i="21"/>
  <c r="G74" i="20"/>
  <c r="D154" i="21"/>
  <c r="I28" i="20"/>
  <c r="H93" i="21"/>
  <c r="H78" i="20"/>
  <c r="G97" i="21"/>
  <c r="E197" i="18"/>
  <c r="E233" i="18"/>
  <c r="E199" i="18"/>
  <c r="E182" i="18"/>
  <c r="E157" i="18"/>
  <c r="E206" i="18"/>
  <c r="E183" i="18"/>
  <c r="E236" i="18"/>
  <c r="E166" i="18"/>
  <c r="E154" i="18"/>
  <c r="E147" i="18"/>
  <c r="E144" i="18"/>
  <c r="E141" i="18"/>
  <c r="E169" i="18"/>
  <c r="E172" i="18"/>
  <c r="E173" i="18"/>
  <c r="E181" i="18"/>
  <c r="E187" i="18"/>
  <c r="E219" i="18"/>
  <c r="E167" i="18"/>
  <c r="E230" i="18"/>
  <c r="E168" i="18"/>
  <c r="E176" i="18"/>
  <c r="E186" i="18"/>
  <c r="E210" i="18"/>
  <c r="E163" i="18"/>
  <c r="E170" i="18"/>
  <c r="E205" i="18"/>
  <c r="E220" i="18"/>
  <c r="E189" i="18"/>
  <c r="E207" i="18"/>
  <c r="E193" i="18"/>
  <c r="E202" i="18"/>
  <c r="E237" i="18"/>
  <c r="E209" i="18"/>
  <c r="E184" i="18"/>
  <c r="E224" i="18"/>
  <c r="E148" i="18"/>
  <c r="E231" i="18"/>
  <c r="E204" i="18"/>
  <c r="E216" i="18"/>
  <c r="E156" i="18"/>
  <c r="E142" i="18"/>
  <c r="E151" i="18"/>
  <c r="E196" i="18"/>
  <c r="E203" i="18"/>
  <c r="E227" i="18"/>
  <c r="E213" i="18"/>
  <c r="E140" i="18"/>
  <c r="E143" i="18"/>
  <c r="E234" i="18"/>
  <c r="E194" i="18"/>
  <c r="E200" i="18"/>
  <c r="E177" i="18"/>
  <c r="E208" i="18"/>
  <c r="E150" i="18"/>
  <c r="E159" i="18"/>
  <c r="E225" i="18"/>
  <c r="E238" i="18"/>
  <c r="E158" i="18"/>
  <c r="E179" i="18"/>
  <c r="E175" i="18"/>
  <c r="E171" i="18"/>
  <c r="E192" i="18"/>
  <c r="E228" i="18"/>
  <c r="E152" i="18"/>
  <c r="E185" i="18"/>
  <c r="E149" i="18"/>
  <c r="E211" i="18"/>
  <c r="E160" i="18"/>
  <c r="E235" i="18"/>
  <c r="E174" i="18"/>
  <c r="E214" i="18"/>
  <c r="E212" i="18"/>
  <c r="E215" i="18"/>
  <c r="E198" i="18"/>
  <c r="E226" i="18"/>
  <c r="E180" i="18"/>
  <c r="E153" i="18"/>
  <c r="E155" i="18"/>
  <c r="E218" i="18"/>
  <c r="E229" i="18"/>
  <c r="E232" i="18"/>
  <c r="E195" i="18"/>
  <c r="E191" i="18"/>
  <c r="E217" i="18"/>
  <c r="E178" i="18"/>
  <c r="B139" i="18"/>
  <c r="K139" i="18" s="1"/>
  <c r="E165" i="18"/>
  <c r="E164" i="18"/>
  <c r="E190" i="18"/>
  <c r="E145" i="18"/>
  <c r="E223" i="18"/>
  <c r="E201" i="18"/>
  <c r="E162" i="18"/>
  <c r="E161" i="18"/>
  <c r="E221" i="18"/>
  <c r="E146" i="18"/>
  <c r="E188" i="18"/>
  <c r="E222" i="18"/>
  <c r="E67" i="25" l="1"/>
  <c r="V139" i="21"/>
  <c r="J126" i="21"/>
  <c r="S139" i="21"/>
  <c r="U126" i="21"/>
  <c r="K126" i="21"/>
  <c r="E69" i="25"/>
  <c r="H91" i="21"/>
  <c r="I76" i="20"/>
  <c r="H89" i="21"/>
  <c r="I27" i="20"/>
  <c r="H90" i="21"/>
  <c r="I58" i="20"/>
  <c r="V153" i="21"/>
  <c r="S153" i="21"/>
  <c r="J153" i="21"/>
  <c r="U153" i="21"/>
  <c r="K153" i="21"/>
  <c r="T153" i="21"/>
  <c r="K149" i="21"/>
  <c r="S149" i="21"/>
  <c r="J149" i="21"/>
  <c r="V149" i="21"/>
  <c r="T149" i="21"/>
  <c r="U149" i="21"/>
  <c r="R149" i="21"/>
  <c r="Q149" i="21"/>
  <c r="L149" i="21"/>
  <c r="P149" i="21"/>
  <c r="R153" i="21"/>
  <c r="Q153" i="21"/>
  <c r="L153" i="21"/>
  <c r="P153" i="21"/>
  <c r="F62" i="21"/>
  <c r="G52" i="20"/>
  <c r="Q127" i="21"/>
  <c r="R127" i="21"/>
  <c r="P127" i="21"/>
  <c r="Q139" i="21"/>
  <c r="P139" i="21"/>
  <c r="R139" i="21"/>
  <c r="K140" i="18"/>
  <c r="L140" i="18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S154" i="21"/>
  <c r="J154" i="21"/>
  <c r="V154" i="21"/>
  <c r="T154" i="21"/>
  <c r="K154" i="21"/>
  <c r="U154" i="21"/>
  <c r="Q128" i="21"/>
  <c r="P128" i="21"/>
  <c r="R128" i="21"/>
  <c r="L128" i="21"/>
  <c r="U143" i="21"/>
  <c r="S143" i="21"/>
  <c r="J143" i="21"/>
  <c r="V143" i="21"/>
  <c r="T143" i="21"/>
  <c r="K143" i="21"/>
  <c r="L148" i="21"/>
  <c r="R148" i="21"/>
  <c r="Q148" i="21"/>
  <c r="P148" i="21"/>
  <c r="G19" i="20"/>
  <c r="F61" i="21"/>
  <c r="G75" i="20"/>
  <c r="F87" i="21"/>
  <c r="M139" i="18"/>
  <c r="Q132" i="21"/>
  <c r="L132" i="21"/>
  <c r="P132" i="21"/>
  <c r="R132" i="21"/>
  <c r="Q154" i="21"/>
  <c r="L154" i="21"/>
  <c r="P154" i="21"/>
  <c r="R154" i="21"/>
  <c r="H28" i="20"/>
  <c r="G93" i="21"/>
  <c r="T144" i="21"/>
  <c r="S144" i="21"/>
  <c r="V144" i="21"/>
  <c r="U144" i="21"/>
  <c r="F63" i="21"/>
  <c r="G70" i="20"/>
  <c r="G26" i="20"/>
  <c r="F85" i="21"/>
  <c r="L126" i="21"/>
  <c r="Q126" i="21"/>
  <c r="P126" i="21"/>
  <c r="R126" i="21"/>
  <c r="Q138" i="21"/>
  <c r="P138" i="21"/>
  <c r="R138" i="21"/>
  <c r="L138" i="21"/>
  <c r="V134" i="21"/>
  <c r="U134" i="21"/>
  <c r="T134" i="21"/>
  <c r="S134" i="21"/>
  <c r="G94" i="21"/>
  <c r="H77" i="20"/>
  <c r="Q133" i="21"/>
  <c r="R133" i="21"/>
  <c r="P133" i="21"/>
  <c r="E381" i="22"/>
  <c r="F86" i="21"/>
  <c r="G57" i="20"/>
  <c r="H172" i="21" l="1"/>
  <c r="G172" i="21"/>
  <c r="F172" i="21"/>
  <c r="M140" i="18"/>
  <c r="M141" i="18" s="1"/>
  <c r="N140" i="18" l="1"/>
  <c r="N141" i="18"/>
  <c r="M142" i="18"/>
  <c r="N142" i="18" s="1"/>
  <c r="M143" i="18" l="1"/>
  <c r="M144" i="18" l="1"/>
  <c r="N143" i="18"/>
  <c r="M145" i="18" l="1"/>
  <c r="N145" i="18" s="1"/>
  <c r="N144" i="18"/>
  <c r="M146" i="18" l="1"/>
  <c r="N146" i="18" s="1"/>
  <c r="M147" i="18" l="1"/>
  <c r="M148" i="18" s="1"/>
  <c r="N147" i="18"/>
  <c r="N148" i="18" l="1"/>
  <c r="M149" i="18"/>
  <c r="M150" i="18" l="1"/>
  <c r="N150" i="18" s="1"/>
  <c r="N149" i="18"/>
  <c r="M151" i="18" l="1"/>
  <c r="M152" i="18" l="1"/>
  <c r="N151" i="18"/>
  <c r="M153" i="18" l="1"/>
  <c r="N153" i="18" s="1"/>
  <c r="N152" i="18"/>
  <c r="M154" i="18" l="1"/>
  <c r="N154" i="18" s="1"/>
  <c r="M155" i="18" l="1"/>
  <c r="M156" i="18" l="1"/>
  <c r="N155" i="18"/>
  <c r="M157" i="18" l="1"/>
  <c r="N157" i="18" s="1"/>
  <c r="N156" i="18"/>
  <c r="M158" i="18" l="1"/>
  <c r="M159" i="18" l="1"/>
  <c r="N158" i="18"/>
  <c r="M160" i="18" l="1"/>
  <c r="N160" i="18"/>
  <c r="N159" i="18"/>
  <c r="M161" i="18" l="1"/>
  <c r="N161" i="18" s="1"/>
  <c r="M162" i="18" l="1"/>
  <c r="M163" i="18" l="1"/>
  <c r="N162" i="18"/>
  <c r="M164" i="18" l="1"/>
  <c r="N164" i="18" s="1"/>
  <c r="N163" i="18"/>
  <c r="M165" i="18" l="1"/>
  <c r="M166" i="18" l="1"/>
  <c r="N165" i="18"/>
  <c r="M167" i="18" l="1"/>
  <c r="N167" i="18"/>
  <c r="N166" i="18"/>
  <c r="M168" i="18" l="1"/>
  <c r="N168" i="18"/>
  <c r="M169" i="18" l="1"/>
  <c r="M170" i="18" l="1"/>
  <c r="N169" i="18"/>
  <c r="M171" i="18" l="1"/>
  <c r="N171" i="18" s="1"/>
  <c r="N170" i="18"/>
  <c r="M172" i="18" l="1"/>
  <c r="M173" i="18" l="1"/>
  <c r="N172" i="18"/>
  <c r="M174" i="18" l="1"/>
  <c r="N174" i="18"/>
  <c r="N173" i="18"/>
  <c r="M175" i="18" l="1"/>
  <c r="N175" i="18"/>
  <c r="M176" i="18" l="1"/>
  <c r="M177" i="18" l="1"/>
  <c r="N176" i="18"/>
  <c r="M178" i="18" l="1"/>
  <c r="N178" i="18"/>
  <c r="N177" i="18"/>
  <c r="M179" i="18" l="1"/>
  <c r="M180" i="18" l="1"/>
  <c r="N179" i="18"/>
  <c r="M181" i="18" l="1"/>
  <c r="N181" i="18" s="1"/>
  <c r="N180" i="18"/>
  <c r="M182" i="18" l="1"/>
  <c r="N182" i="18"/>
  <c r="M183" i="18" l="1"/>
  <c r="M184" i="18" l="1"/>
  <c r="N183" i="18"/>
  <c r="M185" i="18" l="1"/>
  <c r="N185" i="18" s="1"/>
  <c r="N184" i="18"/>
  <c r="M186" i="18" l="1"/>
  <c r="M187" i="18" l="1"/>
  <c r="N186" i="18"/>
  <c r="M188" i="18" l="1"/>
  <c r="N188" i="18"/>
  <c r="N187" i="18"/>
  <c r="M189" i="18" l="1"/>
  <c r="N189" i="18" s="1"/>
  <c r="M190" i="18" l="1"/>
  <c r="M191" i="18" l="1"/>
  <c r="N190" i="18"/>
  <c r="M192" i="18" l="1"/>
  <c r="N192" i="18" s="1"/>
  <c r="N191" i="18"/>
  <c r="M193" i="18" l="1"/>
  <c r="M194" i="18" l="1"/>
  <c r="N193" i="18"/>
  <c r="M195" i="18" l="1"/>
  <c r="N195" i="18" s="1"/>
  <c r="N194" i="18"/>
  <c r="M196" i="18" l="1"/>
  <c r="N196" i="18" s="1"/>
  <c r="M197" i="18" l="1"/>
  <c r="M198" i="18" l="1"/>
  <c r="N197" i="18"/>
  <c r="M199" i="18" l="1"/>
  <c r="N199" i="18" s="1"/>
  <c r="N198" i="18"/>
  <c r="M200" i="18" l="1"/>
  <c r="M201" i="18" l="1"/>
  <c r="N200" i="18"/>
  <c r="M202" i="18" l="1"/>
  <c r="N202" i="18"/>
  <c r="N201" i="18"/>
  <c r="M203" i="18" l="1"/>
  <c r="N203" i="18"/>
  <c r="M204" i="18" l="1"/>
  <c r="M205" i="18" l="1"/>
  <c r="N204" i="18"/>
  <c r="M206" i="18" l="1"/>
  <c r="N206" i="18"/>
  <c r="N205" i="18"/>
  <c r="M207" i="18" l="1"/>
  <c r="M208" i="18" l="1"/>
  <c r="N207" i="18"/>
  <c r="M209" i="18" l="1"/>
  <c r="N209" i="18"/>
  <c r="N208" i="18"/>
  <c r="M210" i="18" l="1"/>
  <c r="N210" i="18"/>
  <c r="M211" i="18" l="1"/>
  <c r="M212" i="18" l="1"/>
  <c r="N211" i="18"/>
  <c r="M213" i="18" l="1"/>
  <c r="N213" i="18"/>
  <c r="N212" i="18"/>
  <c r="M214" i="18" l="1"/>
  <c r="M215" i="18" l="1"/>
  <c r="N214" i="18"/>
  <c r="M216" i="18" l="1"/>
  <c r="N216" i="18"/>
  <c r="N215" i="18"/>
  <c r="M217" i="18" l="1"/>
  <c r="N217" i="18"/>
  <c r="M218" i="18" l="1"/>
  <c r="M219" i="18" l="1"/>
  <c r="N218" i="18"/>
  <c r="M220" i="18" l="1"/>
  <c r="N220" i="18"/>
  <c r="N219" i="18"/>
  <c r="M221" i="18" l="1"/>
  <c r="M222" i="18" l="1"/>
  <c r="N221" i="18"/>
  <c r="M223" i="18" l="1"/>
  <c r="N223" i="18"/>
  <c r="N222" i="18"/>
  <c r="M224" i="18" l="1"/>
  <c r="N224" i="18" s="1"/>
  <c r="M225" i="18" l="1"/>
  <c r="M226" i="18" l="1"/>
  <c r="N225" i="18"/>
  <c r="M227" i="18" l="1"/>
  <c r="N227" i="18"/>
  <c r="N226" i="18"/>
  <c r="M228" i="18" l="1"/>
  <c r="M229" i="18" l="1"/>
  <c r="N228" i="18"/>
  <c r="M230" i="18" l="1"/>
  <c r="N230" i="18"/>
  <c r="N229" i="18"/>
  <c r="M231" i="18" l="1"/>
  <c r="N231" i="18"/>
  <c r="M232" i="18" l="1"/>
  <c r="M233" i="18" l="1"/>
  <c r="N232" i="18"/>
  <c r="M234" i="18" l="1"/>
  <c r="M235" i="18" s="1"/>
  <c r="N234" i="18"/>
  <c r="N233" i="18"/>
  <c r="N235" i="18" l="1"/>
  <c r="M236" i="18"/>
  <c r="M237" i="18" l="1"/>
  <c r="M238" i="18" s="1"/>
  <c r="N237" i="18"/>
  <c r="N236" i="18"/>
  <c r="N238" i="18" l="1"/>
  <c r="N139" i="18"/>
  <c r="B246" i="18" s="1"/>
  <c r="D277" i="18" l="1"/>
  <c r="D274" i="18"/>
  <c r="B283" i="18"/>
  <c r="B266" i="18"/>
  <c r="B275" i="18"/>
  <c r="C273" i="18"/>
  <c r="C283" i="18"/>
  <c r="B271" i="18"/>
  <c r="B282" i="18"/>
  <c r="B276" i="18"/>
  <c r="B279" i="18"/>
  <c r="B265" i="18"/>
  <c r="C278" i="18"/>
  <c r="B267" i="18"/>
  <c r="C266" i="18"/>
  <c r="D276" i="18"/>
  <c r="C274" i="18"/>
  <c r="D275" i="18"/>
  <c r="C271" i="18"/>
  <c r="B268" i="18"/>
  <c r="D283" i="18"/>
  <c r="B280" i="18"/>
  <c r="B281" i="18"/>
  <c r="B270" i="18"/>
  <c r="B274" i="18"/>
  <c r="D278" i="18"/>
  <c r="B269" i="18"/>
  <c r="C277" i="18"/>
  <c r="C269" i="18"/>
  <c r="B277" i="18"/>
  <c r="B273" i="18"/>
  <c r="B278" i="18"/>
  <c r="B272" i="18"/>
  <c r="C272" i="18"/>
  <c r="C275" i="18"/>
  <c r="C276" i="18"/>
  <c r="C30" i="19" l="1"/>
  <c r="C410" i="22"/>
  <c r="E278" i="18"/>
  <c r="B474" i="22"/>
  <c r="B32" i="19"/>
  <c r="C442" i="22"/>
  <c r="C31" i="19"/>
  <c r="E270" i="18"/>
  <c r="B218" i="22"/>
  <c r="B24" i="19"/>
  <c r="B22" i="19"/>
  <c r="B81" i="19" s="1"/>
  <c r="E268" i="18"/>
  <c r="B158" i="22"/>
  <c r="D410" i="22"/>
  <c r="D30" i="19"/>
  <c r="B66" i="22"/>
  <c r="E265" i="18"/>
  <c r="B19" i="19"/>
  <c r="B250" i="22"/>
  <c r="E271" i="18"/>
  <c r="B25" i="19"/>
  <c r="B84" i="19" s="1"/>
  <c r="B98" i="22"/>
  <c r="B20" i="19"/>
  <c r="C29" i="19"/>
  <c r="C378" i="22"/>
  <c r="B27" i="19"/>
  <c r="B86" i="19" s="1"/>
  <c r="E273" i="18"/>
  <c r="B314" i="22"/>
  <c r="E269" i="18"/>
  <c r="B190" i="22"/>
  <c r="B23" i="19"/>
  <c r="B564" i="22"/>
  <c r="E281" i="18"/>
  <c r="B35" i="19"/>
  <c r="C250" i="22"/>
  <c r="C25" i="19"/>
  <c r="E266" i="18"/>
  <c r="C98" i="22"/>
  <c r="F98" i="22" s="1"/>
  <c r="C20" i="19"/>
  <c r="B504" i="22"/>
  <c r="E279" i="18"/>
  <c r="B33" i="19"/>
  <c r="C37" i="19"/>
  <c r="C624" i="22"/>
  <c r="B624" i="22"/>
  <c r="E283" i="18"/>
  <c r="B37" i="19"/>
  <c r="C282" i="22"/>
  <c r="C26" i="19"/>
  <c r="B442" i="22"/>
  <c r="E277" i="18"/>
  <c r="B31" i="19"/>
  <c r="D474" i="22"/>
  <c r="D32" i="19"/>
  <c r="B534" i="22"/>
  <c r="E280" i="18"/>
  <c r="B34" i="19"/>
  <c r="D378" i="22"/>
  <c r="D29" i="19"/>
  <c r="B126" i="22"/>
  <c r="E267" i="18"/>
  <c r="B21" i="19"/>
  <c r="B410" i="22"/>
  <c r="E276" i="18"/>
  <c r="B30" i="19"/>
  <c r="C314" i="22"/>
  <c r="C27" i="19"/>
  <c r="D346" i="22"/>
  <c r="D28" i="19"/>
  <c r="B282" i="22"/>
  <c r="E272" i="18"/>
  <c r="B26" i="19"/>
  <c r="B85" i="19" s="1"/>
  <c r="C190" i="22"/>
  <c r="C23" i="19"/>
  <c r="B346" i="22"/>
  <c r="E274" i="18"/>
  <c r="B28" i="19"/>
  <c r="D624" i="22"/>
  <c r="D37" i="19"/>
  <c r="C346" i="22"/>
  <c r="C28" i="19"/>
  <c r="C32" i="19"/>
  <c r="C474" i="22"/>
  <c r="E282" i="18"/>
  <c r="B594" i="22"/>
  <c r="B36" i="19"/>
  <c r="B378" i="22"/>
  <c r="E275" i="18"/>
  <c r="B29" i="19"/>
  <c r="D442" i="22"/>
  <c r="D31" i="19"/>
  <c r="B139" i="19" l="1"/>
  <c r="B280" i="19" s="1"/>
  <c r="B283" i="22"/>
  <c r="C126" i="22"/>
  <c r="B90" i="19"/>
  <c r="B144" i="19" s="1"/>
  <c r="C504" i="22"/>
  <c r="C84" i="19"/>
  <c r="C251" i="22" s="1"/>
  <c r="C253" i="22" s="1"/>
  <c r="C564" i="22"/>
  <c r="F314" i="22"/>
  <c r="E314" i="22"/>
  <c r="C88" i="19"/>
  <c r="C379" i="22" s="1"/>
  <c r="C381" i="22" s="1"/>
  <c r="D66" i="22"/>
  <c r="J474" i="22"/>
  <c r="I474" i="22"/>
  <c r="D90" i="19"/>
  <c r="D443" i="22" s="1"/>
  <c r="D445" i="22" s="1"/>
  <c r="F378" i="22"/>
  <c r="D96" i="19"/>
  <c r="D625" i="22" s="1"/>
  <c r="D627" i="22" s="1"/>
  <c r="G346" i="22"/>
  <c r="F346" i="22"/>
  <c r="C86" i="19"/>
  <c r="C315" i="22" s="1"/>
  <c r="C317" i="22" s="1"/>
  <c r="I410" i="22"/>
  <c r="D88" i="19"/>
  <c r="D379" i="22" s="1"/>
  <c r="D381" i="22" s="1"/>
  <c r="C534" i="22"/>
  <c r="B96" i="19"/>
  <c r="B150" i="19" s="1"/>
  <c r="C96" i="19"/>
  <c r="C625" i="22" s="1"/>
  <c r="C627" i="22" s="1"/>
  <c r="C79" i="19"/>
  <c r="C99" i="22" s="1"/>
  <c r="C101" i="22" s="1"/>
  <c r="B82" i="19"/>
  <c r="B136" i="19" s="1"/>
  <c r="B79" i="19"/>
  <c r="B133" i="19" s="1"/>
  <c r="F250" i="22"/>
  <c r="E250" i="22"/>
  <c r="D89" i="19"/>
  <c r="D411" i="22" s="1"/>
  <c r="D413" i="22" s="1"/>
  <c r="B135" i="19"/>
  <c r="B159" i="22"/>
  <c r="D159" i="22" s="1"/>
  <c r="B189" i="19"/>
  <c r="C90" i="19"/>
  <c r="C443" i="22" s="1"/>
  <c r="C445" i="22" s="1"/>
  <c r="B95" i="19"/>
  <c r="B149" i="19" s="1"/>
  <c r="C91" i="19"/>
  <c r="C475" i="22" s="1"/>
  <c r="C477" i="22" s="1"/>
  <c r="C82" i="19"/>
  <c r="C191" i="22" s="1"/>
  <c r="C193" i="22" s="1"/>
  <c r="E282" i="22"/>
  <c r="F282" i="22"/>
  <c r="B285" i="22"/>
  <c r="B80" i="19"/>
  <c r="B134" i="19" s="1"/>
  <c r="G378" i="22"/>
  <c r="D91" i="19"/>
  <c r="D475" i="22" s="1"/>
  <c r="D477" i="22" s="1"/>
  <c r="I442" i="22"/>
  <c r="J442" i="22"/>
  <c r="B92" i="19"/>
  <c r="B146" i="19" s="1"/>
  <c r="W9" i="23"/>
  <c r="H98" i="22"/>
  <c r="G98" i="22"/>
  <c r="B94" i="19"/>
  <c r="B148" i="19" s="1"/>
  <c r="F190" i="22"/>
  <c r="E190" i="22"/>
  <c r="B140" i="19"/>
  <c r="B282" i="19" s="1"/>
  <c r="B315" i="22"/>
  <c r="B317" i="22" s="1"/>
  <c r="B194" i="19"/>
  <c r="E98" i="22"/>
  <c r="B78" i="19"/>
  <c r="B132" i="19" s="1"/>
  <c r="B83" i="19"/>
  <c r="B137" i="19" s="1"/>
  <c r="J410" i="22"/>
  <c r="B88" i="19"/>
  <c r="B142" i="19" s="1"/>
  <c r="C594" i="22"/>
  <c r="C87" i="19"/>
  <c r="C347" i="22" s="1"/>
  <c r="C349" i="22" s="1"/>
  <c r="B87" i="19"/>
  <c r="B141" i="19" s="1"/>
  <c r="D87" i="19"/>
  <c r="D347" i="22" s="1"/>
  <c r="D349" i="22" s="1"/>
  <c r="B89" i="19"/>
  <c r="B143" i="19" s="1"/>
  <c r="B93" i="19"/>
  <c r="B147" i="19" s="1"/>
  <c r="C85" i="19"/>
  <c r="C283" i="22" s="1"/>
  <c r="C285" i="22" s="1"/>
  <c r="E624" i="22"/>
  <c r="F624" i="22"/>
  <c r="B138" i="19"/>
  <c r="B251" i="22"/>
  <c r="B192" i="19"/>
  <c r="C234" i="19"/>
  <c r="D158" i="22"/>
  <c r="C218" i="22"/>
  <c r="B91" i="19"/>
  <c r="B145" i="19" s="1"/>
  <c r="C89" i="19"/>
  <c r="C411" i="22" s="1"/>
  <c r="C413" i="22" s="1"/>
  <c r="B161" i="22" l="1"/>
  <c r="C144" i="19"/>
  <c r="C296" i="19" s="1"/>
  <c r="D144" i="19"/>
  <c r="C138" i="19"/>
  <c r="C277" i="19" s="1"/>
  <c r="C143" i="19"/>
  <c r="D143" i="19"/>
  <c r="C150" i="19"/>
  <c r="C142" i="19"/>
  <c r="C290" i="19" s="1"/>
  <c r="B285" i="19"/>
  <c r="B284" i="19"/>
  <c r="B286" i="19"/>
  <c r="B307" i="19"/>
  <c r="B308" i="19"/>
  <c r="B306" i="19"/>
  <c r="B316" i="19"/>
  <c r="B314" i="19"/>
  <c r="B315" i="19"/>
  <c r="B320" i="19"/>
  <c r="B319" i="19"/>
  <c r="B318" i="19"/>
  <c r="B292" i="19"/>
  <c r="B294" i="19"/>
  <c r="B293" i="19"/>
  <c r="B290" i="19"/>
  <c r="B289" i="19"/>
  <c r="B288" i="19"/>
  <c r="B257" i="19"/>
  <c r="B258" i="19"/>
  <c r="B256" i="19"/>
  <c r="W13" i="23"/>
  <c r="D218" i="22"/>
  <c r="W26" i="23"/>
  <c r="G624" i="22"/>
  <c r="D141" i="19"/>
  <c r="C141" i="19"/>
  <c r="B219" i="22"/>
  <c r="B191" i="19"/>
  <c r="B565" i="22"/>
  <c r="B202" i="19"/>
  <c r="W20" i="23"/>
  <c r="L442" i="22"/>
  <c r="M442" i="22"/>
  <c r="K442" i="22"/>
  <c r="W18" i="23"/>
  <c r="I378" i="22"/>
  <c r="H378" i="22"/>
  <c r="W15" i="23"/>
  <c r="H282" i="22"/>
  <c r="G282" i="22"/>
  <c r="C145" i="19"/>
  <c r="C297" i="19"/>
  <c r="B266" i="19"/>
  <c r="B264" i="19"/>
  <c r="B265" i="19"/>
  <c r="B269" i="19"/>
  <c r="B270" i="19"/>
  <c r="B268" i="19"/>
  <c r="C320" i="19"/>
  <c r="C319" i="19"/>
  <c r="C318" i="19"/>
  <c r="W24" i="23"/>
  <c r="D564" i="22"/>
  <c r="W22" i="23"/>
  <c r="D504" i="22"/>
  <c r="W10" i="23"/>
  <c r="D126" i="22"/>
  <c r="B299" i="19"/>
  <c r="B300" i="19"/>
  <c r="F251" i="22"/>
  <c r="F253" i="22" s="1"/>
  <c r="E251" i="22"/>
  <c r="E253" i="22" s="1"/>
  <c r="B535" i="22"/>
  <c r="B201" i="19"/>
  <c r="B379" i="22"/>
  <c r="B196" i="19"/>
  <c r="B252" i="19"/>
  <c r="B253" i="19"/>
  <c r="B254" i="19"/>
  <c r="B304" i="19"/>
  <c r="B303" i="19"/>
  <c r="B302" i="19"/>
  <c r="B260" i="19"/>
  <c r="B261" i="19"/>
  <c r="B262" i="19"/>
  <c r="D293" i="19"/>
  <c r="D294" i="19"/>
  <c r="D292" i="19"/>
  <c r="W14" i="23"/>
  <c r="H250" i="22"/>
  <c r="G250" i="22"/>
  <c r="B191" i="22"/>
  <c r="B190" i="19"/>
  <c r="W23" i="23"/>
  <c r="D534" i="22"/>
  <c r="W8" i="23"/>
  <c r="F66" i="22"/>
  <c r="E66" i="22"/>
  <c r="B297" i="19"/>
  <c r="B296" i="19"/>
  <c r="B193" i="19"/>
  <c r="B475" i="22"/>
  <c r="B199" i="19"/>
  <c r="W11" i="23"/>
  <c r="E158" i="22"/>
  <c r="F158" i="22"/>
  <c r="D161" i="22"/>
  <c r="B276" i="19"/>
  <c r="B277" i="19"/>
  <c r="B278" i="19"/>
  <c r="C139" i="19"/>
  <c r="C280" i="19" s="1"/>
  <c r="D77" i="21" s="1"/>
  <c r="W19" i="23"/>
  <c r="L410" i="22"/>
  <c r="M410" i="22"/>
  <c r="K410" i="22"/>
  <c r="B67" i="22"/>
  <c r="B186" i="19"/>
  <c r="F315" i="22"/>
  <c r="F317" i="22" s="1"/>
  <c r="E315" i="22"/>
  <c r="E317" i="22" s="1"/>
  <c r="W12" i="23"/>
  <c r="H190" i="22"/>
  <c r="G190" i="22"/>
  <c r="B200" i="19"/>
  <c r="B505" i="22"/>
  <c r="D145" i="19"/>
  <c r="B127" i="22"/>
  <c r="B188" i="19"/>
  <c r="C136" i="19"/>
  <c r="C133" i="19"/>
  <c r="D142" i="19"/>
  <c r="C140" i="19"/>
  <c r="C282" i="19" s="1"/>
  <c r="D79" i="21" s="1"/>
  <c r="W17" i="23"/>
  <c r="I346" i="22"/>
  <c r="H346" i="22"/>
  <c r="C288" i="19"/>
  <c r="W16" i="23"/>
  <c r="H314" i="22"/>
  <c r="G314" i="22"/>
  <c r="B443" i="22"/>
  <c r="B198" i="19"/>
  <c r="F283" i="22"/>
  <c r="E283" i="22"/>
  <c r="E285" i="22" s="1"/>
  <c r="C292" i="19"/>
  <c r="C294" i="19"/>
  <c r="C293" i="19"/>
  <c r="C14" i="21"/>
  <c r="B411" i="22"/>
  <c r="B197" i="19"/>
  <c r="B347" i="22"/>
  <c r="B195" i="19"/>
  <c r="W25" i="23"/>
  <c r="B274" i="19"/>
  <c r="B272" i="19"/>
  <c r="B273" i="19"/>
  <c r="D24" i="20"/>
  <c r="M79" i="21"/>
  <c r="B311" i="19"/>
  <c r="B312" i="19"/>
  <c r="B310" i="19"/>
  <c r="B595" i="22"/>
  <c r="B203" i="19"/>
  <c r="X11" i="23"/>
  <c r="Y11" i="23" s="1"/>
  <c r="E159" i="22"/>
  <c r="E161" i="22" s="1"/>
  <c r="F159" i="22"/>
  <c r="F161" i="22" s="1"/>
  <c r="B253" i="22"/>
  <c r="B99" i="22"/>
  <c r="B187" i="19"/>
  <c r="B625" i="22"/>
  <c r="B204" i="19"/>
  <c r="D150" i="19"/>
  <c r="D297" i="19"/>
  <c r="D296" i="19"/>
  <c r="W21" i="23"/>
  <c r="L474" i="22"/>
  <c r="M474" i="22"/>
  <c r="K474" i="22"/>
  <c r="M77" i="21"/>
  <c r="D23" i="20"/>
  <c r="I189" i="24"/>
  <c r="C289" i="19" l="1"/>
  <c r="C278" i="19"/>
  <c r="E77" i="21"/>
  <c r="C276" i="19"/>
  <c r="I185" i="24" s="1"/>
  <c r="C51" i="25" s="1"/>
  <c r="I191" i="24"/>
  <c r="S77" i="21"/>
  <c r="B21" i="25"/>
  <c r="C21" i="25"/>
  <c r="K77" i="21"/>
  <c r="T77" i="21"/>
  <c r="V77" i="21"/>
  <c r="J77" i="21"/>
  <c r="U77" i="21"/>
  <c r="E108" i="21"/>
  <c r="D61" i="20"/>
  <c r="M108" i="21"/>
  <c r="I220" i="24"/>
  <c r="B290" i="24" s="1"/>
  <c r="D108" i="21"/>
  <c r="N90" i="21"/>
  <c r="E58" i="20"/>
  <c r="X15" i="23"/>
  <c r="Y15" i="23" s="1"/>
  <c r="H283" i="22"/>
  <c r="H285" i="22" s="1"/>
  <c r="G283" i="22"/>
  <c r="G285" i="22" s="1"/>
  <c r="N87" i="21"/>
  <c r="E75" i="20"/>
  <c r="C257" i="19"/>
  <c r="C258" i="19"/>
  <c r="C256" i="19"/>
  <c r="D299" i="19"/>
  <c r="D300" i="19"/>
  <c r="X16" i="23"/>
  <c r="Y16" i="23" s="1"/>
  <c r="H315" i="22"/>
  <c r="H317" i="22" s="1"/>
  <c r="G315" i="22"/>
  <c r="G317" i="22" s="1"/>
  <c r="D73" i="20"/>
  <c r="M75" i="21"/>
  <c r="E75" i="21"/>
  <c r="I187" i="24"/>
  <c r="B314" i="24" s="1"/>
  <c r="D75" i="21"/>
  <c r="I475" i="22"/>
  <c r="I477" i="22" s="1"/>
  <c r="J475" i="22"/>
  <c r="B477" i="22"/>
  <c r="N73" i="21"/>
  <c r="O89" i="21"/>
  <c r="F27" i="20"/>
  <c r="I170" i="24"/>
  <c r="B278" i="24" s="1"/>
  <c r="M58" i="21"/>
  <c r="D58" i="21"/>
  <c r="E58" i="21"/>
  <c r="D51" i="20"/>
  <c r="D79" i="20"/>
  <c r="D101" i="21"/>
  <c r="E101" i="21"/>
  <c r="I213" i="24"/>
  <c r="B320" i="24" s="1"/>
  <c r="M101" i="21"/>
  <c r="M65" i="21"/>
  <c r="D20" i="20"/>
  <c r="D19" i="20"/>
  <c r="M61" i="21"/>
  <c r="E61" i="21"/>
  <c r="I173" i="24"/>
  <c r="C48" i="25" s="1"/>
  <c r="D61" i="21"/>
  <c r="C299" i="19"/>
  <c r="C300" i="19"/>
  <c r="D286" i="19"/>
  <c r="D285" i="19"/>
  <c r="D284" i="19"/>
  <c r="D68" i="20"/>
  <c r="M55" i="21"/>
  <c r="D55" i="21"/>
  <c r="I167" i="24"/>
  <c r="B309" i="24" s="1"/>
  <c r="M87" i="21"/>
  <c r="D75" i="20"/>
  <c r="M115" i="21"/>
  <c r="D34" i="20"/>
  <c r="D33" i="20"/>
  <c r="E111" i="21"/>
  <c r="D111" i="21"/>
  <c r="M111" i="21"/>
  <c r="I223" i="24"/>
  <c r="C60" i="25" s="1"/>
  <c r="D60" i="20"/>
  <c r="E104" i="21"/>
  <c r="I216" i="24"/>
  <c r="B289" i="24" s="1"/>
  <c r="M104" i="21"/>
  <c r="D104" i="21"/>
  <c r="O93" i="21"/>
  <c r="F28" i="20"/>
  <c r="E625" i="22"/>
  <c r="E627" i="22" s="1"/>
  <c r="F625" i="22"/>
  <c r="B627" i="22"/>
  <c r="C595" i="22"/>
  <c r="B597" i="22"/>
  <c r="E70" i="21"/>
  <c r="D70" i="21"/>
  <c r="D54" i="20"/>
  <c r="I182" i="24"/>
  <c r="B281" i="24" s="1"/>
  <c r="M70" i="21"/>
  <c r="I411" i="22"/>
  <c r="I413" i="22" s="1"/>
  <c r="J411" i="22"/>
  <c r="B413" i="22"/>
  <c r="N91" i="21"/>
  <c r="E76" i="20"/>
  <c r="N85" i="21"/>
  <c r="E26" i="20"/>
  <c r="C270" i="19"/>
  <c r="C269" i="19"/>
  <c r="C268" i="19"/>
  <c r="D65" i="21" s="1"/>
  <c r="C505" i="22"/>
  <c r="B507" i="22"/>
  <c r="D234" i="19"/>
  <c r="E234" i="19" s="1"/>
  <c r="F234" i="19" s="1"/>
  <c r="D55" i="20"/>
  <c r="M74" i="21"/>
  <c r="I186" i="24"/>
  <c r="B282" i="24" s="1"/>
  <c r="D74" i="21"/>
  <c r="E73" i="20"/>
  <c r="N75" i="21"/>
  <c r="F76" i="20"/>
  <c r="O91" i="21"/>
  <c r="D57" i="21"/>
  <c r="E57" i="21"/>
  <c r="D18" i="20"/>
  <c r="M57" i="21"/>
  <c r="I169" i="24"/>
  <c r="C47" i="25" s="1"/>
  <c r="D67" i="20"/>
  <c r="M51" i="21"/>
  <c r="E51" i="21"/>
  <c r="D51" i="21"/>
  <c r="I163" i="24"/>
  <c r="B308" i="24" s="1"/>
  <c r="F379" i="22"/>
  <c r="F381" i="22" s="1"/>
  <c r="G379" i="22"/>
  <c r="B381" i="22"/>
  <c r="X14" i="23"/>
  <c r="Y14" i="23" s="1"/>
  <c r="H251" i="22"/>
  <c r="H253" i="22" s="1"/>
  <c r="G251" i="22"/>
  <c r="G253" i="22" s="1"/>
  <c r="E34" i="20"/>
  <c r="N115" i="21"/>
  <c r="M67" i="21"/>
  <c r="D71" i="20"/>
  <c r="E67" i="21"/>
  <c r="I179" i="24"/>
  <c r="B312" i="24" s="1"/>
  <c r="D70" i="20"/>
  <c r="E63" i="21"/>
  <c r="M63" i="21"/>
  <c r="I175" i="24"/>
  <c r="B311" i="24" s="1"/>
  <c r="E48" i="25" s="1"/>
  <c r="D63" i="21"/>
  <c r="F285" i="22"/>
  <c r="D50" i="20"/>
  <c r="M54" i="21"/>
  <c r="E54" i="21"/>
  <c r="I166" i="24"/>
  <c r="B277" i="24" s="1"/>
  <c r="M90" i="21"/>
  <c r="D58" i="20"/>
  <c r="E90" i="21"/>
  <c r="D90" i="21"/>
  <c r="I202" i="24"/>
  <c r="B285" i="24" s="1"/>
  <c r="D63" i="20"/>
  <c r="M116" i="21"/>
  <c r="E113" i="21"/>
  <c r="M113" i="21"/>
  <c r="I225" i="24"/>
  <c r="B323" i="24" s="1"/>
  <c r="E60" i="25" s="1"/>
  <c r="D82" i="20"/>
  <c r="D113" i="21"/>
  <c r="D74" i="20"/>
  <c r="M83" i="21"/>
  <c r="O94" i="21"/>
  <c r="F77" i="20"/>
  <c r="K79" i="21"/>
  <c r="C22" i="25"/>
  <c r="S79" i="21"/>
  <c r="U79" i="21"/>
  <c r="B22" i="25"/>
  <c r="T79" i="21"/>
  <c r="J79" i="21"/>
  <c r="V79" i="21"/>
  <c r="N89" i="21"/>
  <c r="E27" i="20"/>
  <c r="I443" i="22"/>
  <c r="I445" i="22" s="1"/>
  <c r="J443" i="22"/>
  <c r="B445" i="22"/>
  <c r="E79" i="21"/>
  <c r="E24" i="20"/>
  <c r="N79" i="21"/>
  <c r="D67" i="22"/>
  <c r="B69" i="22"/>
  <c r="D22" i="20"/>
  <c r="M73" i="21"/>
  <c r="E73" i="21"/>
  <c r="D28" i="20"/>
  <c r="M93" i="21"/>
  <c r="E93" i="21"/>
  <c r="I205" i="24"/>
  <c r="C55" i="25" s="1"/>
  <c r="D93" i="21"/>
  <c r="E74" i="21"/>
  <c r="E55" i="20"/>
  <c r="N74" i="21"/>
  <c r="W46" i="23"/>
  <c r="O90" i="21"/>
  <c r="F58" i="20"/>
  <c r="M99" i="21"/>
  <c r="D30" i="20"/>
  <c r="E99" i="21"/>
  <c r="D99" i="21"/>
  <c r="I211" i="24"/>
  <c r="C57" i="25" s="1"/>
  <c r="D49" i="20"/>
  <c r="M50" i="21"/>
  <c r="E50" i="21"/>
  <c r="I162" i="24"/>
  <c r="B276" i="24" s="1"/>
  <c r="D50" i="21"/>
  <c r="D78" i="20"/>
  <c r="M97" i="21"/>
  <c r="E97" i="21"/>
  <c r="I209" i="24"/>
  <c r="B319" i="24" s="1"/>
  <c r="D97" i="21"/>
  <c r="E63" i="20"/>
  <c r="N116" i="21"/>
  <c r="D53" i="20"/>
  <c r="M66" i="21"/>
  <c r="I178" i="24"/>
  <c r="B280" i="24" s="1"/>
  <c r="D66" i="21"/>
  <c r="N93" i="21"/>
  <c r="E28" i="20"/>
  <c r="C219" i="22"/>
  <c r="B221" i="22"/>
  <c r="D26" i="20"/>
  <c r="M85" i="21"/>
  <c r="M91" i="21"/>
  <c r="D76" i="20"/>
  <c r="E91" i="21"/>
  <c r="D91" i="21"/>
  <c r="I203" i="24"/>
  <c r="B317" i="24" s="1"/>
  <c r="M117" i="21"/>
  <c r="D83" i="20"/>
  <c r="M103" i="21"/>
  <c r="E103" i="21"/>
  <c r="D103" i="21"/>
  <c r="D31" i="20"/>
  <c r="I215" i="24"/>
  <c r="C58" i="25" s="1"/>
  <c r="D25" i="20"/>
  <c r="M81" i="21"/>
  <c r="L77" i="21"/>
  <c r="P77" i="21"/>
  <c r="R77" i="21"/>
  <c r="M107" i="21"/>
  <c r="D32" i="20"/>
  <c r="I219" i="24"/>
  <c r="C59" i="25" s="1"/>
  <c r="E107" i="21"/>
  <c r="D107" i="21"/>
  <c r="D21" i="20"/>
  <c r="E69" i="21"/>
  <c r="D69" i="21"/>
  <c r="M69" i="21"/>
  <c r="I181" i="24"/>
  <c r="C50" i="25" s="1"/>
  <c r="D319" i="19"/>
  <c r="I228" i="24" s="1"/>
  <c r="B292" i="24" s="1"/>
  <c r="D318" i="19"/>
  <c r="I227" i="24" s="1"/>
  <c r="C61" i="25" s="1"/>
  <c r="D320" i="19"/>
  <c r="E99" i="22"/>
  <c r="E101" i="22" s="1"/>
  <c r="F99" i="22"/>
  <c r="B101" i="22"/>
  <c r="D81" i="20"/>
  <c r="M109" i="21"/>
  <c r="I221" i="24"/>
  <c r="B322" i="24" s="1"/>
  <c r="E59" i="25" s="1"/>
  <c r="D109" i="21"/>
  <c r="E109" i="21"/>
  <c r="D72" i="20"/>
  <c r="E71" i="21"/>
  <c r="M71" i="21"/>
  <c r="I183" i="24"/>
  <c r="B313" i="24" s="1"/>
  <c r="E50" i="25" s="1"/>
  <c r="D71" i="21"/>
  <c r="F347" i="22"/>
  <c r="F349" i="22" s="1"/>
  <c r="G347" i="22"/>
  <c r="B349" i="22"/>
  <c r="N86" i="21"/>
  <c r="E57" i="20"/>
  <c r="D290" i="19"/>
  <c r="D289" i="19"/>
  <c r="D288" i="19"/>
  <c r="D85" i="21" s="1"/>
  <c r="C127" i="22"/>
  <c r="B129" i="22"/>
  <c r="E23" i="20"/>
  <c r="N77" i="21"/>
  <c r="Q77" i="21" s="1"/>
  <c r="M94" i="21"/>
  <c r="D77" i="20"/>
  <c r="E94" i="21"/>
  <c r="I206" i="24"/>
  <c r="B318" i="24" s="1"/>
  <c r="E55" i="25" s="1"/>
  <c r="D94" i="21"/>
  <c r="E191" i="22"/>
  <c r="E193" i="22" s="1"/>
  <c r="F191" i="22"/>
  <c r="B193" i="22"/>
  <c r="D59" i="21"/>
  <c r="M59" i="21"/>
  <c r="I171" i="24"/>
  <c r="B310" i="24" s="1"/>
  <c r="D69" i="20"/>
  <c r="E59" i="21"/>
  <c r="M100" i="21"/>
  <c r="D100" i="21"/>
  <c r="D59" i="20"/>
  <c r="E100" i="21"/>
  <c r="I212" i="24"/>
  <c r="B288" i="24" s="1"/>
  <c r="D57" i="25" s="1"/>
  <c r="M49" i="21"/>
  <c r="E49" i="21"/>
  <c r="D16" i="20"/>
  <c r="I161" i="24"/>
  <c r="C45" i="25" s="1"/>
  <c r="D49" i="21"/>
  <c r="C535" i="22"/>
  <c r="B537" i="22"/>
  <c r="M96" i="21"/>
  <c r="D29" i="20"/>
  <c r="E96" i="21"/>
  <c r="D96" i="21"/>
  <c r="I208" i="24"/>
  <c r="C56" i="25" s="1"/>
  <c r="E83" i="20"/>
  <c r="N117" i="21"/>
  <c r="M62" i="21"/>
  <c r="E62" i="21"/>
  <c r="D52" i="20"/>
  <c r="I174" i="24"/>
  <c r="B279" i="24" s="1"/>
  <c r="D48" i="25" s="1"/>
  <c r="D62" i="21"/>
  <c r="E77" i="20"/>
  <c r="N94" i="21"/>
  <c r="C565" i="22"/>
  <c r="B567" i="22"/>
  <c r="C284" i="19"/>
  <c r="C286" i="19"/>
  <c r="C285" i="19"/>
  <c r="M53" i="21"/>
  <c r="D17" i="20"/>
  <c r="E53" i="21"/>
  <c r="I165" i="24"/>
  <c r="C46" i="25" s="1"/>
  <c r="M86" i="21"/>
  <c r="D57" i="20"/>
  <c r="E86" i="21"/>
  <c r="D86" i="21"/>
  <c r="I198" i="24"/>
  <c r="B284" i="24" s="1"/>
  <c r="M89" i="21"/>
  <c r="D27" i="20"/>
  <c r="E89" i="21"/>
  <c r="I201" i="24"/>
  <c r="C54" i="25" s="1"/>
  <c r="D89" i="21"/>
  <c r="E112" i="21"/>
  <c r="D112" i="21"/>
  <c r="D62" i="20"/>
  <c r="M112" i="21"/>
  <c r="I224" i="24"/>
  <c r="B291" i="24" s="1"/>
  <c r="D60" i="25" s="1"/>
  <c r="D80" i="20"/>
  <c r="M105" i="21"/>
  <c r="D105" i="21"/>
  <c r="I217" i="24"/>
  <c r="B321" i="24" s="1"/>
  <c r="E58" i="25" s="1"/>
  <c r="E105" i="21"/>
  <c r="D56" i="20"/>
  <c r="M82" i="21"/>
  <c r="E82" i="21"/>
  <c r="I194" i="24"/>
  <c r="B283" i="24" s="1"/>
  <c r="D82" i="21"/>
  <c r="D61" i="25" l="1"/>
  <c r="E22" i="20"/>
  <c r="D73" i="21"/>
  <c r="E47" i="25"/>
  <c r="V65" i="21"/>
  <c r="B18" i="25"/>
  <c r="U65" i="21"/>
  <c r="J65" i="21"/>
  <c r="S65" i="21"/>
  <c r="K65" i="21"/>
  <c r="C18" i="25"/>
  <c r="T65" i="21"/>
  <c r="B24" i="25"/>
  <c r="S85" i="21"/>
  <c r="T85" i="21"/>
  <c r="C24" i="25"/>
  <c r="V85" i="21"/>
  <c r="U85" i="21"/>
  <c r="J85" i="21"/>
  <c r="K85" i="21"/>
  <c r="P112" i="21"/>
  <c r="R112" i="21"/>
  <c r="Q112" i="21"/>
  <c r="L86" i="21"/>
  <c r="Q86" i="21"/>
  <c r="P86" i="21"/>
  <c r="L53" i="21"/>
  <c r="P53" i="21"/>
  <c r="R53" i="21"/>
  <c r="N83" i="21"/>
  <c r="E74" i="20"/>
  <c r="U49" i="21"/>
  <c r="S49" i="21"/>
  <c r="B14" i="25"/>
  <c r="C14" i="25"/>
  <c r="V49" i="21"/>
  <c r="K49" i="21"/>
  <c r="T49" i="21"/>
  <c r="J49" i="21"/>
  <c r="V100" i="21"/>
  <c r="T100" i="21"/>
  <c r="S100" i="21"/>
  <c r="U100" i="21"/>
  <c r="X12" i="23"/>
  <c r="Y12" i="23" s="1"/>
  <c r="H191" i="22"/>
  <c r="H193" i="22" s="1"/>
  <c r="G191" i="22"/>
  <c r="G193" i="22" s="1"/>
  <c r="F193" i="22"/>
  <c r="L94" i="21"/>
  <c r="Q94" i="21"/>
  <c r="P94" i="21"/>
  <c r="R94" i="21"/>
  <c r="O86" i="21"/>
  <c r="R86" i="21" s="1"/>
  <c r="F57" i="20"/>
  <c r="L109" i="21"/>
  <c r="P109" i="21"/>
  <c r="R109" i="21"/>
  <c r="Q109" i="21"/>
  <c r="O117" i="21"/>
  <c r="F83" i="20"/>
  <c r="K107" i="21"/>
  <c r="S107" i="21"/>
  <c r="V107" i="21"/>
  <c r="B30" i="25"/>
  <c r="C30" i="25"/>
  <c r="J107" i="21"/>
  <c r="T107" i="21"/>
  <c r="U107" i="21"/>
  <c r="K103" i="21"/>
  <c r="C29" i="25"/>
  <c r="U103" i="21"/>
  <c r="T103" i="21"/>
  <c r="B29" i="25"/>
  <c r="S103" i="21"/>
  <c r="J103" i="21"/>
  <c r="V103" i="21"/>
  <c r="D117" i="21"/>
  <c r="E54" i="25"/>
  <c r="J97" i="21"/>
  <c r="K97" i="21"/>
  <c r="T97" i="21"/>
  <c r="V97" i="21"/>
  <c r="S97" i="21"/>
  <c r="U97" i="21"/>
  <c r="L99" i="21"/>
  <c r="Q99" i="21"/>
  <c r="P99" i="21"/>
  <c r="R99" i="21"/>
  <c r="L79" i="21"/>
  <c r="Q79" i="21"/>
  <c r="P79" i="21"/>
  <c r="R79" i="21"/>
  <c r="I195" i="24"/>
  <c r="B315" i="24" s="1"/>
  <c r="E83" i="21"/>
  <c r="J90" i="21"/>
  <c r="T90" i="21"/>
  <c r="K90" i="21"/>
  <c r="S90" i="21"/>
  <c r="U90" i="21"/>
  <c r="V90" i="21"/>
  <c r="D46" i="25"/>
  <c r="R67" i="21"/>
  <c r="P67" i="21"/>
  <c r="L67" i="21"/>
  <c r="E45" i="25"/>
  <c r="L57" i="21"/>
  <c r="R57" i="21"/>
  <c r="Q57" i="21"/>
  <c r="P57" i="21"/>
  <c r="D51" i="25"/>
  <c r="D67" i="21"/>
  <c r="N67" i="21"/>
  <c r="Q67" i="21" s="1"/>
  <c r="E71" i="20"/>
  <c r="X25" i="23"/>
  <c r="Y25" i="23" s="1"/>
  <c r="C597" i="22"/>
  <c r="D58" i="25"/>
  <c r="N97" i="21"/>
  <c r="E78" i="20"/>
  <c r="L61" i="21"/>
  <c r="Q61" i="21"/>
  <c r="P61" i="21"/>
  <c r="R61" i="21"/>
  <c r="X21" i="23"/>
  <c r="Y21" i="23" s="1"/>
  <c r="L475" i="22"/>
  <c r="L477" i="22" s="1"/>
  <c r="M475" i="22"/>
  <c r="M477" i="22" s="1"/>
  <c r="K475" i="22"/>
  <c r="K477" i="22" s="1"/>
  <c r="J477" i="22"/>
  <c r="L75" i="21"/>
  <c r="R75" i="21"/>
  <c r="Q75" i="21"/>
  <c r="P75" i="21"/>
  <c r="D53" i="21"/>
  <c r="N53" i="21"/>
  <c r="Q53" i="21" s="1"/>
  <c r="E17" i="20"/>
  <c r="D59" i="25"/>
  <c r="L105" i="21"/>
  <c r="Q105" i="21"/>
  <c r="R105" i="21"/>
  <c r="P105" i="21"/>
  <c r="P82" i="21"/>
  <c r="R82" i="21"/>
  <c r="Q82" i="21"/>
  <c r="U89" i="21"/>
  <c r="T89" i="21"/>
  <c r="J89" i="21"/>
  <c r="V89" i="21"/>
  <c r="B25" i="25"/>
  <c r="S89" i="21"/>
  <c r="C25" i="25"/>
  <c r="K89" i="21"/>
  <c r="N81" i="21"/>
  <c r="E25" i="20"/>
  <c r="L62" i="21"/>
  <c r="R62" i="21"/>
  <c r="Q62" i="21"/>
  <c r="P62" i="21"/>
  <c r="O87" i="21"/>
  <c r="F75" i="20"/>
  <c r="X17" i="23"/>
  <c r="Y17" i="23" s="1"/>
  <c r="I347" i="22"/>
  <c r="I349" i="22" s="1"/>
  <c r="H347" i="22"/>
  <c r="H349" i="22" s="1"/>
  <c r="G349" i="22"/>
  <c r="J109" i="21"/>
  <c r="T109" i="21"/>
  <c r="S109" i="21"/>
  <c r="U109" i="21"/>
  <c r="V109" i="21"/>
  <c r="F34" i="20"/>
  <c r="O115" i="21"/>
  <c r="K69" i="21"/>
  <c r="B19" i="25"/>
  <c r="C19" i="25"/>
  <c r="J69" i="21"/>
  <c r="T69" i="21"/>
  <c r="S69" i="21"/>
  <c r="U69" i="21"/>
  <c r="V69" i="21"/>
  <c r="L107" i="21"/>
  <c r="R107" i="21"/>
  <c r="Q107" i="21"/>
  <c r="P107" i="21"/>
  <c r="I193" i="24"/>
  <c r="C52" i="25" s="1"/>
  <c r="L103" i="21"/>
  <c r="P103" i="21"/>
  <c r="R103" i="21"/>
  <c r="Q103" i="21"/>
  <c r="E117" i="21"/>
  <c r="J91" i="21"/>
  <c r="T91" i="21"/>
  <c r="V91" i="21"/>
  <c r="S91" i="21"/>
  <c r="U91" i="21"/>
  <c r="K91" i="21"/>
  <c r="I197" i="24"/>
  <c r="C53" i="25" s="1"/>
  <c r="E56" i="25"/>
  <c r="V50" i="21"/>
  <c r="U50" i="21"/>
  <c r="K50" i="21"/>
  <c r="T50" i="21"/>
  <c r="J50" i="21"/>
  <c r="S50" i="21"/>
  <c r="L93" i="21"/>
  <c r="R93" i="21"/>
  <c r="P93" i="21"/>
  <c r="Q93" i="21"/>
  <c r="L73" i="21"/>
  <c r="R73" i="21"/>
  <c r="P73" i="21"/>
  <c r="Q73" i="21"/>
  <c r="X8" i="23"/>
  <c r="F67" i="22"/>
  <c r="F69" i="22" s="1"/>
  <c r="E67" i="22"/>
  <c r="E69" i="22" s="1"/>
  <c r="D69" i="22"/>
  <c r="D83" i="21"/>
  <c r="S113" i="21"/>
  <c r="U113" i="21"/>
  <c r="T113" i="21"/>
  <c r="V113" i="21"/>
  <c r="P113" i="21"/>
  <c r="R113" i="21"/>
  <c r="Q113" i="21"/>
  <c r="L90" i="21"/>
  <c r="P90" i="21"/>
  <c r="R90" i="21"/>
  <c r="Q90" i="21"/>
  <c r="L54" i="21"/>
  <c r="R54" i="21"/>
  <c r="P54" i="21"/>
  <c r="L63" i="21"/>
  <c r="Q63" i="21"/>
  <c r="P63" i="21"/>
  <c r="R63" i="21"/>
  <c r="K51" i="21"/>
  <c r="V51" i="21"/>
  <c r="U51" i="21"/>
  <c r="T51" i="21"/>
  <c r="J51" i="21"/>
  <c r="S51" i="21"/>
  <c r="K57" i="21"/>
  <c r="B16" i="25"/>
  <c r="C16" i="25"/>
  <c r="J57" i="21"/>
  <c r="T57" i="21"/>
  <c r="U57" i="21"/>
  <c r="S57" i="21"/>
  <c r="V57" i="21"/>
  <c r="X22" i="23"/>
  <c r="Y22" i="23" s="1"/>
  <c r="D505" i="22"/>
  <c r="D507" i="22" s="1"/>
  <c r="C507" i="22"/>
  <c r="T70" i="21"/>
  <c r="S70" i="21"/>
  <c r="V70" i="21"/>
  <c r="U70" i="21"/>
  <c r="L104" i="21"/>
  <c r="P104" i="21"/>
  <c r="R104" i="21"/>
  <c r="Q104" i="21"/>
  <c r="S111" i="21"/>
  <c r="C31" i="25"/>
  <c r="U111" i="21"/>
  <c r="V111" i="21"/>
  <c r="T111" i="21"/>
  <c r="E115" i="21"/>
  <c r="I199" i="24"/>
  <c r="B316" i="24" s="1"/>
  <c r="E53" i="25" s="1"/>
  <c r="E46" i="25"/>
  <c r="O81" i="21"/>
  <c r="F25" i="20"/>
  <c r="N96" i="21"/>
  <c r="E29" i="20"/>
  <c r="E57" i="25"/>
  <c r="D47" i="25"/>
  <c r="E55" i="21"/>
  <c r="E68" i="20"/>
  <c r="N55" i="21"/>
  <c r="D87" i="21"/>
  <c r="S112" i="21"/>
  <c r="U112" i="21"/>
  <c r="V112" i="21"/>
  <c r="T112" i="21"/>
  <c r="J105" i="21"/>
  <c r="T105" i="21"/>
  <c r="U105" i="21"/>
  <c r="S105" i="21"/>
  <c r="V105" i="21"/>
  <c r="T82" i="21"/>
  <c r="S82" i="21"/>
  <c r="V82" i="21"/>
  <c r="U82" i="21"/>
  <c r="D53" i="25"/>
  <c r="J62" i="21"/>
  <c r="U62" i="21"/>
  <c r="K62" i="21"/>
  <c r="T62" i="21"/>
  <c r="S62" i="21"/>
  <c r="V62" i="21"/>
  <c r="J96" i="21"/>
  <c r="V96" i="21"/>
  <c r="S96" i="21"/>
  <c r="T96" i="21"/>
  <c r="K96" i="21"/>
  <c r="U96" i="21"/>
  <c r="B27" i="25"/>
  <c r="C27" i="25"/>
  <c r="P100" i="21"/>
  <c r="Q100" i="21"/>
  <c r="R100" i="21"/>
  <c r="R59" i="21"/>
  <c r="Q59" i="21"/>
  <c r="P59" i="21"/>
  <c r="V59" i="21"/>
  <c r="U59" i="21"/>
  <c r="T59" i="21"/>
  <c r="S59" i="21"/>
  <c r="V94" i="21"/>
  <c r="J94" i="21"/>
  <c r="U94" i="21"/>
  <c r="T94" i="21"/>
  <c r="K94" i="21"/>
  <c r="S94" i="21"/>
  <c r="X10" i="23"/>
  <c r="Y10" i="23" s="1"/>
  <c r="D127" i="22"/>
  <c r="D129" i="22" s="1"/>
  <c r="C129" i="22"/>
  <c r="R71" i="21"/>
  <c r="Q71" i="21"/>
  <c r="P71" i="21"/>
  <c r="X9" i="23"/>
  <c r="Y9" i="23" s="1"/>
  <c r="H99" i="22"/>
  <c r="H101" i="22" s="1"/>
  <c r="G99" i="22"/>
  <c r="G101" i="22" s="1"/>
  <c r="F101" i="22"/>
  <c r="O116" i="21"/>
  <c r="F63" i="20"/>
  <c r="L69" i="21"/>
  <c r="P69" i="21"/>
  <c r="R69" i="21"/>
  <c r="Q69" i="21"/>
  <c r="D81" i="21"/>
  <c r="L91" i="21"/>
  <c r="R91" i="21"/>
  <c r="Q91" i="21"/>
  <c r="P91" i="21"/>
  <c r="U66" i="21"/>
  <c r="V66" i="21"/>
  <c r="S66" i="21"/>
  <c r="J66" i="21"/>
  <c r="T66" i="21"/>
  <c r="K66" i="21"/>
  <c r="L97" i="21"/>
  <c r="P97" i="21"/>
  <c r="Q97" i="21"/>
  <c r="D45" i="25"/>
  <c r="Q74" i="21"/>
  <c r="P74" i="21"/>
  <c r="R74" i="21"/>
  <c r="X20" i="23"/>
  <c r="Y20" i="23" s="1"/>
  <c r="L443" i="22"/>
  <c r="L445" i="22" s="1"/>
  <c r="M443" i="22"/>
  <c r="M445" i="22" s="1"/>
  <c r="K443" i="22"/>
  <c r="K445" i="22" s="1"/>
  <c r="J445" i="22"/>
  <c r="D116" i="21"/>
  <c r="S63" i="21"/>
  <c r="K63" i="21"/>
  <c r="V63" i="21"/>
  <c r="J63" i="21"/>
  <c r="U63" i="21"/>
  <c r="T63" i="21"/>
  <c r="X18" i="23"/>
  <c r="Y18" i="23" s="1"/>
  <c r="I379" i="22"/>
  <c r="I381" i="22" s="1"/>
  <c r="H379" i="22"/>
  <c r="H381" i="22" s="1"/>
  <c r="G381" i="22"/>
  <c r="L51" i="21"/>
  <c r="R51" i="21"/>
  <c r="Q51" i="21"/>
  <c r="P51" i="21"/>
  <c r="E65" i="21"/>
  <c r="E20" i="20"/>
  <c r="N65" i="21"/>
  <c r="R70" i="21"/>
  <c r="Q70" i="21"/>
  <c r="P70" i="21"/>
  <c r="X26" i="23"/>
  <c r="Y26" i="23" s="1"/>
  <c r="G625" i="22"/>
  <c r="G627" i="22" s="1"/>
  <c r="F627" i="22"/>
  <c r="J104" i="21"/>
  <c r="U104" i="21"/>
  <c r="T104" i="21"/>
  <c r="V104" i="21"/>
  <c r="S104" i="21"/>
  <c r="Q111" i="21"/>
  <c r="R111" i="21"/>
  <c r="P111" i="21"/>
  <c r="D115" i="21"/>
  <c r="E87" i="21"/>
  <c r="J55" i="21"/>
  <c r="V55" i="21"/>
  <c r="U55" i="21"/>
  <c r="T55" i="21"/>
  <c r="K55" i="21"/>
  <c r="S55" i="21"/>
  <c r="F56" i="20"/>
  <c r="O82" i="21"/>
  <c r="B17" i="25"/>
  <c r="V61" i="21"/>
  <c r="K61" i="21"/>
  <c r="U61" i="21"/>
  <c r="J61" i="21"/>
  <c r="S61" i="21"/>
  <c r="T61" i="21"/>
  <c r="C17" i="25"/>
  <c r="L101" i="21"/>
  <c r="P101" i="21"/>
  <c r="R101" i="21"/>
  <c r="Q101" i="21"/>
  <c r="P58" i="21"/>
  <c r="R58" i="21"/>
  <c r="Q58" i="21"/>
  <c r="K73" i="21"/>
  <c r="T73" i="21"/>
  <c r="J73" i="21"/>
  <c r="V73" i="21"/>
  <c r="C20" i="25"/>
  <c r="B20" i="25"/>
  <c r="S73" i="21"/>
  <c r="U73" i="21"/>
  <c r="J75" i="21"/>
  <c r="T75" i="21"/>
  <c r="U75" i="21"/>
  <c r="S75" i="21"/>
  <c r="V75" i="21"/>
  <c r="O97" i="21"/>
  <c r="R97" i="21" s="1"/>
  <c r="F78" i="20"/>
  <c r="D54" i="21"/>
  <c r="N54" i="21"/>
  <c r="Q54" i="21" s="1"/>
  <c r="E50" i="20"/>
  <c r="D52" i="25"/>
  <c r="L89" i="21"/>
  <c r="P89" i="21"/>
  <c r="Q89" i="21"/>
  <c r="R89" i="21"/>
  <c r="K86" i="21"/>
  <c r="T86" i="21"/>
  <c r="S86" i="21"/>
  <c r="J86" i="21"/>
  <c r="V86" i="21"/>
  <c r="U86" i="21"/>
  <c r="N82" i="21"/>
  <c r="E56" i="20"/>
  <c r="X24" i="23"/>
  <c r="Y24" i="23" s="1"/>
  <c r="D565" i="22"/>
  <c r="D567" i="22" s="1"/>
  <c r="C567" i="22"/>
  <c r="L96" i="21"/>
  <c r="Q96" i="21"/>
  <c r="P96" i="21"/>
  <c r="X23" i="23"/>
  <c r="Y23" i="23" s="1"/>
  <c r="D535" i="22"/>
  <c r="D537" i="22" s="1"/>
  <c r="C537" i="22"/>
  <c r="L49" i="21"/>
  <c r="R49" i="21"/>
  <c r="Q49" i="21"/>
  <c r="P49" i="21"/>
  <c r="O85" i="21"/>
  <c r="F26" i="20"/>
  <c r="S71" i="21"/>
  <c r="V71" i="21"/>
  <c r="T71" i="21"/>
  <c r="U71" i="21"/>
  <c r="E81" i="21"/>
  <c r="I229" i="24"/>
  <c r="B324" i="24" s="1"/>
  <c r="E61" i="25" s="1"/>
  <c r="X13" i="23"/>
  <c r="Y13" i="23" s="1"/>
  <c r="D219" i="22"/>
  <c r="D221" i="22" s="1"/>
  <c r="C221" i="22"/>
  <c r="L50" i="21"/>
  <c r="Q50" i="21"/>
  <c r="P50" i="21"/>
  <c r="R50" i="21"/>
  <c r="K99" i="21"/>
  <c r="B28" i="25"/>
  <c r="T99" i="21"/>
  <c r="U99" i="21"/>
  <c r="J99" i="21"/>
  <c r="C28" i="25"/>
  <c r="S99" i="21"/>
  <c r="V99" i="21"/>
  <c r="J93" i="21"/>
  <c r="T93" i="21"/>
  <c r="U93" i="21"/>
  <c r="K93" i="21"/>
  <c r="V93" i="21"/>
  <c r="S93" i="21"/>
  <c r="C26" i="25"/>
  <c r="B26" i="25"/>
  <c r="E116" i="21"/>
  <c r="D54" i="25"/>
  <c r="S74" i="21"/>
  <c r="T74" i="21"/>
  <c r="U74" i="21"/>
  <c r="V74" i="21"/>
  <c r="D14" i="21"/>
  <c r="E14" i="21"/>
  <c r="E66" i="21"/>
  <c r="E172" i="21" s="1"/>
  <c r="N66" i="21"/>
  <c r="E53" i="20"/>
  <c r="E85" i="21"/>
  <c r="X19" i="23"/>
  <c r="Y19" i="23" s="1"/>
  <c r="L411" i="22"/>
  <c r="L413" i="22" s="1"/>
  <c r="M411" i="22"/>
  <c r="M413" i="22" s="1"/>
  <c r="K411" i="22"/>
  <c r="K413" i="22" s="1"/>
  <c r="J413" i="22"/>
  <c r="D50" i="25"/>
  <c r="F74" i="20"/>
  <c r="O83" i="21"/>
  <c r="I177" i="24"/>
  <c r="C49" i="25" s="1"/>
  <c r="E49" i="25" s="1"/>
  <c r="J101" i="21"/>
  <c r="V101" i="21"/>
  <c r="U101" i="21"/>
  <c r="S101" i="21"/>
  <c r="T101" i="21"/>
  <c r="T58" i="21"/>
  <c r="V58" i="21"/>
  <c r="S58" i="21"/>
  <c r="U58" i="21"/>
  <c r="E51" i="25"/>
  <c r="O96" i="21"/>
  <c r="R96" i="21" s="1"/>
  <c r="F29" i="20"/>
  <c r="J108" i="21"/>
  <c r="V108" i="21"/>
  <c r="U108" i="21"/>
  <c r="S108" i="21"/>
  <c r="T108" i="21"/>
  <c r="L108" i="21"/>
  <c r="Q108" i="21"/>
  <c r="P108" i="21"/>
  <c r="R108" i="21"/>
  <c r="U54" i="21" l="1"/>
  <c r="T54" i="21"/>
  <c r="K54" i="21"/>
  <c r="S54" i="21"/>
  <c r="J54" i="21"/>
  <c r="V54" i="21"/>
  <c r="U115" i="21"/>
  <c r="S115" i="21"/>
  <c r="J115" i="21"/>
  <c r="T115" i="21"/>
  <c r="V115" i="21"/>
  <c r="C32" i="25"/>
  <c r="B32" i="25"/>
  <c r="K115" i="21"/>
  <c r="V116" i="21"/>
  <c r="U116" i="21"/>
  <c r="T116" i="21"/>
  <c r="S116" i="21"/>
  <c r="J81" i="21"/>
  <c r="B23" i="25"/>
  <c r="T81" i="21"/>
  <c r="U81" i="21"/>
  <c r="C23" i="25"/>
  <c r="K81" i="21"/>
  <c r="S81" i="21"/>
  <c r="V81" i="21"/>
  <c r="L55" i="21"/>
  <c r="Q55" i="21"/>
  <c r="P55" i="21"/>
  <c r="R55" i="21"/>
  <c r="R83" i="21"/>
  <c r="Q83" i="21"/>
  <c r="P83" i="21"/>
  <c r="L85" i="21"/>
  <c r="P85" i="21"/>
  <c r="R85" i="21"/>
  <c r="Q85" i="21"/>
  <c r="Q116" i="21"/>
  <c r="R116" i="21"/>
  <c r="P116" i="21"/>
  <c r="L65" i="21"/>
  <c r="Q65" i="21"/>
  <c r="P65" i="21"/>
  <c r="R65" i="21"/>
  <c r="J87" i="21"/>
  <c r="U87" i="21"/>
  <c r="T87" i="21"/>
  <c r="V87" i="21"/>
  <c r="K87" i="21"/>
  <c r="S87" i="21"/>
  <c r="L115" i="21"/>
  <c r="P115" i="21"/>
  <c r="Q115" i="21"/>
  <c r="R115" i="21"/>
  <c r="B15" i="25"/>
  <c r="U53" i="21"/>
  <c r="V53" i="21"/>
  <c r="J53" i="21"/>
  <c r="C15" i="25"/>
  <c r="K53" i="21"/>
  <c r="T53" i="21"/>
  <c r="S53" i="21"/>
  <c r="E52" i="25"/>
  <c r="K117" i="21"/>
  <c r="T117" i="21"/>
  <c r="J117" i="21"/>
  <c r="V117" i="21"/>
  <c r="S117" i="21"/>
  <c r="U117" i="21"/>
  <c r="L66" i="21"/>
  <c r="P66" i="21"/>
  <c r="R66" i="21"/>
  <c r="Q66" i="21"/>
  <c r="D49" i="25"/>
  <c r="L117" i="21"/>
  <c r="Q117" i="21"/>
  <c r="R117" i="21"/>
  <c r="P117" i="21"/>
  <c r="U67" i="21"/>
  <c r="K67" i="21"/>
  <c r="T67" i="21"/>
  <c r="J67" i="21"/>
  <c r="V67" i="21"/>
  <c r="S67" i="21"/>
  <c r="D172" i="21"/>
  <c r="L81" i="21"/>
  <c r="P81" i="21"/>
  <c r="R81" i="21"/>
  <c r="Q81" i="21"/>
  <c r="L87" i="21"/>
  <c r="R87" i="21"/>
  <c r="Q87" i="21"/>
  <c r="P87" i="21"/>
  <c r="T83" i="21"/>
  <c r="S83" i="21"/>
  <c r="V83" i="21"/>
  <c r="U83" i="21"/>
  <c r="X46" i="23"/>
  <c r="Y46" i="23"/>
  <c r="Y8" i="23"/>
</calcChain>
</file>

<file path=xl/sharedStrings.xml><?xml version="1.0" encoding="utf-8"?>
<sst xmlns="http://schemas.openxmlformats.org/spreadsheetml/2006/main" count="9075" uniqueCount="1833">
  <si>
    <t>1000. Company, charging year, data version</t>
  </si>
  <si>
    <t>Company</t>
  </si>
  <si>
    <t>Year</t>
  </si>
  <si>
    <t>Version</t>
  </si>
  <si>
    <t>Company, charging year, data version</t>
  </si>
  <si>
    <t>no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</si>
  <si>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</si>
  <si>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</si>
  <si>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</si>
  <si>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</si>
  <si>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</si>
  <si>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</si>
  <si>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</si>
  <si>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</si>
  <si>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</si>
  <si>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</si>
  <si>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</si>
  <si>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</si>
  <si>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</si>
  <si>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</si>
  <si>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</si>
  <si>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</si>
  <si>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</si>
  <si>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</si>
  <si>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</si>
  <si>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</si>
  <si>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</si>
  <si>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</si>
  <si>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</si>
  <si>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</si>
  <si>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</si>
  <si>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</si>
  <si>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</si>
  <si>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</si>
  <si>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</si>
  <si>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</si>
  <si>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</si>
  <si>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</si>
  <si>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</si>
  <si>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</si>
  <si>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</si>
  <si>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</si>
  <si>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</si>
  <si>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</si>
  <si>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</si>
  <si>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</si>
  <si>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</si>
  <si>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</si>
  <si>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</si>
  <si>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</si>
  <si>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</si>
  <si>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</si>
  <si>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</si>
  <si>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</si>
  <si>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</si>
  <si>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</si>
  <si>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</si>
  <si>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</si>
  <si>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</si>
  <si>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</si>
  <si>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</si>
  <si>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</si>
  <si>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</si>
  <si>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</si>
  <si>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</si>
  <si>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</si>
  <si>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</si>
  <si>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</si>
  <si>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</si>
  <si>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</si>
  <si>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</si>
  <si>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</si>
  <si>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</si>
  <si>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</si>
  <si>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</si>
  <si>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</si>
  <si>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</si>
  <si>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</si>
  <si>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</si>
  <si>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</si>
  <si>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</si>
  <si>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</si>
  <si>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</si>
  <si>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</si>
  <si>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</si>
  <si>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</si>
  <si>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</si>
  <si>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</si>
  <si>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</si>
  <si>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</si>
  <si>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</si>
  <si>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</si>
  <si>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</si>
  <si>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</si>
  <si>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</si>
  <si>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</si>
  <si>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</si>
  <si>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</si>
  <si>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</si>
  <si>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</si>
  <si>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</si>
  <si>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</si>
  <si>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</si>
  <si>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</si>
  <si>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</si>
  <si>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</si>
  <si>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</si>
  <si>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</si>
  <si>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</si>
  <si>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</si>
  <si>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</si>
  <si>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</si>
  <si>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</si>
  <si>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</si>
  <si>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</si>
  <si>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</si>
  <si>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</si>
  <si>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</si>
  <si>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</si>
  <si>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</si>
  <si>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</si>
  <si>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</si>
  <si>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</si>
  <si>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</si>
  <si>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</si>
  <si>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</si>
  <si>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</si>
  <si>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</si>
  <si>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</si>
  <si>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</si>
  <si>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</si>
  <si>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</si>
  <si>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</si>
  <si>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</si>
  <si>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</si>
  <si>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</si>
  <si>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</si>
  <si>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</si>
  <si>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</si>
  <si>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</si>
  <si>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</si>
  <si>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</si>
  <si>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</si>
  <si>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</si>
  <si>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</si>
  <si>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</si>
  <si>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</si>
  <si>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</si>
  <si>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</si>
  <si>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</si>
  <si>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</si>
  <si>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</si>
  <si>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</si>
  <si>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</si>
  <si>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</si>
  <si>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</si>
  <si>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</si>
  <si>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</si>
  <si>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</si>
  <si>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</si>
  <si>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</si>
  <si>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</si>
  <si>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</si>
  <si>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</si>
  <si>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</si>
  <si>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</si>
  <si>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</si>
  <si>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</si>
  <si>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</si>
  <si>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</si>
  <si>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</si>
  <si>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</si>
  <si>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</si>
  <si>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</si>
  <si>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</si>
  <si>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</si>
  <si>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</si>
  <si>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</si>
  <si>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</si>
  <si>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</si>
  <si>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</si>
  <si>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</si>
  <si>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</si>
  <si>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</si>
  <si>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</si>
  <si>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</si>
  <si>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</si>
  <si>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</si>
  <si>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</si>
  <si>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</si>
  <si>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</si>
  <si>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</si>
  <si>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</si>
  <si>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</si>
  <si>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</si>
  <si>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</si>
  <si>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</si>
  <si>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</si>
  <si>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</si>
  <si>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</si>
  <si>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</si>
  <si>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</si>
  <si>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</si>
  <si>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</si>
  <si>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</si>
  <si>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</si>
  <si>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</si>
  <si>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</si>
  <si>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</si>
  <si>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</si>
  <si>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</si>
  <si>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</si>
  <si>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</si>
  <si>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</si>
  <si>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</si>
  <si>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</si>
  <si>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</si>
  <si>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</si>
  <si>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</si>
  <si>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</si>
  <si>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</si>
  <si>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</si>
  <si>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</si>
  <si>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</si>
  <si>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</si>
  <si>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</si>
  <si>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</si>
  <si>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</si>
  <si>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</si>
  <si>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</si>
  <si>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</si>
  <si>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</si>
  <si>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</si>
  <si>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</si>
  <si>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</si>
  <si>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</si>
  <si>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</si>
  <si>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</si>
  <si>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</si>
  <si>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</si>
  <si>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</si>
  <si>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</si>
  <si>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</si>
  <si>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</si>
  <si>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</si>
  <si>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</si>
  <si>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</si>
  <si>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</si>
  <si>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</si>
  <si>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</si>
  <si>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</si>
  <si>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</si>
  <si>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</si>
  <si>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</si>
  <si>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</si>
  <si>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</si>
  <si>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</si>
  <si>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</si>
  <si>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</si>
  <si>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</si>
  <si>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</si>
  <si>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</si>
  <si>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</si>
  <si>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</si>
  <si>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</si>
  <si>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</si>
  <si>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</si>
  <si>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</si>
  <si>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</si>
  <si>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</si>
  <si>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</si>
  <si>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</si>
  <si>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</si>
  <si>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</si>
  <si>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</si>
  <si>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</si>
  <si>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</si>
  <si>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</si>
  <si>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</si>
  <si>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</si>
  <si>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</si>
  <si>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</si>
  <si>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</si>
  <si>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</si>
  <si>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</si>
  <si>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</si>
  <si>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</si>
  <si>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</si>
  <si>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</si>
  <si>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</si>
  <si>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</si>
  <si>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</si>
  <si>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</si>
  <si>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</si>
  <si>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</si>
  <si>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</si>
  <si>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</si>
  <si>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</si>
  <si>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</si>
  <si>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</si>
  <si>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</si>
  <si>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</si>
  <si>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</si>
  <si>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</si>
  <si>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</si>
  <si>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</si>
  <si>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</si>
  <si>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</si>
  <si>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</si>
  <si>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</si>
  <si>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</si>
  <si>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</si>
  <si>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</si>
  <si>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</si>
  <si>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</si>
  <si>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</si>
  <si>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</si>
  <si>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</si>
  <si>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</si>
  <si>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</si>
  <si>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</si>
  <si>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</si>
  <si>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</si>
  <si>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</si>
  <si>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</si>
  <si>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</si>
  <si>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</si>
  <si>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</si>
  <si>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</si>
  <si>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</si>
  <si>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</si>
  <si>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</si>
  <si>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</si>
  <si>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</si>
  <si>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</si>
  <si>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</si>
  <si>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</si>
  <si>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</si>
  <si>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</si>
  <si>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</si>
  <si>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</si>
  <si>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</si>
  <si>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</si>
  <si>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</si>
  <si>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</si>
  <si>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</si>
  <si>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</si>
  <si>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</si>
  <si>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</si>
  <si>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</si>
  <si>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</si>
  <si>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</si>
  <si>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</si>
  <si>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</si>
  <si>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</si>
  <si>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</si>
  <si>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</si>
  <si>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</si>
  <si>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</si>
  <si>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</si>
  <si>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</si>
  <si>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</si>
  <si>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</si>
  <si>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</si>
  <si>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</si>
  <si>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</si>
  <si>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</si>
  <si>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</si>
  <si>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</si>
  <si>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</si>
  <si>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</si>
  <si>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</si>
  <si>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</si>
  <si>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</si>
  <si>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</si>
  <si>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</si>
  <si>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</si>
  <si>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</si>
  <si>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</si>
  <si>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</si>
  <si>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</si>
  <si>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</si>
  <si>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</si>
  <si>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</si>
  <si>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</si>
  <si>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</si>
  <si>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</si>
  <si>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</si>
  <si>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</si>
  <si>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</si>
  <si>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</si>
  <si>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</si>
  <si>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</si>
  <si>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</si>
  <si>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</si>
  <si>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</si>
  <si>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</si>
  <si>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</si>
  <si>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</si>
  <si>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</si>
  <si>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</si>
  <si>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</si>
  <si>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</si>
  <si>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</si>
  <si>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</si>
  <si>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</si>
  <si>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</si>
  <si>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</si>
  <si>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</si>
  <si>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</si>
  <si>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</si>
  <si>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</si>
  <si>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</si>
  <si>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</si>
  <si>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</si>
  <si>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</si>
  <si>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</si>
  <si>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</si>
  <si>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</si>
  <si>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</si>
  <si>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</si>
  <si>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</si>
  <si>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</si>
  <si>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</si>
  <si>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</si>
  <si>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</si>
  <si>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</si>
  <si>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</si>
  <si>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</si>
  <si>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</si>
  <si>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</si>
  <si>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</si>
  <si>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</si>
  <si>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</si>
  <si>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</si>
  <si>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</si>
  <si>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</si>
  <si>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</si>
  <si>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</si>
  <si>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</si>
  <si>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</si>
  <si>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</si>
  <si>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</si>
  <si>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</si>
  <si>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</si>
  <si>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</si>
  <si>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</si>
  <si>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</si>
  <si>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</si>
  <si>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</si>
  <si>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</si>
  <si>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</si>
  <si>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</si>
  <si>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</si>
  <si>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</si>
  <si>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</si>
  <si>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</si>
  <si>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</si>
  <si>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</si>
  <si>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</si>
  <si>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</si>
  <si>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</si>
  <si>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</si>
  <si>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</si>
  <si>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</si>
  <si>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</si>
  <si>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</si>
  <si>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</si>
  <si>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</si>
  <si>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</si>
  <si>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</si>
  <si>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</si>
  <si>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</si>
  <si>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</si>
  <si>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</si>
  <si>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</si>
  <si>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</si>
  <si>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</si>
  <si>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</si>
  <si>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</si>
  <si>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</si>
  <si>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</si>
  <si>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</si>
  <si>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</si>
  <si>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</si>
  <si>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</si>
  <si>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</si>
  <si>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</si>
  <si>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</si>
  <si>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</si>
  <si>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</si>
  <si>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</si>
  <si>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</si>
  <si>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</si>
  <si>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</si>
  <si>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</si>
  <si>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</si>
  <si>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</si>
  <si>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</si>
  <si>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</si>
  <si>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</si>
  <si>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</si>
  <si>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</si>
  <si>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</si>
  <si>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</si>
  <si>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</si>
  <si>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</si>
  <si>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</si>
  <si>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</si>
  <si>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</si>
  <si>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</si>
  <si>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</si>
  <si>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</si>
  <si>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</si>
  <si>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</si>
  <si>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</si>
  <si>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</si>
  <si>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</si>
  <si>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</si>
  <si>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</si>
  <si>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</si>
  <si>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</si>
  <si>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</si>
  <si>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</si>
  <si>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</si>
  <si>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</si>
  <si>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</si>
  <si>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</si>
  <si>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</si>
  <si>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</si>
  <si>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</si>
  <si>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</si>
  <si>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</si>
  <si>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</si>
  <si>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</si>
  <si>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</si>
  <si>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</si>
  <si>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</si>
  <si>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</si>
  <si>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</si>
  <si>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</si>
  <si>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</si>
  <si>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</si>
  <si>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</si>
  <si>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</si>
  <si>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</si>
  <si>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</si>
  <si>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</si>
  <si>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</si>
  <si>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</si>
  <si>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</si>
  <si>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</si>
  <si>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</si>
  <si>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</si>
  <si>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</si>
  <si>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</si>
  <si>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</si>
  <si>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</si>
  <si>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</si>
  <si>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</si>
  <si>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</si>
  <si>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</si>
  <si>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</si>
  <si>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</si>
  <si>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</si>
  <si>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</si>
  <si>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</si>
  <si>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</si>
  <si>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</si>
  <si>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</si>
  <si>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</si>
  <si>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</si>
  <si>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</si>
  <si>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</si>
  <si>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</si>
  <si>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</si>
  <si>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</si>
  <si>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</si>
  <si>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</si>
  <si>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</si>
  <si>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</si>
  <si>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</si>
  <si>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</si>
  <si>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</si>
  <si>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</si>
  <si>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</si>
  <si>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</si>
  <si>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</si>
  <si>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</si>
  <si>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</si>
  <si>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</si>
  <si>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</si>
  <si>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</si>
  <si>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</si>
  <si>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</si>
  <si>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</si>
  <si>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</si>
  <si>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</si>
  <si>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</si>
  <si>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</si>
  <si>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</si>
  <si>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</si>
  <si>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</si>
  <si>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</si>
  <si>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</si>
  <si>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</si>
  <si>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</si>
  <si>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</si>
  <si>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</si>
  <si>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</si>
  <si>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</si>
  <si>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</si>
  <si>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</si>
  <si>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</si>
  <si>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</si>
  <si>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</si>
  <si>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</si>
  <si>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</si>
  <si>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</si>
  <si>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</si>
  <si>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</si>
  <si>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</si>
  <si>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</si>
  <si>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</si>
  <si>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</si>
  <si>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</si>
  <si>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</si>
  <si>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</si>
  <si>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</si>
  <si>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</si>
  <si>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</si>
  <si>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</si>
  <si>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</si>
  <si>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</si>
  <si>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</si>
  <si>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</si>
  <si>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</si>
  <si>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</si>
  <si>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</si>
  <si>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</si>
  <si>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</si>
  <si>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</si>
  <si>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</si>
  <si>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</si>
  <si>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</si>
  <si>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</si>
  <si>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</si>
  <si>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</si>
  <si>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</si>
  <si>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</si>
  <si>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</si>
  <si>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</si>
  <si>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</si>
  <si>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</si>
  <si>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</si>
  <si>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</si>
  <si>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</si>
  <si>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</si>
  <si>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</si>
  <si>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</si>
  <si>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</si>
  <si>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</si>
  <si>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</si>
  <si>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</si>
  <si>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</si>
  <si>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</si>
  <si>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</si>
  <si>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</si>
  <si>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</si>
  <si>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</si>
  <si>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</si>
  <si>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</si>
  <si>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</si>
  <si>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</si>
  <si>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</si>
  <si>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</si>
  <si>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</si>
  <si>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</si>
  <si>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</si>
  <si>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</si>
  <si>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</si>
  <si>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</si>
  <si>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</si>
  <si>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</si>
  <si>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</si>
  <si>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</si>
  <si>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</si>
  <si>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</si>
  <si>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</si>
  <si>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</si>
  <si>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</si>
  <si>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</si>
  <si>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</si>
  <si>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</si>
  <si>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</si>
  <si>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</si>
  <si>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</si>
  <si>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</si>
  <si>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</si>
  <si>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</si>
  <si>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</si>
  <si>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</si>
  <si>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</si>
  <si>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</si>
  <si>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</si>
  <si>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</si>
  <si>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</si>
  <si>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</si>
  <si>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</si>
  <si>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</si>
  <si>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</si>
  <si>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</si>
  <si>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</si>
  <si>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</si>
  <si>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</si>
  <si>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</si>
  <si>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</si>
  <si>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</si>
  <si>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</si>
  <si>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</si>
  <si>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</si>
  <si>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</si>
  <si>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</si>
  <si>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</si>
  <si>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</si>
  <si>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</si>
  <si>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</si>
  <si>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</si>
  <si>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</si>
  <si>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</si>
  <si>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</si>
  <si>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</si>
  <si>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</si>
  <si>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</si>
  <si>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</si>
  <si>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</si>
  <si>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</si>
  <si>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</si>
  <si>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</si>
  <si>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</si>
  <si>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</si>
  <si>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</si>
  <si>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</si>
  <si>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</si>
  <si>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</si>
  <si>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</si>
  <si>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</si>
  <si>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</si>
  <si>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</si>
  <si>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</si>
  <si>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</si>
  <si>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</si>
  <si>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</si>
  <si>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</si>
  <si>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</si>
  <si>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</si>
  <si>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</si>
  <si>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</si>
  <si>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</si>
  <si>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</si>
  <si>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</si>
  <si>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</si>
  <si>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</si>
  <si>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</si>
  <si>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</si>
  <si>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</si>
  <si>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</si>
  <si>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</si>
  <si>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</si>
  <si>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</si>
  <si>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</si>
  <si>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</si>
  <si>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</si>
  <si>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</si>
  <si>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</si>
  <si>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</si>
  <si>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</si>
  <si>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</si>
  <si>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</si>
  <si>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</si>
  <si>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</si>
  <si>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</si>
  <si>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</si>
  <si>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</si>
  <si>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</si>
  <si>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</si>
  <si>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</si>
  <si>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</si>
  <si>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</si>
  <si>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</si>
  <si>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</si>
  <si>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</si>
  <si>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</si>
  <si>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</si>
  <si>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</si>
  <si>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</si>
  <si>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</si>
  <si>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</si>
  <si>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</si>
  <si>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</si>
  <si>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</si>
  <si>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</si>
  <si>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</si>
  <si>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</si>
  <si>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</si>
  <si>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</si>
  <si>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</si>
  <si>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</si>
  <si>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</si>
  <si>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</si>
  <si>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</si>
  <si>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</si>
  <si>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</si>
  <si>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</si>
  <si>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</si>
  <si>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</si>
  <si>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</si>
  <si>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</si>
  <si>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</si>
  <si>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</si>
  <si>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</si>
  <si>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</si>
  <si>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</si>
  <si>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</si>
  <si>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</si>
  <si>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</si>
  <si>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</si>
  <si>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</si>
  <si>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</si>
  <si>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</si>
  <si>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</si>
  <si>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</si>
  <si>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</si>
  <si>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</si>
  <si>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</si>
  <si>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</si>
  <si>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</si>
  <si>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</si>
  <si>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</si>
  <si>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</si>
  <si>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</si>
  <si>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</si>
  <si>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</si>
  <si>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</si>
  <si>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</si>
  <si>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</si>
  <si>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</si>
  <si>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</si>
  <si>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</si>
  <si>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</si>
  <si>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</si>
  <si>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</si>
  <si>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</si>
  <si>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</si>
  <si>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</si>
  <si>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</si>
  <si>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</si>
  <si>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</si>
  <si>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</si>
  <si>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</si>
  <si>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</si>
  <si>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</si>
  <si>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</si>
  <si>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</si>
  <si>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</si>
  <si>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</si>
  <si>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</si>
  <si>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</si>
  <si>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</si>
  <si>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</si>
  <si>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</si>
  <si>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</si>
  <si>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</si>
  <si>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</si>
  <si>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</si>
  <si>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</si>
  <si>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</si>
  <si>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</si>
  <si>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</si>
  <si>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</si>
  <si>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</si>
  <si>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</si>
  <si>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</si>
  <si>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</si>
  <si>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</si>
  <si>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</si>
  <si>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</si>
  <si>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</si>
  <si>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</si>
  <si>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</si>
  <si>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</si>
  <si>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</si>
  <si>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</si>
  <si>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</si>
  <si>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</si>
  <si>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</si>
  <si>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</si>
  <si>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</si>
  <si>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</si>
  <si>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</si>
  <si>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</si>
  <si>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</si>
  <si>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</si>
  <si>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</si>
  <si>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</si>
  <si>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</si>
  <si>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</si>
  <si>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</si>
  <si>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</si>
  <si>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</si>
  <si>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</si>
  <si>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</si>
  <si>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</si>
  <si>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</si>
  <si>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</si>
  <si>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</si>
  <si>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</si>
  <si>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</si>
  <si>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</si>
  <si>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</si>
  <si>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</si>
  <si>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</si>
  <si>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</si>
  <si>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</si>
  <si>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</si>
  <si>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</si>
  <si>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</si>
  <si>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</si>
  <si>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</si>
  <si>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</si>
  <si>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</si>
  <si>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</si>
  <si>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</si>
  <si>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</si>
  <si>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</si>
  <si>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</si>
  <si>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</si>
  <si>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</si>
  <si>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</si>
  <si>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</si>
  <si>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</si>
  <si>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</si>
  <si>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</si>
  <si>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</si>
  <si>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</si>
  <si>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</si>
  <si>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</si>
  <si>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</si>
  <si>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</si>
  <si>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</si>
  <si>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</si>
  <si>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</si>
  <si>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</si>
  <si>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</si>
  <si>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</si>
  <si>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</si>
  <si>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</si>
  <si>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</si>
  <si>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</si>
  <si>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</si>
  <si>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</si>
  <si>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</si>
  <si>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</si>
  <si>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</si>
  <si>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</si>
  <si>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</si>
  <si>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</si>
  <si>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</si>
  <si>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</si>
  <si>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</si>
  <si>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</si>
  <si>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</si>
  <si>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</si>
  <si>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</si>
  <si>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</si>
  <si>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</si>
  <si>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</si>
  <si>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</si>
  <si>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</si>
  <si>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</si>
  <si>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</si>
  <si>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</si>
  <si>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</si>
  <si>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</si>
  <si>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</si>
  <si>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</si>
  <si>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</si>
  <si>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</si>
  <si>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</si>
  <si>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</si>
  <si>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</si>
  <si>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</si>
  <si>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</si>
  <si>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</si>
  <si>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</si>
  <si>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</si>
  <si>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</si>
  <si>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</si>
  <si>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</si>
  <si>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</si>
  <si>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</si>
  <si>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</si>
  <si>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</si>
  <si>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</si>
  <si>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</si>
  <si>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</si>
  <si>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</si>
  <si>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</si>
  <si>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</si>
  <si>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</si>
  <si>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</si>
  <si>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</si>
  <si>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</si>
  <si>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</si>
  <si>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</si>
  <si>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</si>
  <si>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</si>
  <si>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</si>
  <si>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</si>
  <si>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</si>
  <si>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</si>
  <si>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</si>
  <si>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</si>
  <si>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</si>
  <si>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</si>
  <si>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</si>
  <si>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</si>
  <si>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</si>
  <si>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</si>
  <si>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</si>
  <si>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</si>
  <si>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</si>
  <si>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</si>
  <si>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</si>
  <si>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</si>
  <si>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</si>
  <si>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</si>
  <si>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</si>
  <si>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</si>
  <si>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</si>
  <si>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</si>
  <si>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</si>
  <si>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</si>
  <si>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</si>
  <si>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</si>
  <si>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</si>
  <si>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</si>
  <si>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</si>
  <si>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</si>
  <si>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</si>
  <si>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</si>
  <si>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</si>
  <si>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</si>
  <si>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</si>
  <si>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</si>
  <si>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</si>
  <si>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</si>
  <si>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</si>
  <si>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</si>
  <si>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</si>
  <si>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</si>
  <si>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</si>
  <si>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</si>
  <si>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</si>
  <si>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</si>
  <si>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</si>
  <si>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</si>
  <si>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</si>
  <si>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</si>
  <si>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</si>
  <si>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</si>
  <si>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</si>
  <si>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</si>
  <si>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</si>
  <si>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</si>
  <si>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</si>
  <si>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</si>
  <si>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</si>
  <si>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</si>
  <si>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</si>
  <si>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</si>
  <si>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</si>
  <si>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</si>
  <si>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</si>
  <si>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</si>
  <si>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</si>
  <si>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</si>
  <si>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</si>
  <si>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</si>
  <si>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</si>
  <si>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</si>
  <si>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</si>
  <si>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</si>
  <si>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</si>
  <si>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</si>
  <si>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</si>
  <si>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</si>
  <si>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</si>
  <si>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</si>
  <si>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</si>
  <si>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</si>
  <si>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</si>
  <si>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</si>
  <si>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</si>
  <si>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</si>
  <si>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</si>
  <si>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</si>
  <si>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</si>
  <si>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</si>
  <si>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</si>
  <si>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</si>
  <si>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</si>
  <si>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</si>
  <si>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</si>
  <si>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</si>
  <si>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</si>
  <si>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</si>
  <si>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</si>
  <si>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</si>
  <si>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</si>
  <si>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</si>
  <si>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</si>
  <si>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</si>
  <si>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</si>
  <si>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</si>
  <si>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</si>
  <si>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</si>
  <si>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</si>
  <si>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</si>
  <si>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</si>
  <si>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</si>
  <si>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</si>
  <si>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</si>
  <si>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</si>
  <si>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</si>
  <si>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</si>
  <si>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</si>
  <si>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</si>
  <si>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</si>
  <si>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</si>
  <si>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</si>
  <si>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</si>
  <si>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</si>
  <si>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</si>
  <si>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</si>
  <si>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</si>
  <si>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</si>
  <si>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</si>
  <si>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</si>
  <si>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</si>
  <si>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</si>
  <si>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</si>
  <si>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</si>
  <si>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</si>
  <si>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</si>
  <si>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</si>
  <si>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</si>
  <si>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</si>
  <si>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</si>
  <si>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</si>
  <si>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</si>
  <si>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</si>
  <si>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</si>
  <si>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</si>
  <si>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</si>
  <si>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</si>
  <si>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</si>
  <si>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</si>
  <si>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</si>
  <si>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</si>
  <si>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</si>
  <si>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</si>
  <si>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</si>
  <si>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</si>
  <si>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</si>
  <si>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</si>
  <si>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</si>
  <si>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</si>
  <si>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</si>
  <si>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</si>
  <si>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</si>
  <si>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</si>
  <si>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</si>
  <si>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</si>
  <si>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</si>
  <si>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</si>
  <si>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</si>
  <si>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</si>
  <si>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</si>
  <si>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</si>
  <si>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</si>
  <si>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</si>
  <si>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</si>
  <si>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</si>
  <si>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</si>
  <si>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</si>
  <si>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</si>
  <si>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</si>
  <si>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</si>
  <si>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</si>
  <si>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</si>
  <si>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</si>
  <si>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</si>
  <si>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</si>
  <si>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</si>
  <si>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</si>
  <si>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</si>
  <si>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</si>
  <si>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</si>
  <si>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</si>
  <si>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</si>
  <si>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</si>
  <si>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</si>
  <si>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</si>
  <si>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</si>
  <si>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</si>
  <si>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</si>
  <si>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</si>
  <si>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</si>
  <si>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</si>
  <si>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</si>
  <si>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</si>
  <si>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</si>
  <si>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</si>
  <si>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</si>
  <si>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</si>
  <si>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</si>
  <si>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</si>
  <si>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</si>
  <si>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</si>
  <si>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</si>
  <si>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</si>
  <si>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</si>
  <si>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</si>
  <si>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</si>
  <si>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</si>
  <si>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</si>
  <si>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</si>
  <si>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</si>
  <si>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</si>
  <si>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</si>
  <si>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</si>
  <si>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</si>
  <si>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</si>
  <si>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</si>
  <si>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</si>
  <si>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</si>
  <si>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</si>
  <si>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</si>
  <si>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</si>
  <si>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</si>
  <si>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</si>
  <si>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</si>
  <si>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</si>
  <si>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</si>
  <si>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</si>
  <si>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</si>
  <si>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</si>
  <si>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</si>
  <si>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</si>
  <si>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</si>
  <si>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</si>
  <si>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</si>
  <si>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</si>
  <si>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</si>
  <si>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</si>
  <si>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</si>
  <si>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</si>
  <si>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</si>
  <si>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</si>
  <si>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</si>
  <si>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</si>
  <si>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</si>
  <si>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</si>
  <si>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</si>
  <si>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</si>
  <si>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</si>
  <si>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</si>
  <si>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</si>
  <si>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</si>
  <si>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</si>
  <si>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</si>
  <si>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</si>
  <si>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</si>
  <si>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</si>
  <si>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</si>
  <si>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</si>
  <si>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</si>
  <si>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</si>
  <si>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</si>
  <si>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</si>
  <si>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</si>
  <si>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</si>
  <si>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</si>
  <si>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</si>
  <si>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</si>
  <si>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</si>
  <si>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</si>
  <si>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</si>
  <si>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</si>
  <si>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</si>
  <si>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</si>
  <si>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</si>
  <si>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</si>
  <si>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</si>
  <si>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</si>
  <si>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</si>
  <si>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</si>
  <si>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</si>
  <si>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</si>
  <si>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</si>
  <si>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</si>
  <si>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</si>
  <si>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</si>
  <si>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</si>
  <si>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</si>
  <si>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</si>
  <si>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</si>
  <si>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</si>
  <si>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</si>
  <si>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</si>
  <si>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</si>
  <si>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</si>
  <si>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</si>
  <si>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</si>
  <si>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</si>
  <si>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</si>
  <si>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</si>
  <si>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</si>
  <si>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</si>
  <si>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</si>
  <si>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</si>
  <si>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</si>
  <si>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</si>
  <si>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</si>
  <si>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</si>
  <si>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</si>
  <si>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</si>
  <si>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</si>
  <si>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</si>
  <si>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</si>
  <si>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</si>
  <si>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</si>
  <si>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</si>
  <si>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</si>
  <si>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</si>
  <si>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</si>
  <si>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</si>
  <si>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</si>
  <si>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</si>
  <si>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</si>
  <si>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</si>
  <si>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</si>
  <si>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</si>
  <si>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</si>
  <si>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</si>
  <si>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</si>
  <si>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</si>
  <si>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</si>
  <si>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</si>
  <si>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</si>
  <si>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</si>
  <si>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</si>
  <si>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</si>
  <si>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</si>
  <si>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</si>
  <si>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</si>
  <si>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</si>
  <si>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</si>
  <si>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</si>
  <si>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</si>
  <si>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</si>
  <si>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</si>
  <si>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</si>
  <si>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</si>
  <si>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</si>
  <si>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</si>
  <si>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</si>
  <si>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</si>
  <si>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</si>
  <si>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</si>
  <si>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</si>
  <si>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</si>
  <si>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</si>
  <si>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</si>
  <si>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</si>
  <si>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</si>
  <si>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</si>
  <si>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</si>
  <si>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</si>
  <si>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</si>
  <si>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</si>
  <si>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</si>
  <si>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</si>
  <si>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</si>
  <si>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</si>
  <si>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</si>
  <si>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</si>
  <si>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</si>
  <si>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</si>
  <si>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</si>
  <si>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</si>
  <si>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</si>
  <si>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</si>
  <si>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</si>
  <si>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</si>
  <si>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</si>
  <si>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</si>
  <si>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</si>
  <si>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</si>
  <si>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</si>
  <si>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</si>
  <si>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</si>
  <si>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</si>
  <si>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</si>
  <si>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</si>
  <si>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</si>
  <si>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</si>
  <si>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</si>
  <si>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</si>
  <si>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</si>
  <si>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</si>
  <si>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</si>
  <si>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</si>
  <si>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</si>
  <si>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</si>
  <si>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</si>
  <si>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</si>
  <si>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</si>
  <si>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</si>
  <si>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</si>
  <si>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</si>
  <si>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</si>
  <si>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</si>
  <si>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</si>
  <si>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</si>
  <si>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</si>
  <si>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</si>
  <si>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</si>
  <si>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</si>
  <si>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</si>
  <si>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</si>
  <si>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</si>
  <si>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</si>
  <si>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</si>
  <si>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</si>
  <si>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</si>
  <si>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</si>
  <si>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</si>
  <si>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</si>
  <si>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</si>
  <si>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</si>
  <si>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</si>
  <si>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</si>
  <si>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</si>
  <si>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</si>
  <si>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</si>
  <si>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</si>
  <si>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</si>
  <si>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</si>
  <si>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</si>
  <si>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</si>
  <si>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</si>
  <si>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</si>
  <si>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</si>
  <si>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</si>
  <si>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</si>
  <si>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</si>
  <si>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</si>
  <si>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</si>
  <si>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</si>
  <si>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</si>
  <si>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</si>
  <si>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</si>
  <si>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</si>
  <si>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</si>
  <si>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</si>
  <si>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</si>
  <si>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</si>
  <si>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</si>
  <si>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</si>
  <si>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</si>
  <si>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</si>
  <si>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</si>
  <si>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</si>
  <si>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</si>
  <si>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</si>
  <si>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</si>
  <si>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</si>
  <si>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</si>
  <si>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</si>
  <si>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</si>
  <si>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</si>
  <si>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</si>
  <si>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</si>
  <si>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</si>
  <si>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</si>
  <si>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</si>
  <si>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</si>
  <si>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</si>
  <si>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</si>
  <si>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</si>
  <si>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</si>
  <si>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</si>
  <si>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</si>
  <si>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</si>
  <si>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</si>
  <si>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</si>
  <si>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</si>
  <si>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</si>
  <si>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</si>
  <si>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</si>
  <si>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</si>
  <si>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</si>
  <si>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</si>
  <si>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</si>
  <si>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</si>
  <si>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</si>
  <si>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</si>
  <si>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</si>
  <si>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</si>
  <si>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</si>
  <si>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</si>
  <si>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</si>
  <si>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</si>
  <si>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</si>
  <si>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</si>
  <si>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</si>
  <si>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</si>
  <si>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</si>
  <si>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</si>
  <si>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</si>
  <si>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</si>
  <si>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</si>
  <si>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</si>
  <si>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</si>
  <si>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</si>
  <si>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</si>
  <si>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</si>
  <si>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</si>
  <si>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</si>
  <si>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</si>
  <si>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</si>
  <si>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</si>
  <si>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</si>
  <si>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</si>
  <si>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</si>
  <si>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</si>
  <si>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</si>
  <si>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</si>
  <si>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</si>
  <si>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</si>
  <si>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</si>
  <si>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</si>
  <si>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</si>
  <si>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</si>
  <si>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</si>
  <si>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</si>
  <si>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</si>
  <si>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</si>
  <si>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</si>
  <si>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</si>
  <si>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</si>
  <si>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</si>
  <si>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</si>
  <si>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</si>
  <si>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</si>
  <si>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</si>
  <si>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</si>
  <si>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</si>
  <si>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</si>
  <si>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</si>
  <si>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</si>
  <si>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</si>
  <si>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</si>
  <si>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</si>
  <si>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</si>
  <si>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</si>
  <si>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</si>
  <si>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</si>
  <si>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</si>
  <si>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</si>
  <si>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</si>
  <si>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</si>
  <si>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</si>
  <si>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</si>
  <si>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</si>
  <si>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</si>
  <si>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</si>
  <si>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</si>
  <si>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</si>
  <si>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</si>
  <si>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</si>
  <si>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</si>
  <si>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</si>
  <si>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</si>
  <si>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</si>
  <si>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</si>
  <si>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</si>
  <si>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</si>
  <si>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</si>
  <si>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</si>
  <si>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</si>
  <si>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</si>
  <si>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</si>
  <si>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</si>
  <si>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</si>
  <si>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</si>
  <si>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</si>
  <si>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</si>
  <si>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</si>
  <si>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</si>
  <si>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</si>
  <si>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</si>
  <si>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</si>
  <si>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</si>
  <si>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</si>
  <si>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</si>
  <si>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</si>
  <si>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</si>
  <si>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</si>
  <si>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</si>
  <si>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</si>
  <si>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</si>
  <si>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</si>
  <si>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</si>
  <si>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</si>
  <si>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</si>
  <si>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</si>
  <si>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</si>
  <si>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</si>
  <si>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</si>
  <si>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</si>
  <si>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</si>
  <si>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</si>
  <si>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</si>
  <si>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</si>
  <si>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</si>
  <si>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</si>
  <si>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</si>
  <si>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</si>
  <si>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</si>
  <si>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</si>
  <si>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</si>
  <si>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</si>
  <si>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</si>
  <si>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</si>
  <si>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</si>
  <si>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</si>
  <si>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</si>
  <si>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</si>
  <si>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</si>
  <si>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</si>
  <si>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</si>
  <si>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</si>
  <si>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</si>
  <si>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</si>
  <si>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</si>
  <si>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</si>
  <si>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</si>
  <si>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</si>
  <si>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</si>
  <si>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</si>
  <si>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</si>
  <si>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</si>
  <si>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</si>
  <si>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</si>
  <si>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</si>
  <si>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</si>
  <si>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</si>
  <si>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</si>
  <si>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</si>
  <si>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</si>
  <si>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</si>
  <si>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</si>
  <si>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</si>
  <si>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</si>
  <si>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</si>
  <si>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</si>
  <si>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</si>
  <si>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</si>
  <si>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</si>
  <si>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</si>
  <si>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</si>
  <si>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</si>
  <si>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</si>
  <si>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</si>
  <si>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</si>
  <si>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</si>
  <si>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</si>
  <si>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</si>
  <si>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</si>
  <si>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</si>
  <si>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</si>
  <si>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</si>
  <si>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</si>
  <si>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</si>
  <si>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</si>
  <si>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</si>
  <si>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</si>
  <si>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</si>
  <si>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</si>
  <si>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</si>
  <si>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</si>
  <si>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</si>
  <si>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</si>
  <si>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</si>
  <si>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</si>
  <si>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</si>
  <si>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</si>
  <si>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</si>
  <si>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</si>
  <si>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</si>
  <si>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</si>
  <si>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</si>
  <si>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</si>
  <si>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</si>
  <si>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</si>
  <si>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</si>
  <si>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</si>
  <si>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</si>
  <si>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</si>
  <si>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</si>
  <si>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</si>
  <si>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</si>
  <si>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</si>
  <si>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</si>
  <si>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</si>
  <si>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</si>
  <si>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</si>
  <si>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</si>
  <si>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</si>
  <si>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</si>
  <si>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</si>
  <si>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</si>
  <si>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</si>
  <si>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</si>
  <si>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</si>
  <si>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</si>
  <si>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</si>
  <si>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</si>
  <si>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</si>
  <si>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</si>
  <si>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</si>
  <si>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</si>
  <si>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</si>
  <si>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</si>
  <si>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</si>
  <si>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</si>
  <si>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</si>
  <si>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</si>
  <si>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</si>
  <si>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</si>
  <si>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</si>
  <si>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</si>
  <si>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</si>
  <si>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</si>
  <si>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</si>
  <si>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</si>
  <si>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</si>
  <si>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</si>
  <si>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</si>
  <si>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</si>
  <si>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</si>
  <si>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</si>
  <si>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</si>
  <si>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</si>
  <si>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</si>
  <si>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</si>
  <si>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</si>
  <si>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</si>
  <si>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</si>
  <si>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</si>
  <si>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</si>
  <si>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</si>
  <si>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</si>
  <si>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</si>
  <si>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</si>
  <si>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</si>
  <si>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</si>
  <si>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</si>
  <si>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</si>
  <si>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</si>
  <si>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</si>
  <si>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</si>
  <si>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</si>
  <si>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</si>
  <si>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</si>
  <si>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</si>
  <si>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</si>
  <si>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</si>
  <si>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</si>
  <si>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</si>
  <si>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</si>
  <si>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</si>
  <si>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</si>
  <si>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</si>
  <si>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</si>
  <si>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</si>
  <si>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</si>
  <si>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</si>
  <si>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</si>
  <si>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</si>
  <si>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</si>
  <si>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</si>
  <si>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</si>
  <si>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</si>
  <si>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</si>
  <si>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</si>
  <si>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</si>
  <si>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</si>
  <si>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</si>
  <si>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</si>
  <si>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</si>
  <si>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</si>
  <si>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</si>
  <si>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</si>
  <si>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</si>
  <si>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</si>
  <si>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</si>
  <si>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</si>
  <si>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</si>
  <si>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</si>
  <si>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</si>
  <si>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</si>
  <si>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</si>
  <si>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</si>
  <si>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</si>
  <si>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WPD South West</t>
  </si>
  <si>
    <t>April 19</t>
  </si>
  <si>
    <t>10, 20</t>
  </si>
  <si>
    <t>30, 40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</si>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</sst>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South West in April 19 (no data version)</v>
      </c>
    </row>
    <row r="3" spans="1:1" x14ac:dyDescent="0.25">
      <c r="A3" s="2" t="s">
        <v>1696</v>
      </c>
    </row>
    <row r="4" spans="1:1" x14ac:dyDescent="0.25">
      <c r="A4" s="2" t="s">
        <v>1697</v>
      </c>
    </row>
    <row r="5" spans="1:1" x14ac:dyDescent="0.25">
      <c r="A5" s="2" t="s">
        <v>1698</v>
      </c>
    </row>
    <row r="6" spans="1:1" x14ac:dyDescent="0.25">
      <c r="A6" s="2" t="s">
        <v>1699</v>
      </c>
    </row>
    <row r="8" spans="1:1" x14ac:dyDescent="0.25">
      <c r="A8" s="3" t="s">
        <v>1700</v>
      </c>
    </row>
    <row r="10" spans="1:1" x14ac:dyDescent="0.25">
      <c r="A10" s="2" t="s">
        <v>1701</v>
      </c>
    </row>
    <row r="11" spans="1:1" x14ac:dyDescent="0.25">
      <c r="A11" s="2" t="s">
        <v>1702</v>
      </c>
    </row>
    <row r="12" spans="1:1" x14ac:dyDescent="0.25">
      <c r="A12" s="2" t="s">
        <v>1703</v>
      </c>
    </row>
    <row r="13" spans="1:1" x14ac:dyDescent="0.25">
      <c r="A13" s="2" t="s">
        <v>1704</v>
      </c>
    </row>
    <row r="14" spans="1:1" x14ac:dyDescent="0.25">
      <c r="A14" s="2" t="s">
        <v>1705</v>
      </c>
    </row>
    <row r="15" spans="1:1" x14ac:dyDescent="0.25">
      <c r="A15" s="2" t="s">
        <v>1706</v>
      </c>
    </row>
    <row r="17" spans="1:3" x14ac:dyDescent="0.25">
      <c r="A17" s="2" t="s">
        <v>1707</v>
      </c>
    </row>
    <row r="18" spans="1:3" x14ac:dyDescent="0.25">
      <c r="A18" s="2" t="s">
        <v>1708</v>
      </c>
    </row>
    <row r="19" spans="1:3" x14ac:dyDescent="0.25">
      <c r="A19" s="2" t="s">
        <v>1709</v>
      </c>
      <c r="C19" s="4" t="s">
        <v>1717</v>
      </c>
    </row>
    <row r="20" spans="1:3" x14ac:dyDescent="0.25">
      <c r="A20" s="2" t="s">
        <v>1710</v>
      </c>
      <c r="C20" s="5" t="s">
        <v>1472</v>
      </c>
    </row>
    <row r="21" spans="1:3" x14ac:dyDescent="0.25">
      <c r="A21" s="2" t="s">
        <v>1711</v>
      </c>
      <c r="C21" s="6" t="s">
        <v>1718</v>
      </c>
    </row>
    <row r="22" spans="1:3" x14ac:dyDescent="0.25">
      <c r="A22" s="2" t="s">
        <v>1712</v>
      </c>
      <c r="C22" s="7" t="s">
        <v>1719</v>
      </c>
    </row>
    <row r="23" spans="1:3" x14ac:dyDescent="0.25">
      <c r="A23" s="2" t="s">
        <v>1713</v>
      </c>
      <c r="C23" s="8" t="s">
        <v>1720</v>
      </c>
    </row>
    <row r="24" spans="1:3" x14ac:dyDescent="0.25">
      <c r="A24" s="2" t="s">
        <v>1714</v>
      </c>
      <c r="C24" s="9" t="s">
        <v>1721</v>
      </c>
    </row>
    <row r="25" spans="1:3" x14ac:dyDescent="0.25">
      <c r="A25" s="2" t="s">
        <v>1715</v>
      </c>
      <c r="C25" s="10" t="s">
        <v>1722</v>
      </c>
    </row>
    <row r="26" spans="1:3" x14ac:dyDescent="0.25">
      <c r="A26" s="2" t="s">
        <v>1716</v>
      </c>
      <c r="C26" s="11" t="s">
        <v>1723</v>
      </c>
    </row>
    <row r="28" spans="1:3" x14ac:dyDescent="0.25">
      <c r="A28" s="12" t="s">
        <v>1724</v>
      </c>
      <c r="B28" s="12" t="s">
        <v>1725</v>
      </c>
      <c r="C28" s="12" t="s">
        <v>1726</v>
      </c>
    </row>
    <row r="29" spans="1:3" x14ac:dyDescent="0.25">
      <c r="A29" s="13" t="s">
        <v>1727</v>
      </c>
      <c r="B29" s="14" t="s">
        <v>0</v>
      </c>
      <c r="C29" s="13" t="s">
        <v>1472</v>
      </c>
    </row>
    <row r="30" spans="1:3" x14ac:dyDescent="0.25">
      <c r="A30" s="13" t="s">
        <v>1727</v>
      </c>
      <c r="B30" s="14" t="s">
        <v>6</v>
      </c>
      <c r="C30" s="13" t="s">
        <v>1728</v>
      </c>
    </row>
    <row r="31" spans="1:3" x14ac:dyDescent="0.25">
      <c r="A31" s="13" t="s">
        <v>1727</v>
      </c>
      <c r="B31" s="14" t="s">
        <v>134</v>
      </c>
      <c r="C31" s="13" t="s">
        <v>1728</v>
      </c>
    </row>
    <row r="32" spans="1:3" x14ac:dyDescent="0.25">
      <c r="A32" s="13" t="s">
        <v>1727</v>
      </c>
      <c r="B32" s="14" t="s">
        <v>143</v>
      </c>
      <c r="C32" s="13" t="s">
        <v>1472</v>
      </c>
    </row>
    <row r="33" spans="1:3" x14ac:dyDescent="0.25">
      <c r="A33" s="13" t="s">
        <v>1727</v>
      </c>
      <c r="B33" s="14" t="s">
        <v>158</v>
      </c>
      <c r="C33" s="13" t="s">
        <v>1472</v>
      </c>
    </row>
    <row r="34" spans="1:3" x14ac:dyDescent="0.25">
      <c r="A34" s="13" t="s">
        <v>1727</v>
      </c>
      <c r="B34" s="14" t="s">
        <v>160</v>
      </c>
      <c r="C34" s="13" t="s">
        <v>1472</v>
      </c>
    </row>
    <row r="35" spans="1:3" x14ac:dyDescent="0.25">
      <c r="A35" s="13" t="s">
        <v>1727</v>
      </c>
      <c r="B35" s="14" t="s">
        <v>162</v>
      </c>
      <c r="C35" s="13" t="s">
        <v>1472</v>
      </c>
    </row>
    <row r="36" spans="1:3" x14ac:dyDescent="0.25">
      <c r="A36" s="13" t="s">
        <v>1727</v>
      </c>
      <c r="B36" s="14" t="s">
        <v>164</v>
      </c>
      <c r="C36" s="13" t="s">
        <v>1472</v>
      </c>
    </row>
    <row r="37" spans="1:3" x14ac:dyDescent="0.25">
      <c r="A37" s="13" t="s">
        <v>1727</v>
      </c>
      <c r="B37" s="14" t="s">
        <v>174</v>
      </c>
      <c r="C37" s="13" t="s">
        <v>1472</v>
      </c>
    </row>
    <row r="38" spans="1:3" x14ac:dyDescent="0.25">
      <c r="A38" s="13" t="s">
        <v>1727</v>
      </c>
      <c r="B38" s="14" t="s">
        <v>181</v>
      </c>
      <c r="C38" s="13" t="s">
        <v>1472</v>
      </c>
    </row>
    <row r="39" spans="1:3" x14ac:dyDescent="0.25">
      <c r="A39" s="13" t="s">
        <v>1727</v>
      </c>
      <c r="B39" s="14" t="s">
        <v>202</v>
      </c>
      <c r="C39" s="13" t="s">
        <v>1472</v>
      </c>
    </row>
    <row r="40" spans="1:3" x14ac:dyDescent="0.25">
      <c r="A40" s="13" t="s">
        <v>1727</v>
      </c>
      <c r="B40" s="14" t="s">
        <v>206</v>
      </c>
      <c r="C40" s="13" t="s">
        <v>1472</v>
      </c>
    </row>
    <row r="41" spans="1:3" x14ac:dyDescent="0.25">
      <c r="A41" s="13" t="s">
        <v>1727</v>
      </c>
      <c r="B41" s="14" t="s">
        <v>213</v>
      </c>
      <c r="C41" s="13" t="s">
        <v>1472</v>
      </c>
    </row>
    <row r="42" spans="1:3" x14ac:dyDescent="0.25">
      <c r="A42" s="13" t="s">
        <v>1727</v>
      </c>
      <c r="B42" s="14" t="s">
        <v>216</v>
      </c>
      <c r="C42" s="13" t="s">
        <v>1472</v>
      </c>
    </row>
    <row r="43" spans="1:3" x14ac:dyDescent="0.25">
      <c r="A43" s="13" t="s">
        <v>1727</v>
      </c>
      <c r="B43" s="14" t="s">
        <v>224</v>
      </c>
      <c r="C43" s="13" t="s">
        <v>1472</v>
      </c>
    </row>
    <row r="44" spans="1:3" x14ac:dyDescent="0.25">
      <c r="A44" s="13" t="s">
        <v>1727</v>
      </c>
      <c r="B44" s="14" t="s">
        <v>235</v>
      </c>
      <c r="C44" s="13" t="s">
        <v>1472</v>
      </c>
    </row>
    <row r="45" spans="1:3" x14ac:dyDescent="0.25">
      <c r="A45" s="13" t="s">
        <v>1727</v>
      </c>
      <c r="B45" s="14" t="s">
        <v>322</v>
      </c>
      <c r="C45" s="13" t="s">
        <v>1472</v>
      </c>
    </row>
    <row r="46" spans="1:3" x14ac:dyDescent="0.25">
      <c r="A46" s="13" t="s">
        <v>1727</v>
      </c>
      <c r="B46" s="14" t="s">
        <v>325</v>
      </c>
      <c r="C46" s="13" t="s">
        <v>1472</v>
      </c>
    </row>
    <row r="47" spans="1:3" x14ac:dyDescent="0.25">
      <c r="A47" s="13" t="s">
        <v>1727</v>
      </c>
      <c r="B47" s="14" t="s">
        <v>331</v>
      </c>
      <c r="C47" s="13" t="s">
        <v>1472</v>
      </c>
    </row>
    <row r="48" spans="1:3" x14ac:dyDescent="0.25">
      <c r="A48" s="13" t="s">
        <v>1727</v>
      </c>
      <c r="B48" s="14" t="s">
        <v>347</v>
      </c>
      <c r="C48" s="13" t="s">
        <v>1472</v>
      </c>
    </row>
    <row r="49" spans="1:3" x14ac:dyDescent="0.25">
      <c r="A49" s="13" t="s">
        <v>1727</v>
      </c>
      <c r="B49" s="14" t="s">
        <v>351</v>
      </c>
      <c r="C49" s="13" t="s">
        <v>1472</v>
      </c>
    </row>
    <row r="50" spans="1:3" x14ac:dyDescent="0.25">
      <c r="A50" s="13" t="s">
        <v>1727</v>
      </c>
      <c r="B50" s="14" t="s">
        <v>352</v>
      </c>
      <c r="C50" s="13" t="s">
        <v>1472</v>
      </c>
    </row>
    <row r="51" spans="1:3" x14ac:dyDescent="0.25">
      <c r="A51" s="13" t="s">
        <v>1727</v>
      </c>
      <c r="B51" s="14" t="s">
        <v>355</v>
      </c>
      <c r="C51" s="13" t="s">
        <v>1472</v>
      </c>
    </row>
    <row r="52" spans="1:3" x14ac:dyDescent="0.25">
      <c r="A52" s="13" t="s">
        <v>1727</v>
      </c>
      <c r="B52" s="14" t="s">
        <v>359</v>
      </c>
      <c r="C52" s="13" t="s">
        <v>1472</v>
      </c>
    </row>
    <row r="53" spans="1:3" x14ac:dyDescent="0.25">
      <c r="A53" s="13" t="s">
        <v>1727</v>
      </c>
      <c r="B53" s="14" t="s">
        <v>360</v>
      </c>
      <c r="C53" s="13" t="s">
        <v>1472</v>
      </c>
    </row>
    <row r="54" spans="1:3" x14ac:dyDescent="0.25">
      <c r="A54" s="13" t="s">
        <v>1727</v>
      </c>
      <c r="B54" s="14" t="s">
        <v>364</v>
      </c>
      <c r="C54" s="13" t="s">
        <v>1472</v>
      </c>
    </row>
    <row r="55" spans="1:3" x14ac:dyDescent="0.25">
      <c r="A55" s="13" t="s">
        <v>1727</v>
      </c>
      <c r="B55" s="14" t="s">
        <v>368</v>
      </c>
      <c r="C55" s="13" t="s">
        <v>1472</v>
      </c>
    </row>
    <row r="56" spans="1:3" x14ac:dyDescent="0.25">
      <c r="A56" s="13" t="s">
        <v>1729</v>
      </c>
      <c r="B56" s="14" t="s">
        <v>380</v>
      </c>
      <c r="C56" s="13" t="s">
        <v>1728</v>
      </c>
    </row>
    <row r="57" spans="1:3" x14ac:dyDescent="0.25">
      <c r="A57" s="13" t="s">
        <v>1729</v>
      </c>
      <c r="B57" s="14" t="s">
        <v>391</v>
      </c>
      <c r="C57" s="13" t="s">
        <v>385</v>
      </c>
    </row>
    <row r="58" spans="1:3" x14ac:dyDescent="0.25">
      <c r="A58" s="13" t="s">
        <v>1729</v>
      </c>
      <c r="B58" s="14" t="s">
        <v>392</v>
      </c>
      <c r="C58" s="13" t="s">
        <v>386</v>
      </c>
    </row>
    <row r="59" spans="1:3" x14ac:dyDescent="0.25">
      <c r="A59" s="13" t="s">
        <v>1729</v>
      </c>
      <c r="B59" s="14" t="s">
        <v>396</v>
      </c>
      <c r="C59" s="13" t="s">
        <v>549</v>
      </c>
    </row>
    <row r="60" spans="1:3" x14ac:dyDescent="0.25">
      <c r="A60" s="13" t="s">
        <v>1729</v>
      </c>
      <c r="B60" s="14" t="s">
        <v>401</v>
      </c>
      <c r="C60" s="13" t="s">
        <v>385</v>
      </c>
    </row>
    <row r="61" spans="1:3" x14ac:dyDescent="0.25">
      <c r="A61" s="13" t="s">
        <v>1729</v>
      </c>
      <c r="B61" s="14" t="s">
        <v>405</v>
      </c>
      <c r="C61" s="13" t="s">
        <v>514</v>
      </c>
    </row>
    <row r="62" spans="1:3" x14ac:dyDescent="0.25">
      <c r="A62" s="13" t="s">
        <v>1729</v>
      </c>
      <c r="B62" s="14" t="s">
        <v>408</v>
      </c>
      <c r="C62" s="13" t="s">
        <v>514</v>
      </c>
    </row>
    <row r="63" spans="1:3" x14ac:dyDescent="0.25">
      <c r="A63" s="13" t="s">
        <v>1729</v>
      </c>
      <c r="B63" s="14" t="s">
        <v>409</v>
      </c>
      <c r="C63" s="13" t="s">
        <v>514</v>
      </c>
    </row>
    <row r="64" spans="1:3" x14ac:dyDescent="0.25">
      <c r="A64" s="13" t="s">
        <v>1729</v>
      </c>
      <c r="B64" s="14" t="s">
        <v>410</v>
      </c>
      <c r="C64" s="13" t="s">
        <v>549</v>
      </c>
    </row>
    <row r="65" spans="1:3" x14ac:dyDescent="0.25">
      <c r="A65" s="13" t="s">
        <v>1729</v>
      </c>
      <c r="B65" s="14" t="s">
        <v>417</v>
      </c>
      <c r="C65" s="13" t="s">
        <v>386</v>
      </c>
    </row>
    <row r="66" spans="1:3" x14ac:dyDescent="0.25">
      <c r="A66" s="13" t="s">
        <v>1729</v>
      </c>
      <c r="B66" s="14" t="s">
        <v>420</v>
      </c>
      <c r="C66" s="13" t="s">
        <v>549</v>
      </c>
    </row>
    <row r="67" spans="1:3" x14ac:dyDescent="0.25">
      <c r="A67" s="13" t="s">
        <v>1729</v>
      </c>
      <c r="B67" s="14" t="s">
        <v>425</v>
      </c>
      <c r="C67" s="13" t="s">
        <v>514</v>
      </c>
    </row>
    <row r="68" spans="1:3" x14ac:dyDescent="0.25">
      <c r="A68" s="13" t="s">
        <v>1730</v>
      </c>
      <c r="B68" s="14" t="s">
        <v>431</v>
      </c>
      <c r="C68" s="13" t="s">
        <v>514</v>
      </c>
    </row>
    <row r="69" spans="1:3" x14ac:dyDescent="0.25">
      <c r="A69" s="13" t="s">
        <v>1730</v>
      </c>
      <c r="B69" s="14" t="s">
        <v>437</v>
      </c>
      <c r="C69" s="13" t="s">
        <v>549</v>
      </c>
    </row>
    <row r="70" spans="1:3" x14ac:dyDescent="0.25">
      <c r="A70" s="13" t="s">
        <v>1730</v>
      </c>
      <c r="B70" s="14" t="s">
        <v>440</v>
      </c>
      <c r="C70" s="13" t="s">
        <v>1728</v>
      </c>
    </row>
    <row r="71" spans="1:3" x14ac:dyDescent="0.25">
      <c r="A71" s="13" t="s">
        <v>1730</v>
      </c>
      <c r="B71" s="14" t="s">
        <v>449</v>
      </c>
      <c r="C71" s="13" t="s">
        <v>452</v>
      </c>
    </row>
    <row r="72" spans="1:3" x14ac:dyDescent="0.25">
      <c r="A72" s="13" t="s">
        <v>1730</v>
      </c>
      <c r="B72" s="14" t="s">
        <v>458</v>
      </c>
      <c r="C72" s="13" t="s">
        <v>514</v>
      </c>
    </row>
    <row r="73" spans="1:3" x14ac:dyDescent="0.25">
      <c r="A73" s="13" t="s">
        <v>1730</v>
      </c>
      <c r="B73" s="14" t="s">
        <v>463</v>
      </c>
      <c r="C73" s="13" t="s">
        <v>514</v>
      </c>
    </row>
    <row r="74" spans="1:3" x14ac:dyDescent="0.25">
      <c r="A74" s="13" t="s">
        <v>1730</v>
      </c>
      <c r="B74" s="14" t="s">
        <v>469</v>
      </c>
      <c r="C74" s="13" t="s">
        <v>549</v>
      </c>
    </row>
    <row r="75" spans="1:3" x14ac:dyDescent="0.25">
      <c r="A75" s="13" t="s">
        <v>1730</v>
      </c>
      <c r="B75" s="14" t="s">
        <v>471</v>
      </c>
      <c r="C75" s="13" t="s">
        <v>386</v>
      </c>
    </row>
    <row r="76" spans="1:3" x14ac:dyDescent="0.25">
      <c r="A76" s="13" t="s">
        <v>1730</v>
      </c>
      <c r="B76" s="14" t="s">
        <v>475</v>
      </c>
      <c r="C76" s="13" t="s">
        <v>514</v>
      </c>
    </row>
    <row r="77" spans="1:3" x14ac:dyDescent="0.25">
      <c r="A77" s="13" t="s">
        <v>1731</v>
      </c>
      <c r="B77" s="14" t="s">
        <v>490</v>
      </c>
      <c r="C77" s="13" t="s">
        <v>386</v>
      </c>
    </row>
    <row r="78" spans="1:3" x14ac:dyDescent="0.25">
      <c r="A78" s="13" t="s">
        <v>1731</v>
      </c>
      <c r="B78" s="14" t="s">
        <v>494</v>
      </c>
      <c r="C78" s="13" t="s">
        <v>386</v>
      </c>
    </row>
    <row r="79" spans="1:3" x14ac:dyDescent="0.25">
      <c r="A79" s="13" t="s">
        <v>1731</v>
      </c>
      <c r="B79" s="14" t="s">
        <v>497</v>
      </c>
      <c r="C79" s="13" t="s">
        <v>514</v>
      </c>
    </row>
    <row r="80" spans="1:3" x14ac:dyDescent="0.25">
      <c r="A80" s="13" t="s">
        <v>1731</v>
      </c>
      <c r="B80" s="14" t="s">
        <v>502</v>
      </c>
      <c r="C80" s="13" t="s">
        <v>386</v>
      </c>
    </row>
    <row r="81" spans="1:3" x14ac:dyDescent="0.25">
      <c r="A81" s="13" t="s">
        <v>1731</v>
      </c>
      <c r="B81" s="14" t="s">
        <v>506</v>
      </c>
      <c r="C81" s="13" t="s">
        <v>549</v>
      </c>
    </row>
    <row r="82" spans="1:3" x14ac:dyDescent="0.25">
      <c r="A82" s="13" t="s">
        <v>1731</v>
      </c>
      <c r="B82" s="14" t="s">
        <v>509</v>
      </c>
      <c r="C82" s="13" t="s">
        <v>1728</v>
      </c>
    </row>
    <row r="83" spans="1:3" x14ac:dyDescent="0.25">
      <c r="A83" s="13" t="s">
        <v>1732</v>
      </c>
      <c r="B83" s="14" t="s">
        <v>527</v>
      </c>
      <c r="C83" s="13" t="s">
        <v>514</v>
      </c>
    </row>
    <row r="84" spans="1:3" x14ac:dyDescent="0.25">
      <c r="A84" s="13" t="s">
        <v>1732</v>
      </c>
      <c r="B84" s="14" t="s">
        <v>531</v>
      </c>
      <c r="C84" s="13" t="s">
        <v>549</v>
      </c>
    </row>
    <row r="85" spans="1:3" x14ac:dyDescent="0.25">
      <c r="A85" s="13" t="s">
        <v>1732</v>
      </c>
      <c r="B85" s="14" t="s">
        <v>535</v>
      </c>
      <c r="C85" s="13" t="s">
        <v>385</v>
      </c>
    </row>
    <row r="86" spans="1:3" x14ac:dyDescent="0.25">
      <c r="A86" s="13" t="s">
        <v>1732</v>
      </c>
      <c r="B86" s="14" t="s">
        <v>536</v>
      </c>
      <c r="C86" s="13" t="s">
        <v>1728</v>
      </c>
    </row>
    <row r="87" spans="1:3" x14ac:dyDescent="0.25">
      <c r="A87" s="13" t="s">
        <v>1732</v>
      </c>
      <c r="B87" s="14" t="s">
        <v>560</v>
      </c>
      <c r="C87" s="13" t="s">
        <v>515</v>
      </c>
    </row>
    <row r="88" spans="1:3" x14ac:dyDescent="0.25">
      <c r="A88" s="13" t="s">
        <v>1733</v>
      </c>
      <c r="B88" s="14" t="s">
        <v>574</v>
      </c>
      <c r="C88" s="13" t="s">
        <v>1728</v>
      </c>
    </row>
    <row r="89" spans="1:3" x14ac:dyDescent="0.25">
      <c r="A89" s="13" t="s">
        <v>1733</v>
      </c>
      <c r="B89" s="14" t="s">
        <v>582</v>
      </c>
      <c r="C89" s="13" t="s">
        <v>1728</v>
      </c>
    </row>
    <row r="90" spans="1:3" x14ac:dyDescent="0.25">
      <c r="A90" s="13" t="s">
        <v>1733</v>
      </c>
      <c r="B90" s="14" t="s">
        <v>590</v>
      </c>
      <c r="C90" s="13" t="s">
        <v>549</v>
      </c>
    </row>
    <row r="91" spans="1:3" x14ac:dyDescent="0.25">
      <c r="A91" s="13" t="s">
        <v>1733</v>
      </c>
      <c r="B91" s="14" t="s">
        <v>593</v>
      </c>
      <c r="C91" s="13" t="s">
        <v>1728</v>
      </c>
    </row>
    <row r="92" spans="1:3" x14ac:dyDescent="0.25">
      <c r="A92" s="13" t="s">
        <v>1733</v>
      </c>
      <c r="B92" s="14" t="s">
        <v>597</v>
      </c>
      <c r="C92" s="13" t="s">
        <v>549</v>
      </c>
    </row>
    <row r="93" spans="1:3" x14ac:dyDescent="0.25">
      <c r="A93" s="13" t="s">
        <v>1733</v>
      </c>
      <c r="B93" s="14" t="s">
        <v>600</v>
      </c>
      <c r="C93" s="13" t="s">
        <v>385</v>
      </c>
    </row>
    <row r="94" spans="1:3" x14ac:dyDescent="0.25">
      <c r="A94" s="13" t="s">
        <v>1733</v>
      </c>
      <c r="B94" s="14" t="s">
        <v>601</v>
      </c>
      <c r="C94" s="13" t="s">
        <v>514</v>
      </c>
    </row>
    <row r="95" spans="1:3" x14ac:dyDescent="0.25">
      <c r="A95" s="13" t="s">
        <v>1733</v>
      </c>
      <c r="B95" s="14" t="s">
        <v>607</v>
      </c>
      <c r="C95" s="13" t="s">
        <v>514</v>
      </c>
    </row>
    <row r="96" spans="1:3" x14ac:dyDescent="0.25">
      <c r="A96" s="13" t="s">
        <v>1733</v>
      </c>
      <c r="B96" s="14" t="s">
        <v>618</v>
      </c>
      <c r="C96" s="13" t="s">
        <v>514</v>
      </c>
    </row>
    <row r="97" spans="1:3" x14ac:dyDescent="0.25">
      <c r="A97" s="13" t="s">
        <v>1733</v>
      </c>
      <c r="B97" s="14" t="s">
        <v>628</v>
      </c>
      <c r="C97" s="13" t="s">
        <v>514</v>
      </c>
    </row>
    <row r="98" spans="1:3" x14ac:dyDescent="0.25">
      <c r="A98" s="13" t="s">
        <v>1733</v>
      </c>
      <c r="B98" s="14" t="s">
        <v>638</v>
      </c>
      <c r="C98" s="13" t="s">
        <v>1728</v>
      </c>
    </row>
    <row r="99" spans="1:3" x14ac:dyDescent="0.25">
      <c r="A99" s="13" t="s">
        <v>1733</v>
      </c>
      <c r="B99" s="14" t="s">
        <v>648</v>
      </c>
      <c r="C99" s="13" t="s">
        <v>1728</v>
      </c>
    </row>
    <row r="100" spans="1:3" x14ac:dyDescent="0.25">
      <c r="A100" s="13" t="s">
        <v>1733</v>
      </c>
      <c r="B100" s="14" t="s">
        <v>656</v>
      </c>
      <c r="C100" s="13" t="s">
        <v>1734</v>
      </c>
    </row>
    <row r="101" spans="1:3" x14ac:dyDescent="0.25">
      <c r="A101" s="13" t="s">
        <v>1733</v>
      </c>
      <c r="B101" s="14" t="s">
        <v>660</v>
      </c>
      <c r="C101" s="13" t="s">
        <v>514</v>
      </c>
    </row>
    <row r="102" spans="1:3" x14ac:dyDescent="0.25">
      <c r="A102" s="13" t="s">
        <v>1733</v>
      </c>
      <c r="B102" s="14" t="s">
        <v>665</v>
      </c>
      <c r="C102" s="13" t="s">
        <v>443</v>
      </c>
    </row>
    <row r="103" spans="1:3" x14ac:dyDescent="0.25">
      <c r="A103" s="13" t="s">
        <v>1733</v>
      </c>
      <c r="B103" s="14" t="s">
        <v>668</v>
      </c>
      <c r="C103" s="13" t="s">
        <v>443</v>
      </c>
    </row>
    <row r="104" spans="1:3" x14ac:dyDescent="0.25">
      <c r="A104" s="13" t="s">
        <v>1733</v>
      </c>
      <c r="B104" s="14" t="s">
        <v>670</v>
      </c>
      <c r="C104" s="13" t="s">
        <v>443</v>
      </c>
    </row>
    <row r="105" spans="1:3" x14ac:dyDescent="0.25">
      <c r="A105" s="13" t="s">
        <v>1733</v>
      </c>
      <c r="B105" s="14" t="s">
        <v>672</v>
      </c>
      <c r="C105" s="13" t="s">
        <v>386</v>
      </c>
    </row>
    <row r="106" spans="1:3" x14ac:dyDescent="0.25">
      <c r="A106" s="13" t="s">
        <v>1733</v>
      </c>
      <c r="B106" s="14" t="s">
        <v>675</v>
      </c>
      <c r="C106" s="13" t="s">
        <v>443</v>
      </c>
    </row>
    <row r="107" spans="1:3" x14ac:dyDescent="0.25">
      <c r="A107" s="13" t="s">
        <v>1733</v>
      </c>
      <c r="B107" s="14" t="s">
        <v>677</v>
      </c>
      <c r="C107" s="13" t="s">
        <v>443</v>
      </c>
    </row>
    <row r="108" spans="1:3" x14ac:dyDescent="0.25">
      <c r="A108" s="13" t="s">
        <v>1733</v>
      </c>
      <c r="B108" s="14" t="s">
        <v>678</v>
      </c>
      <c r="C108" s="13" t="s">
        <v>443</v>
      </c>
    </row>
    <row r="109" spans="1:3" x14ac:dyDescent="0.25">
      <c r="A109" s="13" t="s">
        <v>1733</v>
      </c>
      <c r="B109" s="14" t="s">
        <v>680</v>
      </c>
      <c r="C109" s="13" t="s">
        <v>386</v>
      </c>
    </row>
    <row r="110" spans="1:3" x14ac:dyDescent="0.25">
      <c r="A110" s="13" t="s">
        <v>1733</v>
      </c>
      <c r="B110" s="14" t="s">
        <v>683</v>
      </c>
      <c r="C110" s="13" t="s">
        <v>443</v>
      </c>
    </row>
    <row r="111" spans="1:3" x14ac:dyDescent="0.25">
      <c r="A111" s="13" t="s">
        <v>1733</v>
      </c>
      <c r="B111" s="14" t="s">
        <v>685</v>
      </c>
      <c r="C111" s="13" t="s">
        <v>443</v>
      </c>
    </row>
    <row r="112" spans="1:3" x14ac:dyDescent="0.25">
      <c r="A112" s="13" t="s">
        <v>1733</v>
      </c>
      <c r="B112" s="14" t="s">
        <v>686</v>
      </c>
      <c r="C112" s="13" t="s">
        <v>443</v>
      </c>
    </row>
    <row r="113" spans="1:3" x14ac:dyDescent="0.25">
      <c r="A113" s="13" t="s">
        <v>1733</v>
      </c>
      <c r="B113" s="14" t="s">
        <v>687</v>
      </c>
      <c r="C113" s="13" t="s">
        <v>386</v>
      </c>
    </row>
    <row r="114" spans="1:3" x14ac:dyDescent="0.25">
      <c r="A114" s="13" t="s">
        <v>1733</v>
      </c>
      <c r="B114" s="14" t="s">
        <v>690</v>
      </c>
      <c r="C114" s="13" t="s">
        <v>443</v>
      </c>
    </row>
    <row r="115" spans="1:3" x14ac:dyDescent="0.25">
      <c r="A115" s="13" t="s">
        <v>1733</v>
      </c>
      <c r="B115" s="14" t="s">
        <v>692</v>
      </c>
      <c r="C115" s="13" t="s">
        <v>443</v>
      </c>
    </row>
    <row r="116" spans="1:3" x14ac:dyDescent="0.25">
      <c r="A116" s="13" t="s">
        <v>1733</v>
      </c>
      <c r="B116" s="14" t="s">
        <v>693</v>
      </c>
      <c r="C116" s="13" t="s">
        <v>443</v>
      </c>
    </row>
    <row r="117" spans="1:3" x14ac:dyDescent="0.25">
      <c r="A117" s="13" t="s">
        <v>1733</v>
      </c>
      <c r="B117" s="14" t="s">
        <v>695</v>
      </c>
      <c r="C117" s="13" t="s">
        <v>386</v>
      </c>
    </row>
    <row r="118" spans="1:3" x14ac:dyDescent="0.25">
      <c r="A118" s="13" t="s">
        <v>1733</v>
      </c>
      <c r="B118" s="14" t="s">
        <v>698</v>
      </c>
      <c r="C118" s="13" t="s">
        <v>514</v>
      </c>
    </row>
    <row r="119" spans="1:3" x14ac:dyDescent="0.25">
      <c r="A119" s="13" t="s">
        <v>1733</v>
      </c>
      <c r="B119" s="14" t="s">
        <v>708</v>
      </c>
      <c r="C119" s="13" t="s">
        <v>514</v>
      </c>
    </row>
    <row r="120" spans="1:3" x14ac:dyDescent="0.25">
      <c r="A120" s="13" t="s">
        <v>1733</v>
      </c>
      <c r="B120" s="14" t="s">
        <v>711</v>
      </c>
      <c r="C120" s="13" t="s">
        <v>386</v>
      </c>
    </row>
    <row r="121" spans="1:3" x14ac:dyDescent="0.25">
      <c r="A121" s="13" t="s">
        <v>1733</v>
      </c>
      <c r="B121" s="14" t="s">
        <v>713</v>
      </c>
      <c r="C121" s="13" t="s">
        <v>514</v>
      </c>
    </row>
    <row r="122" spans="1:3" x14ac:dyDescent="0.25">
      <c r="A122" s="13" t="s">
        <v>1733</v>
      </c>
      <c r="B122" s="14" t="s">
        <v>716</v>
      </c>
      <c r="C122" s="13" t="s">
        <v>514</v>
      </c>
    </row>
    <row r="123" spans="1:3" x14ac:dyDescent="0.25">
      <c r="A123" s="13" t="s">
        <v>1733</v>
      </c>
      <c r="B123" s="14" t="s">
        <v>721</v>
      </c>
      <c r="C123" s="13" t="s">
        <v>514</v>
      </c>
    </row>
    <row r="124" spans="1:3" x14ac:dyDescent="0.25">
      <c r="A124" s="13" t="s">
        <v>1733</v>
      </c>
      <c r="B124" s="14" t="s">
        <v>724</v>
      </c>
      <c r="C124" s="13" t="s">
        <v>514</v>
      </c>
    </row>
    <row r="125" spans="1:3" x14ac:dyDescent="0.25">
      <c r="A125" s="13" t="s">
        <v>1733</v>
      </c>
      <c r="B125" s="14" t="s">
        <v>725</v>
      </c>
      <c r="C125" s="13" t="s">
        <v>514</v>
      </c>
    </row>
    <row r="126" spans="1:3" x14ac:dyDescent="0.25">
      <c r="A126" s="13" t="s">
        <v>1733</v>
      </c>
      <c r="B126" s="14" t="s">
        <v>726</v>
      </c>
      <c r="C126" s="13" t="s">
        <v>514</v>
      </c>
    </row>
    <row r="127" spans="1:3" x14ac:dyDescent="0.25">
      <c r="A127" s="13" t="s">
        <v>1733</v>
      </c>
      <c r="B127" s="14" t="s">
        <v>729</v>
      </c>
      <c r="C127" s="13" t="s">
        <v>549</v>
      </c>
    </row>
    <row r="128" spans="1:3" x14ac:dyDescent="0.25">
      <c r="A128" s="13" t="s">
        <v>1733</v>
      </c>
      <c r="B128" s="14" t="s">
        <v>735</v>
      </c>
      <c r="C128" s="13" t="s">
        <v>386</v>
      </c>
    </row>
    <row r="129" spans="1:3" x14ac:dyDescent="0.25">
      <c r="A129" s="13" t="s">
        <v>1733</v>
      </c>
      <c r="B129" s="14" t="s">
        <v>738</v>
      </c>
      <c r="C129" s="13" t="s">
        <v>386</v>
      </c>
    </row>
    <row r="130" spans="1:3" x14ac:dyDescent="0.25">
      <c r="A130" s="13" t="s">
        <v>1733</v>
      </c>
      <c r="B130" s="14" t="s">
        <v>740</v>
      </c>
      <c r="C130" s="13" t="s">
        <v>386</v>
      </c>
    </row>
    <row r="131" spans="1:3" x14ac:dyDescent="0.25">
      <c r="A131" s="13" t="s">
        <v>1733</v>
      </c>
      <c r="B131" s="14" t="s">
        <v>742</v>
      </c>
      <c r="C131" s="13" t="s">
        <v>1728</v>
      </c>
    </row>
    <row r="132" spans="1:3" x14ac:dyDescent="0.25">
      <c r="A132" s="13" t="s">
        <v>1733</v>
      </c>
      <c r="B132" s="14" t="s">
        <v>747</v>
      </c>
      <c r="C132" s="13" t="s">
        <v>1728</v>
      </c>
    </row>
    <row r="133" spans="1:3" x14ac:dyDescent="0.25">
      <c r="A133" s="13" t="s">
        <v>1733</v>
      </c>
      <c r="B133" s="14" t="s">
        <v>752</v>
      </c>
      <c r="C133" s="13" t="s">
        <v>549</v>
      </c>
    </row>
    <row r="134" spans="1:3" x14ac:dyDescent="0.25">
      <c r="A134" s="13" t="s">
        <v>1733</v>
      </c>
      <c r="B134" s="14" t="s">
        <v>755</v>
      </c>
      <c r="C134" s="13" t="s">
        <v>385</v>
      </c>
    </row>
    <row r="135" spans="1:3" x14ac:dyDescent="0.25">
      <c r="A135" s="13" t="s">
        <v>1733</v>
      </c>
      <c r="B135" s="14" t="s">
        <v>756</v>
      </c>
      <c r="C135" s="13" t="s">
        <v>385</v>
      </c>
    </row>
    <row r="136" spans="1:3" x14ac:dyDescent="0.25">
      <c r="A136" s="13" t="s">
        <v>1733</v>
      </c>
      <c r="B136" s="14" t="s">
        <v>757</v>
      </c>
      <c r="C136" s="13" t="s">
        <v>514</v>
      </c>
    </row>
    <row r="137" spans="1:3" x14ac:dyDescent="0.25">
      <c r="A137" s="13" t="s">
        <v>1733</v>
      </c>
      <c r="B137" s="14" t="s">
        <v>763</v>
      </c>
      <c r="C137" s="13" t="s">
        <v>514</v>
      </c>
    </row>
    <row r="138" spans="1:3" x14ac:dyDescent="0.25">
      <c r="A138" s="13" t="s">
        <v>1733</v>
      </c>
      <c r="B138" s="14" t="s">
        <v>770</v>
      </c>
      <c r="C138" s="13" t="s">
        <v>1728</v>
      </c>
    </row>
    <row r="139" spans="1:3" x14ac:dyDescent="0.25">
      <c r="A139" s="13" t="s">
        <v>1733</v>
      </c>
      <c r="B139" s="14" t="s">
        <v>783</v>
      </c>
      <c r="C139" s="13" t="s">
        <v>514</v>
      </c>
    </row>
    <row r="140" spans="1:3" x14ac:dyDescent="0.25">
      <c r="A140" s="13" t="s">
        <v>1733</v>
      </c>
      <c r="B140" s="14" t="s">
        <v>788</v>
      </c>
      <c r="C140" s="13" t="s">
        <v>1728</v>
      </c>
    </row>
    <row r="141" spans="1:3" x14ac:dyDescent="0.25">
      <c r="A141" s="13" t="s">
        <v>1733</v>
      </c>
      <c r="B141" s="14" t="s">
        <v>801</v>
      </c>
      <c r="C141" s="13" t="s">
        <v>549</v>
      </c>
    </row>
    <row r="142" spans="1:3" x14ac:dyDescent="0.25">
      <c r="A142" s="13" t="s">
        <v>1733</v>
      </c>
      <c r="B142" s="14" t="s">
        <v>805</v>
      </c>
      <c r="C142" s="13" t="s">
        <v>1734</v>
      </c>
    </row>
    <row r="143" spans="1:3" x14ac:dyDescent="0.25">
      <c r="A143" s="13" t="s">
        <v>1733</v>
      </c>
      <c r="B143" s="14" t="s">
        <v>807</v>
      </c>
      <c r="C143" s="13" t="s">
        <v>514</v>
      </c>
    </row>
    <row r="144" spans="1:3" x14ac:dyDescent="0.25">
      <c r="A144" s="13" t="s">
        <v>1733</v>
      </c>
      <c r="B144" s="14" t="s">
        <v>812</v>
      </c>
      <c r="C144" s="13" t="s">
        <v>386</v>
      </c>
    </row>
    <row r="145" spans="1:3" x14ac:dyDescent="0.25">
      <c r="A145" s="13" t="s">
        <v>1733</v>
      </c>
      <c r="B145" s="14" t="s">
        <v>815</v>
      </c>
      <c r="C145" s="13" t="s">
        <v>386</v>
      </c>
    </row>
    <row r="146" spans="1:3" x14ac:dyDescent="0.25">
      <c r="A146" s="13" t="s">
        <v>1733</v>
      </c>
      <c r="B146" s="14" t="s">
        <v>817</v>
      </c>
      <c r="C146" s="13" t="s">
        <v>386</v>
      </c>
    </row>
    <row r="147" spans="1:3" x14ac:dyDescent="0.25">
      <c r="A147" s="13" t="s">
        <v>1733</v>
      </c>
      <c r="B147" s="14" t="s">
        <v>819</v>
      </c>
      <c r="C147" s="13" t="s">
        <v>549</v>
      </c>
    </row>
    <row r="148" spans="1:3" x14ac:dyDescent="0.25">
      <c r="A148" s="13" t="s">
        <v>1733</v>
      </c>
      <c r="B148" s="14" t="s">
        <v>822</v>
      </c>
      <c r="C148" s="13" t="s">
        <v>549</v>
      </c>
    </row>
    <row r="149" spans="1:3" x14ac:dyDescent="0.25">
      <c r="A149" s="13" t="s">
        <v>1733</v>
      </c>
      <c r="B149" s="14" t="s">
        <v>825</v>
      </c>
      <c r="C149" s="13" t="s">
        <v>549</v>
      </c>
    </row>
    <row r="150" spans="1:3" x14ac:dyDescent="0.25">
      <c r="A150" s="13" t="s">
        <v>1735</v>
      </c>
      <c r="B150" s="14" t="s">
        <v>828</v>
      </c>
      <c r="C150" s="13" t="s">
        <v>514</v>
      </c>
    </row>
    <row r="151" spans="1:3" x14ac:dyDescent="0.25">
      <c r="A151" s="13" t="s">
        <v>1735</v>
      </c>
      <c r="B151" s="14" t="s">
        <v>832</v>
      </c>
      <c r="C151" s="13" t="s">
        <v>514</v>
      </c>
    </row>
    <row r="152" spans="1:3" x14ac:dyDescent="0.25">
      <c r="A152" s="13" t="s">
        <v>1735</v>
      </c>
      <c r="B152" s="14" t="s">
        <v>837</v>
      </c>
      <c r="C152" s="13" t="s">
        <v>514</v>
      </c>
    </row>
    <row r="153" spans="1:3" x14ac:dyDescent="0.25">
      <c r="A153" s="13" t="s">
        <v>1735</v>
      </c>
      <c r="B153" s="14" t="s">
        <v>842</v>
      </c>
      <c r="C153" s="13" t="s">
        <v>514</v>
      </c>
    </row>
    <row r="154" spans="1:3" x14ac:dyDescent="0.25">
      <c r="A154" s="13" t="s">
        <v>1735</v>
      </c>
      <c r="B154" s="14" t="s">
        <v>845</v>
      </c>
      <c r="C154" s="13" t="s">
        <v>549</v>
      </c>
    </row>
    <row r="155" spans="1:3" x14ac:dyDescent="0.25">
      <c r="A155" s="13" t="s">
        <v>1735</v>
      </c>
      <c r="B155" s="14" t="s">
        <v>851</v>
      </c>
      <c r="C155" s="13" t="s">
        <v>515</v>
      </c>
    </row>
    <row r="156" spans="1:3" x14ac:dyDescent="0.25">
      <c r="A156" s="13" t="s">
        <v>1736</v>
      </c>
      <c r="B156" s="14" t="s">
        <v>855</v>
      </c>
      <c r="C156" s="13" t="s">
        <v>1728</v>
      </c>
    </row>
    <row r="157" spans="1:3" x14ac:dyDescent="0.25">
      <c r="A157" s="13" t="s">
        <v>1736</v>
      </c>
      <c r="B157" s="14" t="s">
        <v>863</v>
      </c>
      <c r="C157" s="13" t="s">
        <v>549</v>
      </c>
    </row>
    <row r="158" spans="1:3" x14ac:dyDescent="0.25">
      <c r="A158" s="13" t="s">
        <v>1736</v>
      </c>
      <c r="B158" s="14" t="s">
        <v>867</v>
      </c>
      <c r="C158" s="13" t="s">
        <v>514</v>
      </c>
    </row>
    <row r="159" spans="1:3" x14ac:dyDescent="0.25">
      <c r="A159" s="13" t="s">
        <v>1736</v>
      </c>
      <c r="B159" s="14" t="s">
        <v>873</v>
      </c>
      <c r="C159" s="13" t="s">
        <v>514</v>
      </c>
    </row>
    <row r="160" spans="1:3" x14ac:dyDescent="0.25">
      <c r="A160" s="13" t="s">
        <v>1736</v>
      </c>
      <c r="B160" s="14" t="s">
        <v>877</v>
      </c>
      <c r="C160" s="13" t="s">
        <v>549</v>
      </c>
    </row>
    <row r="161" spans="1:3" x14ac:dyDescent="0.25">
      <c r="A161" s="13" t="s">
        <v>1736</v>
      </c>
      <c r="B161" s="14" t="s">
        <v>880</v>
      </c>
      <c r="C161" s="13" t="s">
        <v>515</v>
      </c>
    </row>
    <row r="162" spans="1:3" x14ac:dyDescent="0.25">
      <c r="A162" s="13" t="s">
        <v>1736</v>
      </c>
      <c r="B162" s="14" t="s">
        <v>883</v>
      </c>
      <c r="C162" s="13" t="s">
        <v>514</v>
      </c>
    </row>
    <row r="163" spans="1:3" x14ac:dyDescent="0.25">
      <c r="A163" s="13" t="s">
        <v>1736</v>
      </c>
      <c r="B163" s="14" t="s">
        <v>885</v>
      </c>
      <c r="C163" s="13" t="s">
        <v>515</v>
      </c>
    </row>
    <row r="164" spans="1:3" x14ac:dyDescent="0.25">
      <c r="A164" s="13" t="s">
        <v>1736</v>
      </c>
      <c r="B164" s="14" t="s">
        <v>888</v>
      </c>
      <c r="C164" s="13" t="s">
        <v>514</v>
      </c>
    </row>
    <row r="165" spans="1:3" x14ac:dyDescent="0.25">
      <c r="A165" s="13" t="s">
        <v>1736</v>
      </c>
      <c r="B165" s="14" t="s">
        <v>893</v>
      </c>
      <c r="C165" s="13" t="s">
        <v>385</v>
      </c>
    </row>
    <row r="166" spans="1:3" x14ac:dyDescent="0.25">
      <c r="A166" s="13" t="s">
        <v>1736</v>
      </c>
      <c r="B166" s="14" t="s">
        <v>894</v>
      </c>
      <c r="C166" s="13" t="s">
        <v>386</v>
      </c>
    </row>
    <row r="167" spans="1:3" x14ac:dyDescent="0.25">
      <c r="A167" s="13" t="s">
        <v>1736</v>
      </c>
      <c r="B167" s="14" t="s">
        <v>898</v>
      </c>
      <c r="C167" s="13" t="s">
        <v>549</v>
      </c>
    </row>
    <row r="168" spans="1:3" x14ac:dyDescent="0.25">
      <c r="A168" s="13" t="s">
        <v>1736</v>
      </c>
      <c r="B168" s="14" t="s">
        <v>902</v>
      </c>
      <c r="C168" s="13" t="s">
        <v>514</v>
      </c>
    </row>
    <row r="169" spans="1:3" x14ac:dyDescent="0.25">
      <c r="A169" s="13" t="s">
        <v>1737</v>
      </c>
      <c r="B169" s="14" t="s">
        <v>908</v>
      </c>
      <c r="C169" s="13" t="s">
        <v>549</v>
      </c>
    </row>
    <row r="170" spans="1:3" x14ac:dyDescent="0.25">
      <c r="A170" s="13" t="s">
        <v>1737</v>
      </c>
      <c r="B170" s="14" t="s">
        <v>922</v>
      </c>
      <c r="C170" s="13" t="s">
        <v>514</v>
      </c>
    </row>
    <row r="171" spans="1:3" x14ac:dyDescent="0.25">
      <c r="A171" s="13" t="s">
        <v>1737</v>
      </c>
      <c r="B171" s="14" t="s">
        <v>927</v>
      </c>
      <c r="C171" s="13" t="s">
        <v>443</v>
      </c>
    </row>
    <row r="172" spans="1:3" x14ac:dyDescent="0.25">
      <c r="A172" s="13" t="s">
        <v>1737</v>
      </c>
      <c r="B172" s="14" t="s">
        <v>929</v>
      </c>
      <c r="C172" s="13" t="s">
        <v>515</v>
      </c>
    </row>
    <row r="173" spans="1:3" x14ac:dyDescent="0.25">
      <c r="A173" s="13" t="s">
        <v>1737</v>
      </c>
      <c r="B173" s="14" t="s">
        <v>932</v>
      </c>
      <c r="C173" s="13" t="s">
        <v>1728</v>
      </c>
    </row>
    <row r="174" spans="1:3" x14ac:dyDescent="0.25">
      <c r="A174" s="13" t="s">
        <v>1737</v>
      </c>
      <c r="B174" s="14" t="s">
        <v>947</v>
      </c>
      <c r="C174" s="13" t="s">
        <v>1728</v>
      </c>
    </row>
    <row r="175" spans="1:3" x14ac:dyDescent="0.25">
      <c r="A175" s="13" t="s">
        <v>1737</v>
      </c>
      <c r="B175" s="14" t="s">
        <v>954</v>
      </c>
      <c r="C175" s="13" t="s">
        <v>514</v>
      </c>
    </row>
    <row r="176" spans="1:3" x14ac:dyDescent="0.25">
      <c r="A176" s="13" t="s">
        <v>1737</v>
      </c>
      <c r="B176" s="14" t="s">
        <v>961</v>
      </c>
      <c r="C176" s="13" t="s">
        <v>514</v>
      </c>
    </row>
    <row r="177" spans="1:3" x14ac:dyDescent="0.25">
      <c r="A177" s="13" t="s">
        <v>1737</v>
      </c>
      <c r="B177" s="14" t="s">
        <v>968</v>
      </c>
      <c r="C177" s="13" t="s">
        <v>514</v>
      </c>
    </row>
    <row r="178" spans="1:3" x14ac:dyDescent="0.25">
      <c r="A178" s="13" t="s">
        <v>1737</v>
      </c>
      <c r="B178" s="14" t="s">
        <v>973</v>
      </c>
      <c r="C178" s="13" t="s">
        <v>514</v>
      </c>
    </row>
    <row r="179" spans="1:3" x14ac:dyDescent="0.25">
      <c r="A179" s="13" t="s">
        <v>1737</v>
      </c>
      <c r="B179" s="14" t="s">
        <v>977</v>
      </c>
      <c r="C179" s="13" t="s">
        <v>1728</v>
      </c>
    </row>
    <row r="180" spans="1:3" x14ac:dyDescent="0.25">
      <c r="A180" s="13" t="s">
        <v>1737</v>
      </c>
      <c r="B180" s="14" t="s">
        <v>984</v>
      </c>
      <c r="C180" s="13" t="s">
        <v>514</v>
      </c>
    </row>
    <row r="181" spans="1:3" x14ac:dyDescent="0.25">
      <c r="A181" s="13" t="s">
        <v>1738</v>
      </c>
      <c r="B181" s="14" t="s">
        <v>988</v>
      </c>
      <c r="C181" s="13" t="s">
        <v>385</v>
      </c>
    </row>
    <row r="182" spans="1:3" x14ac:dyDescent="0.25">
      <c r="A182" s="13" t="s">
        <v>1738</v>
      </c>
      <c r="B182" s="14" t="s">
        <v>989</v>
      </c>
      <c r="C182" s="13" t="s">
        <v>514</v>
      </c>
    </row>
    <row r="183" spans="1:3" x14ac:dyDescent="0.25">
      <c r="A183" s="13" t="s">
        <v>1738</v>
      </c>
      <c r="B183" s="14" t="s">
        <v>993</v>
      </c>
      <c r="C183" s="13" t="s">
        <v>386</v>
      </c>
    </row>
    <row r="184" spans="1:3" x14ac:dyDescent="0.25">
      <c r="A184" s="13" t="s">
        <v>1738</v>
      </c>
      <c r="B184" s="14" t="s">
        <v>996</v>
      </c>
      <c r="C184" s="13" t="s">
        <v>549</v>
      </c>
    </row>
    <row r="185" spans="1:3" x14ac:dyDescent="0.25">
      <c r="A185" s="13" t="s">
        <v>1739</v>
      </c>
      <c r="B185" s="14" t="s">
        <v>1001</v>
      </c>
      <c r="C185" s="13" t="s">
        <v>549</v>
      </c>
    </row>
    <row r="186" spans="1:3" x14ac:dyDescent="0.25">
      <c r="A186" s="13" t="s">
        <v>1739</v>
      </c>
      <c r="B186" s="14" t="s">
        <v>1005</v>
      </c>
      <c r="C186" s="13" t="s">
        <v>514</v>
      </c>
    </row>
    <row r="187" spans="1:3" x14ac:dyDescent="0.25">
      <c r="A187" s="13" t="s">
        <v>1739</v>
      </c>
      <c r="B187" s="14" t="s">
        <v>1009</v>
      </c>
      <c r="C187" s="13" t="s">
        <v>514</v>
      </c>
    </row>
    <row r="188" spans="1:3" x14ac:dyDescent="0.25">
      <c r="A188" s="13" t="s">
        <v>1739</v>
      </c>
      <c r="B188" s="14" t="s">
        <v>1013</v>
      </c>
      <c r="C188" s="13" t="s">
        <v>514</v>
      </c>
    </row>
    <row r="189" spans="1:3" x14ac:dyDescent="0.25">
      <c r="A189" s="13" t="s">
        <v>1739</v>
      </c>
      <c r="B189" s="14" t="s">
        <v>1015</v>
      </c>
      <c r="C189" s="13" t="s">
        <v>514</v>
      </c>
    </row>
    <row r="190" spans="1:3" x14ac:dyDescent="0.25">
      <c r="A190" s="13" t="s">
        <v>1740</v>
      </c>
      <c r="B190" s="14" t="s">
        <v>1018</v>
      </c>
      <c r="C190" s="13" t="s">
        <v>514</v>
      </c>
    </row>
    <row r="191" spans="1:3" x14ac:dyDescent="0.25">
      <c r="A191" s="13" t="s">
        <v>1740</v>
      </c>
      <c r="B191" s="14" t="s">
        <v>1022</v>
      </c>
      <c r="C191" s="13" t="s">
        <v>514</v>
      </c>
    </row>
    <row r="192" spans="1:3" x14ac:dyDescent="0.25">
      <c r="A192" s="13" t="s">
        <v>1740</v>
      </c>
      <c r="B192" s="14" t="s">
        <v>1030</v>
      </c>
      <c r="C192" s="13" t="s">
        <v>514</v>
      </c>
    </row>
    <row r="193" spans="1:3" x14ac:dyDescent="0.25">
      <c r="A193" s="13" t="s">
        <v>1740</v>
      </c>
      <c r="B193" s="14" t="s">
        <v>1033</v>
      </c>
      <c r="C193" s="13" t="s">
        <v>514</v>
      </c>
    </row>
    <row r="194" spans="1:3" x14ac:dyDescent="0.25">
      <c r="A194" s="13" t="s">
        <v>1740</v>
      </c>
      <c r="B194" s="14" t="s">
        <v>1035</v>
      </c>
      <c r="C194" s="13" t="s">
        <v>514</v>
      </c>
    </row>
    <row r="195" spans="1:3" x14ac:dyDescent="0.25">
      <c r="A195" s="13" t="s">
        <v>1740</v>
      </c>
      <c r="B195" s="14" t="s">
        <v>1037</v>
      </c>
      <c r="C195" s="13" t="s">
        <v>514</v>
      </c>
    </row>
    <row r="196" spans="1:3" x14ac:dyDescent="0.25">
      <c r="A196" s="13" t="s">
        <v>1740</v>
      </c>
      <c r="B196" s="14" t="s">
        <v>1039</v>
      </c>
      <c r="C196" s="13" t="s">
        <v>514</v>
      </c>
    </row>
    <row r="197" spans="1:3" x14ac:dyDescent="0.25">
      <c r="A197" s="13" t="s">
        <v>1741</v>
      </c>
      <c r="B197" s="14" t="s">
        <v>1042</v>
      </c>
      <c r="C197" s="13" t="s">
        <v>385</v>
      </c>
    </row>
    <row r="198" spans="1:3" x14ac:dyDescent="0.25">
      <c r="A198" s="13" t="s">
        <v>1741</v>
      </c>
      <c r="B198" s="14" t="s">
        <v>1047</v>
      </c>
      <c r="C198" s="13" t="s">
        <v>1728</v>
      </c>
    </row>
    <row r="199" spans="1:3" x14ac:dyDescent="0.25">
      <c r="A199" s="13" t="s">
        <v>1741</v>
      </c>
      <c r="B199" s="14" t="s">
        <v>1052</v>
      </c>
      <c r="C199" s="13" t="s">
        <v>386</v>
      </c>
    </row>
    <row r="200" spans="1:3" x14ac:dyDescent="0.25">
      <c r="A200" s="13" t="s">
        <v>1741</v>
      </c>
      <c r="B200" s="14" t="s">
        <v>1056</v>
      </c>
      <c r="C200" s="13" t="s">
        <v>386</v>
      </c>
    </row>
    <row r="201" spans="1:3" x14ac:dyDescent="0.25">
      <c r="A201" s="13" t="s">
        <v>1741</v>
      </c>
      <c r="B201" s="14" t="s">
        <v>1059</v>
      </c>
      <c r="C201" s="13" t="s">
        <v>514</v>
      </c>
    </row>
    <row r="202" spans="1:3" x14ac:dyDescent="0.25">
      <c r="A202" s="13" t="s">
        <v>1741</v>
      </c>
      <c r="B202" s="14" t="s">
        <v>1064</v>
      </c>
      <c r="C202" s="13" t="s">
        <v>386</v>
      </c>
    </row>
    <row r="203" spans="1:3" x14ac:dyDescent="0.25">
      <c r="A203" s="13" t="s">
        <v>1741</v>
      </c>
      <c r="B203" s="14" t="s">
        <v>1067</v>
      </c>
      <c r="C203" s="13" t="s">
        <v>514</v>
      </c>
    </row>
    <row r="204" spans="1:3" x14ac:dyDescent="0.25">
      <c r="A204" s="13" t="s">
        <v>1742</v>
      </c>
      <c r="B204" s="14" t="s">
        <v>1070</v>
      </c>
      <c r="C204" s="13" t="s">
        <v>385</v>
      </c>
    </row>
    <row r="205" spans="1:3" x14ac:dyDescent="0.25">
      <c r="A205" s="13" t="s">
        <v>1742</v>
      </c>
      <c r="B205" s="14" t="s">
        <v>1073</v>
      </c>
      <c r="C205" s="13" t="s">
        <v>514</v>
      </c>
    </row>
    <row r="206" spans="1:3" x14ac:dyDescent="0.25">
      <c r="A206" s="13" t="s">
        <v>1742</v>
      </c>
      <c r="B206" s="14" t="s">
        <v>1076</v>
      </c>
      <c r="C206" s="13" t="s">
        <v>514</v>
      </c>
    </row>
    <row r="207" spans="1:3" x14ac:dyDescent="0.25">
      <c r="A207" s="13" t="s">
        <v>1742</v>
      </c>
      <c r="B207" s="14" t="s">
        <v>1079</v>
      </c>
      <c r="C207" s="13" t="s">
        <v>514</v>
      </c>
    </row>
    <row r="208" spans="1:3" x14ac:dyDescent="0.25">
      <c r="A208" s="13" t="s">
        <v>1742</v>
      </c>
      <c r="B208" s="14" t="s">
        <v>1082</v>
      </c>
      <c r="C208" s="13" t="s">
        <v>514</v>
      </c>
    </row>
    <row r="209" spans="1:3" x14ac:dyDescent="0.25">
      <c r="A209" s="13" t="s">
        <v>1742</v>
      </c>
      <c r="B209" s="14" t="s">
        <v>1089</v>
      </c>
      <c r="C209" s="13" t="s">
        <v>514</v>
      </c>
    </row>
    <row r="210" spans="1:3" x14ac:dyDescent="0.25">
      <c r="A210" s="13" t="s">
        <v>1743</v>
      </c>
      <c r="B210" s="14" t="s">
        <v>1092</v>
      </c>
      <c r="C210" s="13" t="s">
        <v>549</v>
      </c>
    </row>
    <row r="211" spans="1:3" x14ac:dyDescent="0.25">
      <c r="A211" s="13" t="s">
        <v>1743</v>
      </c>
      <c r="B211" s="14" t="s">
        <v>1099</v>
      </c>
      <c r="C211" s="13" t="s">
        <v>549</v>
      </c>
    </row>
    <row r="212" spans="1:3" x14ac:dyDescent="0.25">
      <c r="A212" s="13" t="s">
        <v>1743</v>
      </c>
      <c r="B212" s="14" t="s">
        <v>1105</v>
      </c>
      <c r="C212" s="13" t="s">
        <v>549</v>
      </c>
    </row>
    <row r="213" spans="1:3" x14ac:dyDescent="0.25">
      <c r="A213" s="13" t="s">
        <v>1743</v>
      </c>
      <c r="B213" s="14" t="s">
        <v>1111</v>
      </c>
      <c r="C213" s="13" t="s">
        <v>549</v>
      </c>
    </row>
    <row r="214" spans="1:3" x14ac:dyDescent="0.25">
      <c r="A214" s="13" t="s">
        <v>1743</v>
      </c>
      <c r="B214" s="14" t="s">
        <v>1117</v>
      </c>
      <c r="C214" s="13" t="s">
        <v>443</v>
      </c>
    </row>
    <row r="215" spans="1:3" x14ac:dyDescent="0.25">
      <c r="A215" s="13" t="s">
        <v>1743</v>
      </c>
      <c r="B215" s="14" t="s">
        <v>1119</v>
      </c>
      <c r="C215" s="13" t="s">
        <v>443</v>
      </c>
    </row>
    <row r="216" spans="1:3" x14ac:dyDescent="0.25">
      <c r="A216" s="13" t="s">
        <v>1743</v>
      </c>
      <c r="B216" s="14" t="s">
        <v>1121</v>
      </c>
      <c r="C216" s="13" t="s">
        <v>549</v>
      </c>
    </row>
    <row r="217" spans="1:3" x14ac:dyDescent="0.25">
      <c r="A217" s="13" t="s">
        <v>1743</v>
      </c>
      <c r="B217" s="14" t="s">
        <v>1124</v>
      </c>
      <c r="C217" s="13" t="s">
        <v>515</v>
      </c>
    </row>
    <row r="218" spans="1:3" x14ac:dyDescent="0.25">
      <c r="A218" s="13" t="s">
        <v>1744</v>
      </c>
      <c r="B218" s="14" t="s">
        <v>1139</v>
      </c>
      <c r="C218" s="13" t="s">
        <v>514</v>
      </c>
    </row>
    <row r="219" spans="1:3" x14ac:dyDescent="0.25">
      <c r="A219" s="13" t="s">
        <v>1744</v>
      </c>
      <c r="B219" s="14" t="s">
        <v>1156</v>
      </c>
      <c r="C219" s="13" t="s">
        <v>1728</v>
      </c>
    </row>
    <row r="220" spans="1:3" x14ac:dyDescent="0.25">
      <c r="A220" s="13" t="s">
        <v>1744</v>
      </c>
      <c r="B220" s="14" t="s">
        <v>1164</v>
      </c>
      <c r="C220" s="13" t="s">
        <v>1728</v>
      </c>
    </row>
    <row r="221" spans="1:3" x14ac:dyDescent="0.25">
      <c r="A221" s="13" t="s">
        <v>1590</v>
      </c>
      <c r="B221" s="14" t="s">
        <v>1171</v>
      </c>
      <c r="C221" s="13" t="s">
        <v>514</v>
      </c>
    </row>
    <row r="222" spans="1:3" x14ac:dyDescent="0.25">
      <c r="A222" s="13" t="s">
        <v>1590</v>
      </c>
      <c r="B222" s="14" t="s">
        <v>1181</v>
      </c>
      <c r="C222" s="13" t="s">
        <v>514</v>
      </c>
    </row>
    <row r="223" spans="1:3" x14ac:dyDescent="0.25">
      <c r="A223" s="13" t="s">
        <v>1590</v>
      </c>
      <c r="B223" s="14" t="s">
        <v>1189</v>
      </c>
      <c r="C223" s="13" t="s">
        <v>514</v>
      </c>
    </row>
    <row r="224" spans="1:3" x14ac:dyDescent="0.25">
      <c r="A224" s="13" t="s">
        <v>1590</v>
      </c>
      <c r="B224" s="14" t="s">
        <v>1196</v>
      </c>
      <c r="C224" s="13" t="s">
        <v>514</v>
      </c>
    </row>
    <row r="225" spans="1:3" x14ac:dyDescent="0.25">
      <c r="A225" s="13" t="s">
        <v>1590</v>
      </c>
      <c r="B225" s="14" t="s">
        <v>1203</v>
      </c>
      <c r="C225" s="13" t="s">
        <v>1728</v>
      </c>
    </row>
    <row r="226" spans="1:3" x14ac:dyDescent="0.25">
      <c r="A226" s="13" t="s">
        <v>1590</v>
      </c>
      <c r="B226" s="14" t="s">
        <v>1341</v>
      </c>
      <c r="C226" s="13" t="s">
        <v>514</v>
      </c>
    </row>
    <row r="227" spans="1:3" x14ac:dyDescent="0.25">
      <c r="A227" s="13" t="s">
        <v>1590</v>
      </c>
      <c r="B227" s="14" t="s">
        <v>1345</v>
      </c>
      <c r="C227" s="13" t="s">
        <v>514</v>
      </c>
    </row>
    <row r="228" spans="1:3" x14ac:dyDescent="0.25">
      <c r="A228" s="13" t="s">
        <v>1745</v>
      </c>
      <c r="B228" s="14" t="s">
        <v>1364</v>
      </c>
      <c r="C228" s="13" t="s">
        <v>1728</v>
      </c>
    </row>
    <row r="229" spans="1:3" x14ac:dyDescent="0.25">
      <c r="A229" s="13" t="s">
        <v>1745</v>
      </c>
      <c r="B229" s="14" t="s">
        <v>1387</v>
      </c>
      <c r="C229" s="13" t="s">
        <v>385</v>
      </c>
    </row>
    <row r="230" spans="1:3" x14ac:dyDescent="0.25">
      <c r="A230" s="13" t="s">
        <v>1745</v>
      </c>
      <c r="B230" s="14" t="s">
        <v>1389</v>
      </c>
      <c r="C230" s="13" t="s">
        <v>514</v>
      </c>
    </row>
    <row r="231" spans="1:3" x14ac:dyDescent="0.25">
      <c r="A231" s="13" t="s">
        <v>1745</v>
      </c>
      <c r="B231" s="14" t="s">
        <v>1411</v>
      </c>
      <c r="C231" s="13" t="s">
        <v>514</v>
      </c>
    </row>
    <row r="232" spans="1:3" x14ac:dyDescent="0.25">
      <c r="A232" s="13" t="s">
        <v>1745</v>
      </c>
      <c r="B232" s="14" t="s">
        <v>1423</v>
      </c>
      <c r="C232" s="13" t="s">
        <v>514</v>
      </c>
    </row>
    <row r="233" spans="1:3" x14ac:dyDescent="0.25">
      <c r="A233" s="13" t="s">
        <v>1745</v>
      </c>
      <c r="B233" s="14" t="s">
        <v>1431</v>
      </c>
      <c r="C233" s="13" t="s">
        <v>1728</v>
      </c>
    </row>
    <row r="234" spans="1:3" x14ac:dyDescent="0.25">
      <c r="A234" s="13" t="s">
        <v>1745</v>
      </c>
      <c r="B234" s="14" t="s">
        <v>1447</v>
      </c>
      <c r="C234" s="13" t="s">
        <v>514</v>
      </c>
    </row>
    <row r="235" spans="1:3" x14ac:dyDescent="0.25">
      <c r="A235" s="13" t="s">
        <v>1746</v>
      </c>
      <c r="B235" s="14" t="s">
        <v>1464</v>
      </c>
      <c r="C235" s="13" t="s">
        <v>1728</v>
      </c>
    </row>
    <row r="236" spans="1:3" x14ac:dyDescent="0.25">
      <c r="A236" s="13" t="s">
        <v>1747</v>
      </c>
      <c r="B236" s="14" t="s">
        <v>1483</v>
      </c>
      <c r="C236" s="13" t="s">
        <v>1728</v>
      </c>
    </row>
    <row r="237" spans="1:3" x14ac:dyDescent="0.25">
      <c r="A237" s="13" t="s">
        <v>1747</v>
      </c>
      <c r="B237" s="14" t="s">
        <v>1490</v>
      </c>
      <c r="C237" s="13" t="s">
        <v>1728</v>
      </c>
    </row>
    <row r="238" spans="1:3" x14ac:dyDescent="0.25">
      <c r="A238" s="13" t="s">
        <v>1747</v>
      </c>
      <c r="B238" s="14" t="s">
        <v>1555</v>
      </c>
      <c r="C238" s="13" t="s">
        <v>515</v>
      </c>
    </row>
    <row r="239" spans="1:3" x14ac:dyDescent="0.25">
      <c r="A239" s="13" t="s">
        <v>1748</v>
      </c>
      <c r="B239" s="14" t="s">
        <v>1596</v>
      </c>
      <c r="C239" s="13" t="s">
        <v>1728</v>
      </c>
    </row>
    <row r="240" spans="1:3" x14ac:dyDescent="0.25">
      <c r="A240" s="13" t="s">
        <v>1748</v>
      </c>
      <c r="B240" s="14" t="s">
        <v>1599</v>
      </c>
      <c r="C240" s="13" t="s">
        <v>515</v>
      </c>
    </row>
    <row r="241" spans="1:3" x14ac:dyDescent="0.25">
      <c r="A241" s="13" t="s">
        <v>1749</v>
      </c>
      <c r="B241" s="14" t="s">
        <v>1603</v>
      </c>
      <c r="C241" s="13" t="s">
        <v>514</v>
      </c>
    </row>
    <row r="242" spans="1:3" x14ac:dyDescent="0.25">
      <c r="A242" s="13" t="s">
        <v>1749</v>
      </c>
      <c r="B242" s="14" t="s">
        <v>1620</v>
      </c>
      <c r="C242" s="13" t="s">
        <v>443</v>
      </c>
    </row>
    <row r="243" spans="1:3" x14ac:dyDescent="0.25">
      <c r="A243" s="13" t="s">
        <v>1749</v>
      </c>
      <c r="B243" s="14" t="s">
        <v>1626</v>
      </c>
      <c r="C243" s="13" t="s">
        <v>385</v>
      </c>
    </row>
    <row r="244" spans="1:3" x14ac:dyDescent="0.25">
      <c r="A244" s="13" t="s">
        <v>1749</v>
      </c>
      <c r="B244" s="14" t="s">
        <v>1631</v>
      </c>
      <c r="C244" s="13" t="s">
        <v>514</v>
      </c>
    </row>
    <row r="245" spans="1:3" x14ac:dyDescent="0.25">
      <c r="A245" s="13" t="s">
        <v>1749</v>
      </c>
      <c r="B245" s="14" t="s">
        <v>1671</v>
      </c>
      <c r="C245" s="13" t="s">
        <v>443</v>
      </c>
    </row>
    <row r="246" spans="1:3" x14ac:dyDescent="0.25">
      <c r="A246" s="13" t="s">
        <v>1749</v>
      </c>
      <c r="B246" s="14" t="s">
        <v>1675</v>
      </c>
      <c r="C246" s="13" t="s">
        <v>443</v>
      </c>
    </row>
    <row r="247" spans="1:3" x14ac:dyDescent="0.25">
      <c r="A247" s="13" t="s">
        <v>1750</v>
      </c>
      <c r="B247" s="14" t="s">
        <v>1677</v>
      </c>
      <c r="C247" s="13" t="s">
        <v>1728</v>
      </c>
    </row>
    <row r="248" spans="1:3" x14ac:dyDescent="0.25">
      <c r="A248" s="13" t="s">
        <v>1750</v>
      </c>
      <c r="B248" s="14" t="s">
        <v>1685</v>
      </c>
      <c r="C248" s="13" t="s">
        <v>1728</v>
      </c>
    </row>
    <row r="249" spans="1:3" x14ac:dyDescent="0.25">
      <c r="A249" s="13" t="s">
        <v>1753</v>
      </c>
      <c r="B249" s="14" t="s">
        <v>1751</v>
      </c>
      <c r="C249" s="13" t="s">
        <v>1752</v>
      </c>
    </row>
    <row r="251" spans="1:3" ht="21" customHeight="1" x14ac:dyDescent="0.3">
      <c r="A251" s="1" t="s">
        <v>1754</v>
      </c>
    </row>
    <row r="252" spans="1:3" x14ac:dyDescent="0.25">
      <c r="A252" s="2" t="s">
        <v>1755</v>
      </c>
    </row>
    <row r="253" spans="1:3" x14ac:dyDescent="0.25">
      <c r="A253" s="2" t="s">
        <v>1756</v>
      </c>
    </row>
    <row r="254" spans="1:3" x14ac:dyDescent="0.25">
      <c r="A254" s="2" t="s">
        <v>1757</v>
      </c>
    </row>
    <row r="255" spans="1:3" x14ac:dyDescent="0.25">
      <c r="A255" s="2" t="s">
        <v>1758</v>
      </c>
    </row>
    <row r="256" spans="1:3" x14ac:dyDescent="0.25">
      <c r="A256" s="2" t="s">
        <v>1759</v>
      </c>
    </row>
    <row r="257" spans="1:1" x14ac:dyDescent="0.25">
      <c r="A257" s="2" t="s">
        <v>1760</v>
      </c>
    </row>
    <row r="258" spans="1:1" x14ac:dyDescent="0.25">
      <c r="A258" s="2" t="s">
        <v>1761</v>
      </c>
    </row>
    <row r="259" spans="1:1" x14ac:dyDescent="0.25">
      <c r="A259" s="2" t="s">
        <v>1762</v>
      </c>
    </row>
    <row r="260" spans="1:1" x14ac:dyDescent="0.25">
      <c r="A260" s="2" t="s">
        <v>1763</v>
      </c>
    </row>
    <row r="261" spans="1:1" x14ac:dyDescent="0.25">
      <c r="A261" s="2" t="s">
        <v>1764</v>
      </c>
    </row>
    <row r="262" spans="1:1" x14ac:dyDescent="0.25">
      <c r="A262" s="2" t="s">
        <v>1765</v>
      </c>
    </row>
    <row r="263" spans="1:1" x14ac:dyDescent="0.25">
      <c r="A263" s="2" t="s">
        <v>1766</v>
      </c>
    </row>
    <row r="264" spans="1:1" x14ac:dyDescent="0.25">
      <c r="A264" s="2" t="s">
        <v>1767</v>
      </c>
    </row>
    <row r="265" spans="1:1" x14ac:dyDescent="0.25">
      <c r="A265" s="2" t="s">
        <v>1768</v>
      </c>
    </row>
    <row r="266" spans="1:1" x14ac:dyDescent="0.25">
      <c r="A266" s="2" t="s">
        <v>1769</v>
      </c>
    </row>
    <row r="267" spans="1:1" x14ac:dyDescent="0.25">
      <c r="A267" s="2" t="s">
        <v>1770</v>
      </c>
    </row>
    <row r="268" spans="1:1" x14ac:dyDescent="0.25">
      <c r="A268" s="2" t="s">
        <v>1771</v>
      </c>
    </row>
    <row r="269" spans="1:1" x14ac:dyDescent="0.25">
      <c r="A269" s="2" t="s">
        <v>1772</v>
      </c>
    </row>
    <row r="270" spans="1:1" x14ac:dyDescent="0.25">
      <c r="A270" s="2" t="s">
        <v>1773</v>
      </c>
    </row>
    <row r="271" spans="1:1" x14ac:dyDescent="0.25">
      <c r="A271" s="2" t="s">
        <v>1774</v>
      </c>
    </row>
    <row r="272" spans="1:1" x14ac:dyDescent="0.25">
      <c r="A272" s="2" t="s">
        <v>1775</v>
      </c>
    </row>
    <row r="273" spans="1:1" x14ac:dyDescent="0.25">
      <c r="A273" s="2" t="s">
        <v>1776</v>
      </c>
    </row>
    <row r="274" spans="1:1" x14ac:dyDescent="0.25">
      <c r="A274" s="2" t="s">
        <v>1777</v>
      </c>
    </row>
    <row r="275" spans="1:1" x14ac:dyDescent="0.25">
      <c r="A275" s="2" t="s">
        <v>1778</v>
      </c>
    </row>
    <row r="276" spans="1:1" x14ac:dyDescent="0.25">
      <c r="A276" s="2" t="s">
        <v>1779</v>
      </c>
    </row>
    <row r="277" spans="1:1" x14ac:dyDescent="0.25">
      <c r="A277" s="2" t="s">
        <v>1780</v>
      </c>
    </row>
    <row r="278" spans="1:1" x14ac:dyDescent="0.25">
      <c r="A278" s="2" t="s">
        <v>1781</v>
      </c>
    </row>
    <row r="279" spans="1:1" x14ac:dyDescent="0.25">
      <c r="A279" s="2" t="s">
        <v>1782</v>
      </c>
    </row>
    <row r="280" spans="1:1" x14ac:dyDescent="0.25">
      <c r="A280" s="2" t="s">
        <v>1783</v>
      </c>
    </row>
    <row r="281" spans="1:1" x14ac:dyDescent="0.25">
      <c r="A281" s="2" t="s">
        <v>1784</v>
      </c>
    </row>
    <row r="282" spans="1:1" x14ac:dyDescent="0.25">
      <c r="A282" s="2" t="s">
        <v>1785</v>
      </c>
    </row>
    <row r="283" spans="1:1" x14ac:dyDescent="0.25">
      <c r="A283" s="2" t="s">
        <v>1786</v>
      </c>
    </row>
    <row r="284" spans="1:1" x14ac:dyDescent="0.25">
      <c r="A284" s="2" t="s">
        <v>1787</v>
      </c>
    </row>
    <row r="285" spans="1:1" x14ac:dyDescent="0.25">
      <c r="A285" s="2" t="s">
        <v>1788</v>
      </c>
    </row>
    <row r="286" spans="1:1" x14ac:dyDescent="0.25">
      <c r="A286" s="2" t="s">
        <v>1789</v>
      </c>
    </row>
    <row r="287" spans="1:1" x14ac:dyDescent="0.25">
      <c r="A287" s="2" t="s">
        <v>1790</v>
      </c>
    </row>
    <row r="288" spans="1:1" x14ac:dyDescent="0.25">
      <c r="A288" s="2" t="s">
        <v>1791</v>
      </c>
    </row>
    <row r="289" spans="1:1" x14ac:dyDescent="0.25">
      <c r="A289" s="2" t="s">
        <v>1792</v>
      </c>
    </row>
    <row r="290" spans="1:1" x14ac:dyDescent="0.25">
      <c r="A290" s="2" t="s">
        <v>1793</v>
      </c>
    </row>
    <row r="291" spans="1:1" x14ac:dyDescent="0.25">
      <c r="A291" s="2" t="s">
        <v>1794</v>
      </c>
    </row>
    <row r="292" spans="1:1" x14ac:dyDescent="0.25">
      <c r="A292" s="2" t="s">
        <v>1795</v>
      </c>
    </row>
    <row r="293" spans="1:1" x14ac:dyDescent="0.25">
      <c r="A293" s="2" t="s">
        <v>1796</v>
      </c>
    </row>
    <row r="294" spans="1:1" x14ac:dyDescent="0.25">
      <c r="A294" s="2" t="s">
        <v>1797</v>
      </c>
    </row>
    <row r="295" spans="1:1" x14ac:dyDescent="0.25">
      <c r="A295" s="2" t="s">
        <v>1798</v>
      </c>
    </row>
    <row r="296" spans="1:1" x14ac:dyDescent="0.25">
      <c r="A296" s="2" t="s">
        <v>1799</v>
      </c>
    </row>
    <row r="297" spans="1:1" x14ac:dyDescent="0.25">
      <c r="A297" s="2" t="s">
        <v>1800</v>
      </c>
    </row>
    <row r="298" spans="1:1" x14ac:dyDescent="0.25">
      <c r="A298" s="2" t="s">
        <v>1801</v>
      </c>
    </row>
    <row r="299" spans="1:1" x14ac:dyDescent="0.25">
      <c r="A299" s="2" t="s">
        <v>1802</v>
      </c>
    </row>
    <row r="300" spans="1:1" x14ac:dyDescent="0.25">
      <c r="A300" s="2" t="s">
        <v>1803</v>
      </c>
    </row>
    <row r="301" spans="1:1" x14ac:dyDescent="0.25">
      <c r="A301" s="2" t="s">
        <v>1804</v>
      </c>
    </row>
    <row r="302" spans="1:1" x14ac:dyDescent="0.25">
      <c r="A302" s="2" t="s">
        <v>1805</v>
      </c>
    </row>
    <row r="303" spans="1:1" x14ac:dyDescent="0.25">
      <c r="A303" s="2" t="s">
        <v>1806</v>
      </c>
    </row>
    <row r="304" spans="1:1" x14ac:dyDescent="0.25">
      <c r="A304" s="2" t="s">
        <v>1807</v>
      </c>
    </row>
    <row r="305" spans="1:1" x14ac:dyDescent="0.25">
      <c r="A305" s="2" t="s">
        <v>1808</v>
      </c>
    </row>
    <row r="306" spans="1:1" x14ac:dyDescent="0.25">
      <c r="A306" s="2" t="s">
        <v>1809</v>
      </c>
    </row>
    <row r="307" spans="1:1" x14ac:dyDescent="0.25">
      <c r="A307" s="2" t="s">
        <v>1810</v>
      </c>
    </row>
    <row r="308" spans="1:1" x14ac:dyDescent="0.25">
      <c r="A308" s="2" t="s">
        <v>1811</v>
      </c>
    </row>
    <row r="309" spans="1:1" x14ac:dyDescent="0.25">
      <c r="A309" s="2" t="s">
        <v>1812</v>
      </c>
    </row>
    <row r="310" spans="1:1" x14ac:dyDescent="0.25">
      <c r="A310" s="2" t="s">
        <v>1813</v>
      </c>
    </row>
    <row r="311" spans="1:1" x14ac:dyDescent="0.25">
      <c r="A311" s="2" t="s">
        <v>1814</v>
      </c>
    </row>
    <row r="312" spans="1:1" x14ac:dyDescent="0.25">
      <c r="A312" s="2" t="s">
        <v>1815</v>
      </c>
    </row>
    <row r="313" spans="1:1" x14ac:dyDescent="0.25">
      <c r="A313" s="2" t="s">
        <v>1816</v>
      </c>
    </row>
    <row r="314" spans="1:1" x14ac:dyDescent="0.25">
      <c r="A314" s="2" t="s">
        <v>1817</v>
      </c>
    </row>
    <row r="315" spans="1:1" x14ac:dyDescent="0.25">
      <c r="A315" s="2" t="s">
        <v>1818</v>
      </c>
    </row>
    <row r="316" spans="1:1" x14ac:dyDescent="0.25">
      <c r="A316" s="2" t="s">
        <v>1819</v>
      </c>
    </row>
    <row r="317" spans="1:1" x14ac:dyDescent="0.25">
      <c r="A317" s="2" t="s">
        <v>1820</v>
      </c>
    </row>
    <row r="318" spans="1:1" x14ac:dyDescent="0.25">
      <c r="A318" s="2" t="s">
        <v>1821</v>
      </c>
    </row>
    <row r="319" spans="1:1" x14ac:dyDescent="0.25">
      <c r="A319" s="2" t="s">
        <v>1822</v>
      </c>
    </row>
    <row r="320" spans="1:1" x14ac:dyDescent="0.25">
      <c r="A320" s="2" t="s">
        <v>1823</v>
      </c>
    </row>
    <row r="321" spans="1:1" x14ac:dyDescent="0.25">
      <c r="A321" s="2" t="s">
        <v>1824</v>
      </c>
    </row>
    <row r="322" spans="1:1" x14ac:dyDescent="0.25">
      <c r="A322" s="2" t="s">
        <v>1825</v>
      </c>
    </row>
    <row r="323" spans="1:1" x14ac:dyDescent="0.25">
      <c r="A323" s="2" t="s">
        <v>1826</v>
      </c>
    </row>
    <row r="324" spans="1:1" x14ac:dyDescent="0.25">
      <c r="A324" s="2"/>
    </row>
    <row r="325" spans="1:1" x14ac:dyDescent="0.25">
      <c r="A325" s="2" t="s">
        <v>1827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6" sqref="E46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South West in April 19 (no data version)</v>
      </c>
    </row>
    <row r="2" spans="1:7" x14ac:dyDescent="0.25">
      <c r="A2" s="2" t="s">
        <v>377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1828</v>
      </c>
      <c r="C7" s="16" t="s">
        <v>1829</v>
      </c>
      <c r="D7" s="16" t="s">
        <v>5</v>
      </c>
      <c r="E7" s="17"/>
    </row>
    <row r="9" spans="1:7" ht="21" customHeight="1" x14ac:dyDescent="0.3">
      <c r="A9" s="1" t="s">
        <v>6</v>
      </c>
    </row>
    <row r="11" spans="1:7" x14ac:dyDescent="0.25"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</row>
    <row r="12" spans="1:7" x14ac:dyDescent="0.25">
      <c r="A12" s="4" t="s">
        <v>12</v>
      </c>
      <c r="B12" s="18" t="s">
        <v>52</v>
      </c>
      <c r="C12" s="19" t="s">
        <v>90</v>
      </c>
      <c r="D12" s="19" t="s">
        <v>120</v>
      </c>
      <c r="E12" s="20">
        <f>G12*1000000</f>
        <v>302500000</v>
      </c>
      <c r="F12" s="10"/>
      <c r="G12" s="17">
        <v>302.5</v>
      </c>
    </row>
    <row r="13" spans="1:7" x14ac:dyDescent="0.25">
      <c r="A13" s="4" t="s">
        <v>13</v>
      </c>
      <c r="B13" s="18" t="s">
        <v>53</v>
      </c>
      <c r="C13" s="19" t="s">
        <v>91</v>
      </c>
      <c r="D13" s="19" t="s">
        <v>120</v>
      </c>
      <c r="E13" s="20">
        <f>G13*1000000</f>
        <v>-8588488.6558320094</v>
      </c>
      <c r="F13" s="10"/>
      <c r="G13" s="17">
        <v>-8.588488655832009</v>
      </c>
    </row>
    <row r="14" spans="1:7" x14ac:dyDescent="0.25">
      <c r="A14" s="4" t="s">
        <v>14</v>
      </c>
      <c r="B14" s="18" t="s">
        <v>54</v>
      </c>
      <c r="C14" s="19" t="s">
        <v>92</v>
      </c>
      <c r="D14" s="19" t="s">
        <v>120</v>
      </c>
      <c r="E14" s="20">
        <f>G14*1000000</f>
        <v>209902.78690311973</v>
      </c>
      <c r="F14" s="10"/>
      <c r="G14" s="17">
        <v>0.20990278690311973</v>
      </c>
    </row>
    <row r="15" spans="1:7" x14ac:dyDescent="0.25">
      <c r="A15" s="4" t="s">
        <v>15</v>
      </c>
      <c r="B15" s="18" t="s">
        <v>55</v>
      </c>
      <c r="C15" s="19" t="s">
        <v>93</v>
      </c>
      <c r="D15" s="19" t="s">
        <v>120</v>
      </c>
      <c r="E15" s="21">
        <f>G15</f>
        <v>1.196</v>
      </c>
      <c r="F15" s="10"/>
      <c r="G15" s="17">
        <v>1.196</v>
      </c>
    </row>
    <row r="16" spans="1:7" x14ac:dyDescent="0.25">
      <c r="A16" s="4" t="s">
        <v>16</v>
      </c>
      <c r="B16" s="22" t="s">
        <v>56</v>
      </c>
      <c r="C16" s="23" t="s">
        <v>94</v>
      </c>
      <c r="D16" s="23" t="s">
        <v>120</v>
      </c>
      <c r="E16" s="24"/>
      <c r="F16" s="25">
        <f>(E12+E13+E14)*E15</f>
        <v>351769211.3007611</v>
      </c>
      <c r="G16" s="17"/>
    </row>
    <row r="17" spans="1:7" x14ac:dyDescent="0.25">
      <c r="A17" s="4" t="s">
        <v>17</v>
      </c>
      <c r="B17" s="18" t="s">
        <v>57</v>
      </c>
      <c r="C17" s="19" t="s">
        <v>95</v>
      </c>
      <c r="D17" s="19" t="s">
        <v>121</v>
      </c>
      <c r="E17" s="20">
        <f>G17*1000000</f>
        <v>212217.44480915804</v>
      </c>
      <c r="F17" s="10"/>
      <c r="G17" s="17">
        <v>0.21221744480915805</v>
      </c>
    </row>
    <row r="18" spans="1:7" x14ac:dyDescent="0.25">
      <c r="A18" s="4" t="s">
        <v>18</v>
      </c>
      <c r="B18" s="18" t="s">
        <v>58</v>
      </c>
      <c r="C18" s="19" t="s">
        <v>96</v>
      </c>
      <c r="D18" s="19" t="s">
        <v>121</v>
      </c>
      <c r="E18" s="20">
        <f t="shared" ref="E18:E23" si="0">G18*1000000</f>
        <v>817467.57460489043</v>
      </c>
      <c r="F18" s="10"/>
      <c r="G18" s="17">
        <v>0.81746757460489039</v>
      </c>
    </row>
    <row r="19" spans="1:7" x14ac:dyDescent="0.25">
      <c r="A19" s="4" t="s">
        <v>19</v>
      </c>
      <c r="B19" s="18" t="s">
        <v>59</v>
      </c>
      <c r="C19" s="19" t="s">
        <v>97</v>
      </c>
      <c r="D19" s="19" t="s">
        <v>121</v>
      </c>
      <c r="E19" s="20">
        <f t="shared" si="0"/>
        <v>-2129619.2269067597</v>
      </c>
      <c r="F19" s="10"/>
      <c r="G19" s="17">
        <v>-2.1296192269067595</v>
      </c>
    </row>
    <row r="20" spans="1:7" ht="30" x14ac:dyDescent="0.25">
      <c r="A20" s="4" t="s">
        <v>20</v>
      </c>
      <c r="B20" s="18" t="s">
        <v>60</v>
      </c>
      <c r="C20" s="19" t="s">
        <v>98</v>
      </c>
      <c r="D20" s="19" t="s">
        <v>121</v>
      </c>
      <c r="E20" s="20">
        <f t="shared" si="0"/>
        <v>272056.52572707698</v>
      </c>
      <c r="F20" s="10"/>
      <c r="G20" s="17">
        <v>0.272056525727077</v>
      </c>
    </row>
    <row r="21" spans="1:7" x14ac:dyDescent="0.25">
      <c r="A21" s="4" t="s">
        <v>21</v>
      </c>
      <c r="B21" s="18" t="s">
        <v>61</v>
      </c>
      <c r="C21" s="19" t="s">
        <v>99</v>
      </c>
      <c r="D21" s="19" t="s">
        <v>121</v>
      </c>
      <c r="E21" s="20">
        <f t="shared" si="0"/>
        <v>116786.63110712873</v>
      </c>
      <c r="F21" s="10"/>
      <c r="G21" s="17">
        <v>0.11678663110712874</v>
      </c>
    </row>
    <row r="22" spans="1:7" x14ac:dyDescent="0.25">
      <c r="A22" s="4" t="s">
        <v>22</v>
      </c>
      <c r="B22" s="18" t="s">
        <v>62</v>
      </c>
      <c r="C22" s="19" t="s">
        <v>100</v>
      </c>
      <c r="D22" s="19" t="s">
        <v>121</v>
      </c>
      <c r="E22" s="20">
        <f t="shared" si="0"/>
        <v>26172.555633351207</v>
      </c>
      <c r="F22" s="10"/>
      <c r="G22" s="17">
        <v>2.6172555633351208E-2</v>
      </c>
    </row>
    <row r="23" spans="1:7" x14ac:dyDescent="0.25">
      <c r="A23" s="4" t="s">
        <v>23</v>
      </c>
      <c r="B23" s="18" t="s">
        <v>63</v>
      </c>
      <c r="C23" s="19" t="s">
        <v>101</v>
      </c>
      <c r="D23" s="19" t="s">
        <v>121</v>
      </c>
      <c r="E23" s="20">
        <f t="shared" si="0"/>
        <v>0</v>
      </c>
      <c r="F23" s="10"/>
      <c r="G23" s="17"/>
    </row>
    <row r="24" spans="1:7" x14ac:dyDescent="0.25">
      <c r="A24" s="4" t="s">
        <v>24</v>
      </c>
      <c r="B24" s="22" t="s">
        <v>64</v>
      </c>
      <c r="C24" s="23" t="s">
        <v>102</v>
      </c>
      <c r="D24" s="23" t="s">
        <v>121</v>
      </c>
      <c r="E24" s="24"/>
      <c r="F24" s="25">
        <f>SUM(E17:E23)</f>
        <v>-684918.49502515444</v>
      </c>
      <c r="G24" s="17">
        <v>0</v>
      </c>
    </row>
    <row r="25" spans="1:7" x14ac:dyDescent="0.25">
      <c r="A25" s="4" t="s">
        <v>25</v>
      </c>
      <c r="B25" s="18" t="s">
        <v>65</v>
      </c>
      <c r="C25" s="19" t="s">
        <v>103</v>
      </c>
      <c r="D25" s="19" t="s">
        <v>122</v>
      </c>
      <c r="E25" s="20">
        <f>G25*1000000</f>
        <v>4067080.2310968926</v>
      </c>
      <c r="F25" s="10"/>
      <c r="G25" s="17">
        <v>4.0670802310968925</v>
      </c>
    </row>
    <row r="26" spans="1:7" x14ac:dyDescent="0.25">
      <c r="A26" s="4" t="s">
        <v>26</v>
      </c>
      <c r="B26" s="18" t="s">
        <v>66</v>
      </c>
      <c r="C26" s="19" t="s">
        <v>104</v>
      </c>
      <c r="D26" s="19" t="s">
        <v>123</v>
      </c>
      <c r="E26" s="20">
        <f t="shared" ref="E26:E35" si="1">G26*1000000</f>
        <v>1449889.5364608138</v>
      </c>
      <c r="F26" s="10"/>
      <c r="G26" s="17">
        <v>1.4498895364608138</v>
      </c>
    </row>
    <row r="27" spans="1:7" x14ac:dyDescent="0.25">
      <c r="A27" s="4" t="s">
        <v>27</v>
      </c>
      <c r="B27" s="18" t="s">
        <v>67</v>
      </c>
      <c r="C27" s="19" t="s">
        <v>105</v>
      </c>
      <c r="D27" s="19" t="s">
        <v>124</v>
      </c>
      <c r="E27" s="20">
        <f t="shared" si="1"/>
        <v>0</v>
      </c>
      <c r="F27" s="10"/>
      <c r="G27" s="17">
        <v>0</v>
      </c>
    </row>
    <row r="28" spans="1:7" x14ac:dyDescent="0.25">
      <c r="A28" s="4" t="s">
        <v>28</v>
      </c>
      <c r="B28" s="18" t="s">
        <v>68</v>
      </c>
      <c r="C28" s="19" t="s">
        <v>106</v>
      </c>
      <c r="D28" s="19" t="s">
        <v>125</v>
      </c>
      <c r="E28" s="20">
        <f t="shared" si="1"/>
        <v>1346106.2912026157</v>
      </c>
      <c r="F28" s="10"/>
      <c r="G28" s="17">
        <v>1.3461062912026156</v>
      </c>
    </row>
    <row r="29" spans="1:7" x14ac:dyDescent="0.25">
      <c r="A29" s="4" t="s">
        <v>29</v>
      </c>
      <c r="B29" s="18" t="s">
        <v>69</v>
      </c>
      <c r="C29" s="19" t="s">
        <v>107</v>
      </c>
      <c r="D29" s="19" t="s">
        <v>126</v>
      </c>
      <c r="E29" s="20">
        <f t="shared" si="1"/>
        <v>47840</v>
      </c>
      <c r="F29" s="10"/>
      <c r="G29" s="17">
        <v>4.7840000000000001E-2</v>
      </c>
    </row>
    <row r="30" spans="1:7" x14ac:dyDescent="0.25">
      <c r="A30" s="4" t="s">
        <v>30</v>
      </c>
      <c r="B30" s="18" t="s">
        <v>70</v>
      </c>
      <c r="C30" s="19" t="s">
        <v>108</v>
      </c>
      <c r="D30" s="19" t="s">
        <v>127</v>
      </c>
      <c r="E30" s="20">
        <f t="shared" si="1"/>
        <v>1090771.3327500003</v>
      </c>
      <c r="F30" s="10"/>
      <c r="G30" s="17">
        <v>1.0907713327500004</v>
      </c>
    </row>
    <row r="31" spans="1:7" x14ac:dyDescent="0.25">
      <c r="A31" s="4" t="s">
        <v>31</v>
      </c>
      <c r="B31" s="18" t="s">
        <v>71</v>
      </c>
      <c r="C31" s="19" t="s">
        <v>109</v>
      </c>
      <c r="D31" s="19" t="s">
        <v>128</v>
      </c>
      <c r="E31" s="20">
        <f t="shared" si="1"/>
        <v>0</v>
      </c>
      <c r="F31" s="10"/>
      <c r="G31" s="17"/>
    </row>
    <row r="32" spans="1:7" ht="30" x14ac:dyDescent="0.25">
      <c r="A32" s="4" t="s">
        <v>32</v>
      </c>
      <c r="B32" s="18" t="s">
        <v>71</v>
      </c>
      <c r="C32" s="19" t="s">
        <v>110</v>
      </c>
      <c r="D32" s="19" t="s">
        <v>128</v>
      </c>
      <c r="E32" s="20">
        <f t="shared" si="1"/>
        <v>168372.27882108593</v>
      </c>
      <c r="F32" s="10"/>
      <c r="G32" s="17">
        <v>0.16837227882108594</v>
      </c>
    </row>
    <row r="33" spans="1:7" ht="30" x14ac:dyDescent="0.25">
      <c r="A33" s="4" t="s">
        <v>33</v>
      </c>
      <c r="B33" s="18" t="s">
        <v>72</v>
      </c>
      <c r="C33" s="19" t="s">
        <v>111</v>
      </c>
      <c r="D33" s="19" t="s">
        <v>129</v>
      </c>
      <c r="E33" s="20">
        <f t="shared" si="1"/>
        <v>0</v>
      </c>
      <c r="F33" s="10"/>
      <c r="G33" s="17"/>
    </row>
    <row r="34" spans="1:7" x14ac:dyDescent="0.25">
      <c r="A34" s="4" t="s">
        <v>34</v>
      </c>
      <c r="B34" s="18" t="s">
        <v>73</v>
      </c>
      <c r="C34" s="19" t="s">
        <v>112</v>
      </c>
      <c r="D34" s="19" t="s">
        <v>130</v>
      </c>
      <c r="E34" s="20">
        <f t="shared" si="1"/>
        <v>0</v>
      </c>
      <c r="F34" s="10"/>
      <c r="G34" s="17"/>
    </row>
    <row r="35" spans="1:7" x14ac:dyDescent="0.25">
      <c r="A35" s="4" t="s">
        <v>35</v>
      </c>
      <c r="B35" s="18" t="s">
        <v>73</v>
      </c>
      <c r="C35" s="19" t="s">
        <v>113</v>
      </c>
      <c r="D35" s="19" t="s">
        <v>130</v>
      </c>
      <c r="E35" s="20">
        <f t="shared" si="1"/>
        <v>0</v>
      </c>
      <c r="F35" s="10"/>
      <c r="G35" s="17"/>
    </row>
    <row r="36" spans="1:7" x14ac:dyDescent="0.25">
      <c r="A36" s="4" t="s">
        <v>36</v>
      </c>
      <c r="B36" s="22" t="s">
        <v>74</v>
      </c>
      <c r="C36" s="24"/>
      <c r="D36" s="24"/>
      <c r="E36" s="24"/>
      <c r="F36" s="25">
        <f>SUM(E25:E35)</f>
        <v>8170059.6703314083</v>
      </c>
      <c r="G36" s="17"/>
    </row>
    <row r="37" spans="1:7" x14ac:dyDescent="0.25">
      <c r="A37" s="4" t="s">
        <v>37</v>
      </c>
      <c r="B37" s="18" t="s">
        <v>75</v>
      </c>
      <c r="C37" s="19" t="s">
        <v>114</v>
      </c>
      <c r="D37" s="19" t="s">
        <v>120</v>
      </c>
      <c r="E37" s="20">
        <f>-G37*1000000</f>
        <v>-7071032.9494964099</v>
      </c>
      <c r="F37" s="10"/>
      <c r="G37" s="17">
        <v>7.0710329494964101</v>
      </c>
    </row>
    <row r="38" spans="1:7" x14ac:dyDescent="0.25">
      <c r="A38" s="4" t="s">
        <v>38</v>
      </c>
      <c r="B38" s="22" t="s">
        <v>76</v>
      </c>
      <c r="C38" s="23" t="s">
        <v>115</v>
      </c>
      <c r="D38" s="23" t="s">
        <v>120</v>
      </c>
      <c r="E38" s="24"/>
      <c r="F38" s="25">
        <f>F16+F24+F36+E37</f>
        <v>352183319.52657098</v>
      </c>
      <c r="G38" s="17"/>
    </row>
    <row r="39" spans="1:7" ht="30" x14ac:dyDescent="0.25">
      <c r="A39" s="4" t="s">
        <v>39</v>
      </c>
      <c r="B39" s="18" t="s">
        <v>77</v>
      </c>
      <c r="C39" s="19" t="s">
        <v>116</v>
      </c>
      <c r="D39" s="19" t="s">
        <v>131</v>
      </c>
      <c r="E39" s="20">
        <f>G39*1000000</f>
        <v>0</v>
      </c>
      <c r="F39" s="10"/>
      <c r="G39" s="17">
        <v>0</v>
      </c>
    </row>
    <row r="40" spans="1:7" ht="30" x14ac:dyDescent="0.25">
      <c r="A40" s="4" t="s">
        <v>40</v>
      </c>
      <c r="B40" s="18" t="s">
        <v>78</v>
      </c>
      <c r="C40" s="19" t="s">
        <v>117</v>
      </c>
      <c r="D40" s="19" t="s">
        <v>131</v>
      </c>
      <c r="E40" s="20">
        <f t="shared" ref="E40:E43" si="2">G40*1000000</f>
        <v>0</v>
      </c>
      <c r="F40" s="10"/>
      <c r="G40" s="17">
        <v>0</v>
      </c>
    </row>
    <row r="41" spans="1:7" x14ac:dyDescent="0.25">
      <c r="A41" s="4" t="s">
        <v>41</v>
      </c>
      <c r="B41" s="18" t="s">
        <v>79</v>
      </c>
      <c r="C41" s="19" t="s">
        <v>118</v>
      </c>
      <c r="D41" s="19" t="s">
        <v>131</v>
      </c>
      <c r="E41" s="20">
        <f t="shared" si="2"/>
        <v>0</v>
      </c>
      <c r="F41" s="10"/>
      <c r="G41" s="17">
        <v>0</v>
      </c>
    </row>
    <row r="42" spans="1:7" x14ac:dyDescent="0.25">
      <c r="A42" s="4" t="s">
        <v>42</v>
      </c>
      <c r="B42" s="18" t="s">
        <v>80</v>
      </c>
      <c r="C42" s="19" t="s">
        <v>119</v>
      </c>
      <c r="D42" s="19" t="s">
        <v>132</v>
      </c>
      <c r="E42" s="20">
        <f t="shared" si="2"/>
        <v>0</v>
      </c>
      <c r="F42" s="10"/>
      <c r="G42" s="17">
        <v>0</v>
      </c>
    </row>
    <row r="43" spans="1:7" x14ac:dyDescent="0.25">
      <c r="A43" s="4" t="s">
        <v>43</v>
      </c>
      <c r="B43" s="18" t="s">
        <v>81</v>
      </c>
      <c r="C43" s="19" t="s">
        <v>119</v>
      </c>
      <c r="D43" s="19" t="s">
        <v>132</v>
      </c>
      <c r="E43" s="20">
        <f t="shared" si="2"/>
        <v>0</v>
      </c>
      <c r="F43" s="10"/>
      <c r="G43" s="17">
        <v>0</v>
      </c>
    </row>
    <row r="44" spans="1:7" ht="30" x14ac:dyDescent="0.25">
      <c r="A44" s="4" t="s">
        <v>44</v>
      </c>
      <c r="B44" s="22" t="s">
        <v>82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45</v>
      </c>
      <c r="B45" s="22" t="s">
        <v>83</v>
      </c>
      <c r="C45" s="24"/>
      <c r="D45" s="24"/>
      <c r="E45" s="24"/>
      <c r="F45" s="25">
        <f>F38+F44</f>
        <v>352183319.52657098</v>
      </c>
      <c r="G45" s="17"/>
    </row>
    <row r="46" spans="1:7" ht="30" x14ac:dyDescent="0.25">
      <c r="A46" s="4" t="s">
        <v>46</v>
      </c>
      <c r="B46" s="18" t="s">
        <v>84</v>
      </c>
      <c r="C46" s="24"/>
      <c r="D46" s="24"/>
      <c r="E46" s="20">
        <v>5419028.963528364</v>
      </c>
      <c r="F46" s="10"/>
      <c r="G46" s="17">
        <v>6.0088800521637653</v>
      </c>
    </row>
    <row r="47" spans="1:7" ht="30" x14ac:dyDescent="0.25">
      <c r="A47" s="4" t="s">
        <v>47</v>
      </c>
      <c r="B47" s="18" t="s">
        <v>85</v>
      </c>
      <c r="C47" s="24"/>
      <c r="D47" s="24"/>
      <c r="E47" s="20">
        <f t="shared" ref="E47:E49" si="3">G47*1000000</f>
        <v>0</v>
      </c>
      <c r="F47" s="10"/>
      <c r="G47" s="17">
        <v>0</v>
      </c>
    </row>
    <row r="48" spans="1:7" ht="30" x14ac:dyDescent="0.25">
      <c r="A48" s="4" t="s">
        <v>48</v>
      </c>
      <c r="B48" s="18" t="s">
        <v>86</v>
      </c>
      <c r="C48" s="19" t="s">
        <v>119</v>
      </c>
      <c r="D48" s="19" t="s">
        <v>132</v>
      </c>
      <c r="E48" s="20">
        <f t="shared" si="3"/>
        <v>0</v>
      </c>
      <c r="F48" s="10"/>
      <c r="G48" s="17">
        <v>0</v>
      </c>
    </row>
    <row r="49" spans="1:7" ht="30" x14ac:dyDescent="0.25">
      <c r="A49" s="4" t="s">
        <v>49</v>
      </c>
      <c r="B49" s="18" t="s">
        <v>87</v>
      </c>
      <c r="C49" s="19" t="s">
        <v>119</v>
      </c>
      <c r="D49" s="19" t="s">
        <v>132</v>
      </c>
      <c r="E49" s="20">
        <f t="shared" si="3"/>
        <v>0</v>
      </c>
      <c r="F49" s="10"/>
      <c r="G49" s="17">
        <v>0</v>
      </c>
    </row>
    <row r="50" spans="1:7" x14ac:dyDescent="0.25">
      <c r="A50" s="4" t="s">
        <v>50</v>
      </c>
      <c r="B50" s="22" t="s">
        <v>88</v>
      </c>
      <c r="C50" s="24"/>
      <c r="D50" s="24"/>
      <c r="E50" s="24"/>
      <c r="F50" s="25">
        <f>SUM(E46:E49)</f>
        <v>5419028.963528364</v>
      </c>
      <c r="G50" s="17"/>
    </row>
    <row r="51" spans="1:7" x14ac:dyDescent="0.25">
      <c r="A51" s="4" t="s">
        <v>51</v>
      </c>
      <c r="B51" s="22" t="s">
        <v>89</v>
      </c>
      <c r="C51" s="24"/>
      <c r="D51" s="24"/>
      <c r="E51" s="24"/>
      <c r="F51" s="25">
        <f>F45-F50</f>
        <v>346764290.56304264</v>
      </c>
      <c r="G51" s="17"/>
    </row>
    <row r="53" spans="1:7" x14ac:dyDescent="0.25">
      <c r="A53" s="2" t="s">
        <v>133</v>
      </c>
    </row>
    <row r="55" spans="1:7" ht="21" customHeight="1" x14ac:dyDescent="0.3">
      <c r="A55" s="1" t="s">
        <v>134</v>
      </c>
    </row>
    <row r="56" spans="1:7" x14ac:dyDescent="0.25">
      <c r="A56" s="2" t="s">
        <v>135</v>
      </c>
    </row>
    <row r="57" spans="1:7" x14ac:dyDescent="0.25">
      <c r="A57" s="2" t="s">
        <v>136</v>
      </c>
    </row>
    <row r="59" spans="1:7" ht="45" x14ac:dyDescent="0.25">
      <c r="B59" s="15" t="s">
        <v>137</v>
      </c>
      <c r="C59" s="15" t="s">
        <v>138</v>
      </c>
      <c r="D59" s="15" t="s">
        <v>139</v>
      </c>
      <c r="E59" s="15" t="s">
        <v>140</v>
      </c>
      <c r="F59" s="15" t="s">
        <v>141</v>
      </c>
    </row>
    <row r="60" spans="1:7" x14ac:dyDescent="0.25">
      <c r="A60" s="4" t="s">
        <v>142</v>
      </c>
      <c r="B60" s="26">
        <v>4.0800000000000003E-2</v>
      </c>
      <c r="C60" s="20">
        <v>40</v>
      </c>
      <c r="D60" s="27">
        <v>0</v>
      </c>
      <c r="E60" s="21">
        <v>0.95</v>
      </c>
      <c r="F60" s="20">
        <v>366</v>
      </c>
      <c r="G60" s="17"/>
    </row>
    <row r="62" spans="1:7" ht="21" customHeight="1" x14ac:dyDescent="0.3">
      <c r="A62" s="1" t="s">
        <v>143</v>
      </c>
    </row>
    <row r="63" spans="1:7" x14ac:dyDescent="0.25">
      <c r="A63" s="2" t="s">
        <v>144</v>
      </c>
    </row>
    <row r="64" spans="1:7" x14ac:dyDescent="0.25">
      <c r="A64" s="2" t="s">
        <v>145</v>
      </c>
    </row>
    <row r="65" spans="1:3" x14ac:dyDescent="0.25">
      <c r="A65" s="2" t="s">
        <v>146</v>
      </c>
    </row>
    <row r="66" spans="1:3" x14ac:dyDescent="0.25">
      <c r="A66" s="2" t="s">
        <v>147</v>
      </c>
    </row>
    <row r="67" spans="1:3" x14ac:dyDescent="0.25">
      <c r="A67" s="2" t="s">
        <v>148</v>
      </c>
    </row>
    <row r="69" spans="1:3" ht="60" x14ac:dyDescent="0.25">
      <c r="B69" s="15" t="s">
        <v>149</v>
      </c>
    </row>
    <row r="70" spans="1:3" x14ac:dyDescent="0.25">
      <c r="A70" s="4" t="s">
        <v>150</v>
      </c>
      <c r="B70" s="26">
        <v>2.1999999999999999E-2</v>
      </c>
      <c r="C70" s="17"/>
    </row>
    <row r="71" spans="1:3" x14ac:dyDescent="0.25">
      <c r="A71" s="4" t="s">
        <v>151</v>
      </c>
      <c r="B71" s="26">
        <v>3.1E-2</v>
      </c>
      <c r="C71" s="17"/>
    </row>
    <row r="72" spans="1:3" x14ac:dyDescent="0.25">
      <c r="A72" s="4" t="s">
        <v>152</v>
      </c>
      <c r="B72" s="24"/>
      <c r="C72" s="17"/>
    </row>
    <row r="73" spans="1:3" x14ac:dyDescent="0.25">
      <c r="A73" s="4" t="s">
        <v>153</v>
      </c>
      <c r="B73" s="26">
        <v>7.4999999999999997E-2</v>
      </c>
      <c r="C73" s="17"/>
    </row>
    <row r="74" spans="1:3" x14ac:dyDescent="0.25">
      <c r="A74" s="4" t="s">
        <v>154</v>
      </c>
      <c r="B74" s="24"/>
      <c r="C74" s="17"/>
    </row>
    <row r="75" spans="1:3" x14ac:dyDescent="0.25">
      <c r="A75" s="4" t="s">
        <v>155</v>
      </c>
      <c r="B75" s="26">
        <v>0.37</v>
      </c>
      <c r="C75" s="17"/>
    </row>
    <row r="76" spans="1:3" x14ac:dyDescent="0.25">
      <c r="A76" s="4" t="s">
        <v>156</v>
      </c>
      <c r="B76" s="24"/>
      <c r="C76" s="17"/>
    </row>
    <row r="77" spans="1:3" x14ac:dyDescent="0.25">
      <c r="A77" s="4" t="s">
        <v>157</v>
      </c>
      <c r="B77" s="24"/>
      <c r="C77" s="17"/>
    </row>
    <row r="79" spans="1:3" ht="21" customHeight="1" x14ac:dyDescent="0.3">
      <c r="A79" s="1" t="s">
        <v>158</v>
      </c>
    </row>
    <row r="81" spans="1:3" x14ac:dyDescent="0.25">
      <c r="B81" s="15" t="s">
        <v>159</v>
      </c>
    </row>
    <row r="82" spans="1:3" x14ac:dyDescent="0.25">
      <c r="A82" s="4" t="s">
        <v>154</v>
      </c>
      <c r="B82" s="26"/>
      <c r="C82" s="17"/>
    </row>
    <row r="84" spans="1:3" ht="21" customHeight="1" x14ac:dyDescent="0.3">
      <c r="A84" s="1" t="s">
        <v>160</v>
      </c>
    </row>
    <row r="86" spans="1:3" ht="30" x14ac:dyDescent="0.25">
      <c r="B86" s="15" t="s">
        <v>161</v>
      </c>
    </row>
    <row r="87" spans="1:3" x14ac:dyDescent="0.25">
      <c r="A87" s="4" t="s">
        <v>161</v>
      </c>
      <c r="B87" s="20">
        <v>500</v>
      </c>
      <c r="C87" s="17"/>
    </row>
    <row r="89" spans="1:3" ht="21" customHeight="1" x14ac:dyDescent="0.3">
      <c r="A89" s="1" t="s">
        <v>162</v>
      </c>
    </row>
    <row r="91" spans="1:3" x14ac:dyDescent="0.25">
      <c r="B91" s="15" t="s">
        <v>163</v>
      </c>
    </row>
    <row r="92" spans="1:3" x14ac:dyDescent="0.25">
      <c r="A92" s="4" t="s">
        <v>151</v>
      </c>
      <c r="B92" s="20">
        <v>115597442.86624251</v>
      </c>
      <c r="C92" s="17"/>
    </row>
    <row r="93" spans="1:3" x14ac:dyDescent="0.25">
      <c r="A93" s="4" t="s">
        <v>152</v>
      </c>
      <c r="B93" s="20">
        <v>17828167.630955353</v>
      </c>
      <c r="C93" s="17"/>
    </row>
    <row r="94" spans="1:3" x14ac:dyDescent="0.25">
      <c r="A94" s="4" t="s">
        <v>153</v>
      </c>
      <c r="B94" s="20">
        <v>39787911.554435052</v>
      </c>
      <c r="C94" s="17"/>
    </row>
    <row r="95" spans="1:3" x14ac:dyDescent="0.25">
      <c r="A95" s="4" t="s">
        <v>154</v>
      </c>
      <c r="B95" s="20">
        <v>39489019.13313508</v>
      </c>
      <c r="C95" s="17"/>
    </row>
    <row r="96" spans="1:3" x14ac:dyDescent="0.25">
      <c r="A96" s="4" t="s">
        <v>159</v>
      </c>
      <c r="B96" s="20">
        <v>0</v>
      </c>
      <c r="C96" s="17"/>
    </row>
    <row r="97" spans="1:10" x14ac:dyDescent="0.25">
      <c r="A97" s="4" t="s">
        <v>155</v>
      </c>
      <c r="B97" s="20">
        <v>152586065.03849718</v>
      </c>
      <c r="C97" s="17"/>
    </row>
    <row r="98" spans="1:10" x14ac:dyDescent="0.25">
      <c r="A98" s="4" t="s">
        <v>156</v>
      </c>
      <c r="B98" s="20">
        <v>63550971.611148365</v>
      </c>
      <c r="C98" s="17"/>
    </row>
    <row r="99" spans="1:10" x14ac:dyDescent="0.25">
      <c r="A99" s="4" t="s">
        <v>157</v>
      </c>
      <c r="B99" s="20">
        <v>148968205.5032886</v>
      </c>
      <c r="C99" s="17"/>
    </row>
    <row r="101" spans="1:10" ht="21" customHeight="1" x14ac:dyDescent="0.3">
      <c r="A101" s="1" t="s">
        <v>164</v>
      </c>
    </row>
    <row r="103" spans="1:10" x14ac:dyDescent="0.25">
      <c r="B103" s="15" t="s">
        <v>165</v>
      </c>
      <c r="C103" s="15" t="s">
        <v>166</v>
      </c>
      <c r="D103" s="15" t="s">
        <v>167</v>
      </c>
      <c r="E103" s="15" t="s">
        <v>168</v>
      </c>
      <c r="F103" s="15" t="s">
        <v>169</v>
      </c>
      <c r="G103" s="15" t="s">
        <v>170</v>
      </c>
      <c r="H103" s="15" t="s">
        <v>171</v>
      </c>
      <c r="I103" s="15" t="s">
        <v>172</v>
      </c>
    </row>
    <row r="104" spans="1:10" x14ac:dyDescent="0.25">
      <c r="A104" s="4" t="s">
        <v>173</v>
      </c>
      <c r="B104" s="20">
        <v>4357.328300000001</v>
      </c>
      <c r="C104" s="20">
        <v>664.33208833333356</v>
      </c>
      <c r="D104" s="20">
        <v>768.35503333333349</v>
      </c>
      <c r="E104" s="20">
        <v>557.61393999999996</v>
      </c>
      <c r="F104" s="20">
        <v>1230.2180106666669</v>
      </c>
      <c r="G104" s="20">
        <v>960.35940000000016</v>
      </c>
      <c r="H104" s="20">
        <v>0</v>
      </c>
      <c r="I104" s="20">
        <v>525.61261999999999</v>
      </c>
      <c r="J104" s="17"/>
    </row>
    <row r="106" spans="1:10" ht="21" customHeight="1" x14ac:dyDescent="0.3">
      <c r="A106" s="1" t="s">
        <v>174</v>
      </c>
    </row>
    <row r="108" spans="1:10" x14ac:dyDescent="0.25">
      <c r="B108" s="15" t="s">
        <v>175</v>
      </c>
      <c r="C108" s="15" t="s">
        <v>176</v>
      </c>
      <c r="D108" s="15" t="s">
        <v>177</v>
      </c>
      <c r="E108" s="15" t="s">
        <v>178</v>
      </c>
      <c r="F108" s="15" t="s">
        <v>179</v>
      </c>
    </row>
    <row r="109" spans="1:10" x14ac:dyDescent="0.25">
      <c r="A109" s="4" t="s">
        <v>180</v>
      </c>
      <c r="B109" s="20">
        <v>10371.625680000001</v>
      </c>
      <c r="C109" s="20">
        <v>4264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181</v>
      </c>
    </row>
    <row r="113" spans="1:10" x14ac:dyDescent="0.25">
      <c r="B113" s="15" t="s">
        <v>165</v>
      </c>
      <c r="C113" s="15" t="s">
        <v>166</v>
      </c>
      <c r="D113" s="15" t="s">
        <v>167</v>
      </c>
      <c r="E113" s="15" t="s">
        <v>168</v>
      </c>
      <c r="F113" s="15" t="s">
        <v>169</v>
      </c>
      <c r="G113" s="15" t="s">
        <v>170</v>
      </c>
      <c r="H113" s="15" t="s">
        <v>171</v>
      </c>
      <c r="I113" s="15" t="s">
        <v>172</v>
      </c>
    </row>
    <row r="114" spans="1:10" x14ac:dyDescent="0.25">
      <c r="A114" s="4" t="s">
        <v>182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183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184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185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186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187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188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189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190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191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192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193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194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195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196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197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198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199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200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201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202</v>
      </c>
    </row>
    <row r="136" spans="1:10" x14ac:dyDescent="0.25">
      <c r="A136" s="2" t="s">
        <v>203</v>
      </c>
    </row>
    <row r="137" spans="1:10" x14ac:dyDescent="0.25">
      <c r="A137" s="2" t="s">
        <v>204</v>
      </c>
    </row>
    <row r="139" spans="1:10" x14ac:dyDescent="0.25">
      <c r="B139" s="15" t="s">
        <v>165</v>
      </c>
      <c r="C139" s="15" t="s">
        <v>166</v>
      </c>
      <c r="D139" s="15" t="s">
        <v>167</v>
      </c>
      <c r="E139" s="15" t="s">
        <v>168</v>
      </c>
      <c r="F139" s="15" t="s">
        <v>169</v>
      </c>
      <c r="G139" s="15" t="s">
        <v>170</v>
      </c>
      <c r="H139" s="15" t="s">
        <v>171</v>
      </c>
      <c r="I139" s="15" t="s">
        <v>172</v>
      </c>
    </row>
    <row r="140" spans="1:10" x14ac:dyDescent="0.25">
      <c r="A140" s="4" t="s">
        <v>205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206</v>
      </c>
    </row>
    <row r="144" spans="1:10" x14ac:dyDescent="0.25">
      <c r="B144" s="15" t="s">
        <v>175</v>
      </c>
      <c r="C144" s="15" t="s">
        <v>176</v>
      </c>
      <c r="D144" s="15" t="s">
        <v>177</v>
      </c>
      <c r="E144" s="15" t="s">
        <v>178</v>
      </c>
      <c r="F144" s="15" t="s">
        <v>179</v>
      </c>
    </row>
    <row r="145" spans="1:9" x14ac:dyDescent="0.25">
      <c r="A145" s="4" t="s">
        <v>207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208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209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210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211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212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213</v>
      </c>
    </row>
    <row r="153" spans="1:9" x14ac:dyDescent="0.25">
      <c r="A153" s="2" t="s">
        <v>214</v>
      </c>
    </row>
    <row r="155" spans="1:9" x14ac:dyDescent="0.25">
      <c r="B155" s="15" t="s">
        <v>151</v>
      </c>
      <c r="C155" s="15" t="s">
        <v>152</v>
      </c>
      <c r="D155" s="15" t="s">
        <v>153</v>
      </c>
      <c r="E155" s="15" t="s">
        <v>154</v>
      </c>
      <c r="F155" s="15" t="s">
        <v>155</v>
      </c>
      <c r="G155" s="15" t="s">
        <v>156</v>
      </c>
      <c r="H155" s="15" t="s">
        <v>157</v>
      </c>
    </row>
    <row r="156" spans="1:9" x14ac:dyDescent="0.25">
      <c r="A156" s="4" t="s">
        <v>215</v>
      </c>
      <c r="B156" s="21">
        <v>1.002</v>
      </c>
      <c r="C156" s="21">
        <v>1.006</v>
      </c>
      <c r="D156" s="21">
        <v>1.012</v>
      </c>
      <c r="E156" s="21">
        <v>1.0209999999999999</v>
      </c>
      <c r="F156" s="21">
        <v>1.038</v>
      </c>
      <c r="G156" s="21">
        <v>1.0489999999999999</v>
      </c>
      <c r="H156" s="21">
        <v>1.0620000000000001</v>
      </c>
      <c r="I156" s="17"/>
    </row>
    <row r="158" spans="1:9" ht="21" customHeight="1" x14ac:dyDescent="0.3">
      <c r="A158" s="1" t="s">
        <v>216</v>
      </c>
    </row>
    <row r="159" spans="1:9" x14ac:dyDescent="0.25">
      <c r="A159" s="2" t="s">
        <v>217</v>
      </c>
    </row>
    <row r="161" spans="1:7" x14ac:dyDescent="0.25">
      <c r="B161" s="15" t="s">
        <v>218</v>
      </c>
      <c r="C161" s="15" t="s">
        <v>219</v>
      </c>
      <c r="D161" s="15" t="s">
        <v>220</v>
      </c>
      <c r="E161" s="15" t="s">
        <v>221</v>
      </c>
      <c r="F161" s="15" t="s">
        <v>222</v>
      </c>
    </row>
    <row r="162" spans="1:7" x14ac:dyDescent="0.25">
      <c r="A162" s="4" t="s">
        <v>223</v>
      </c>
      <c r="B162" s="24"/>
      <c r="C162" s="26">
        <v>0.37526615197487823</v>
      </c>
      <c r="D162" s="26">
        <v>0.61583543189508039</v>
      </c>
      <c r="E162" s="26">
        <v>0.36977418050056232</v>
      </c>
      <c r="F162" s="26">
        <v>0.25230988020032274</v>
      </c>
      <c r="G162" s="17"/>
    </row>
    <row r="164" spans="1:7" ht="21" customHeight="1" x14ac:dyDescent="0.3">
      <c r="A164" s="1" t="s">
        <v>224</v>
      </c>
    </row>
    <row r="165" spans="1:7" x14ac:dyDescent="0.25">
      <c r="A165" s="2" t="s">
        <v>225</v>
      </c>
    </row>
    <row r="167" spans="1:7" x14ac:dyDescent="0.25">
      <c r="B167" s="15" t="s">
        <v>226</v>
      </c>
      <c r="C167" s="15" t="s">
        <v>227</v>
      </c>
    </row>
    <row r="168" spans="1:7" x14ac:dyDescent="0.25">
      <c r="A168" s="4" t="s">
        <v>182</v>
      </c>
      <c r="B168" s="21">
        <v>0.90369726132518668</v>
      </c>
      <c r="C168" s="21">
        <v>0.41018090312376848</v>
      </c>
      <c r="D168" s="17"/>
    </row>
    <row r="169" spans="1:7" x14ac:dyDescent="0.25">
      <c r="A169" s="4" t="s">
        <v>183</v>
      </c>
      <c r="B169" s="21">
        <v>0.34849290874093636</v>
      </c>
      <c r="C169" s="21">
        <v>0.25786518014594395</v>
      </c>
      <c r="D169" s="17"/>
    </row>
    <row r="170" spans="1:7" x14ac:dyDescent="0.25">
      <c r="A170" s="4" t="s">
        <v>228</v>
      </c>
      <c r="B170" s="24"/>
      <c r="C170" s="21">
        <v>0.14304328954526616</v>
      </c>
      <c r="D170" s="17"/>
    </row>
    <row r="171" spans="1:7" x14ac:dyDescent="0.25">
      <c r="A171" s="4" t="s">
        <v>184</v>
      </c>
      <c r="B171" s="21">
        <v>0.65736524856021106</v>
      </c>
      <c r="C171" s="21">
        <v>0.38932311025152039</v>
      </c>
      <c r="D171" s="17"/>
    </row>
    <row r="172" spans="1:7" x14ac:dyDescent="0.25">
      <c r="A172" s="4" t="s">
        <v>185</v>
      </c>
      <c r="B172" s="21">
        <v>0.63086504615524364</v>
      </c>
      <c r="C172" s="21">
        <v>0.44087701561454778</v>
      </c>
      <c r="D172" s="17"/>
    </row>
    <row r="173" spans="1:7" x14ac:dyDescent="0.25">
      <c r="A173" s="4" t="s">
        <v>229</v>
      </c>
      <c r="B173" s="24"/>
      <c r="C173" s="21">
        <v>0.15591463719189977</v>
      </c>
      <c r="D173" s="17"/>
    </row>
    <row r="174" spans="1:7" x14ac:dyDescent="0.25">
      <c r="A174" s="4" t="s">
        <v>186</v>
      </c>
      <c r="B174" s="21">
        <v>0.85855132048386718</v>
      </c>
      <c r="C174" s="21">
        <v>0.59360150796757727</v>
      </c>
      <c r="D174" s="17"/>
    </row>
    <row r="175" spans="1:7" x14ac:dyDescent="0.25">
      <c r="A175" s="4" t="s">
        <v>187</v>
      </c>
      <c r="B175" s="21">
        <v>0.83823141723685424</v>
      </c>
      <c r="C175" s="21">
        <v>0.60009005575416807</v>
      </c>
      <c r="D175" s="17"/>
    </row>
    <row r="176" spans="1:7" x14ac:dyDescent="0.25">
      <c r="A176" s="4" t="s">
        <v>207</v>
      </c>
      <c r="B176" s="21">
        <v>0.6632207801144262</v>
      </c>
      <c r="C176" s="21">
        <v>0.45490842079580179</v>
      </c>
      <c r="D176" s="17"/>
    </row>
    <row r="177" spans="1:4" x14ac:dyDescent="0.25">
      <c r="A177" s="4" t="s">
        <v>188</v>
      </c>
      <c r="B177" s="21">
        <v>0.81645877948988022</v>
      </c>
      <c r="C177" s="21">
        <v>0.38350673194634544</v>
      </c>
      <c r="D177" s="17"/>
    </row>
    <row r="178" spans="1:4" x14ac:dyDescent="0.25">
      <c r="A178" s="4" t="s">
        <v>189</v>
      </c>
      <c r="B178" s="21">
        <v>0.65203743385112511</v>
      </c>
      <c r="C178" s="21">
        <v>0.39367684544700543</v>
      </c>
      <c r="D178" s="17"/>
    </row>
    <row r="179" spans="1:4" x14ac:dyDescent="0.25">
      <c r="A179" s="4" t="s">
        <v>190</v>
      </c>
      <c r="B179" s="21">
        <v>0.80328789495257791</v>
      </c>
      <c r="C179" s="21">
        <v>0.58758032453585229</v>
      </c>
      <c r="D179" s="17"/>
    </row>
    <row r="180" spans="1:4" x14ac:dyDescent="0.25">
      <c r="A180" s="4" t="s">
        <v>191</v>
      </c>
      <c r="B180" s="21">
        <v>0.76581938451320009</v>
      </c>
      <c r="C180" s="21">
        <v>0.6115171758902811</v>
      </c>
      <c r="D180" s="17"/>
    </row>
    <row r="181" spans="1:4" x14ac:dyDescent="0.25">
      <c r="A181" s="4" t="s">
        <v>208</v>
      </c>
      <c r="B181" s="21">
        <v>0.81955190595723459</v>
      </c>
      <c r="C181" s="21">
        <v>0.73222111108881516</v>
      </c>
      <c r="D181" s="17"/>
    </row>
    <row r="182" spans="1:4" x14ac:dyDescent="0.25">
      <c r="A182" s="4" t="s">
        <v>230</v>
      </c>
      <c r="B182" s="21">
        <v>1</v>
      </c>
      <c r="C182" s="21">
        <v>1</v>
      </c>
      <c r="D182" s="17"/>
    </row>
    <row r="183" spans="1:4" x14ac:dyDescent="0.25">
      <c r="A183" s="4" t="s">
        <v>231</v>
      </c>
      <c r="B183" s="21">
        <v>0.98387596899224805</v>
      </c>
      <c r="C183" s="21">
        <v>0.47568090676314712</v>
      </c>
      <c r="D183" s="17"/>
    </row>
    <row r="184" spans="1:4" x14ac:dyDescent="0.25">
      <c r="A184" s="4" t="s">
        <v>232</v>
      </c>
      <c r="B184" s="21">
        <v>0.88050584275830202</v>
      </c>
      <c r="C184" s="21">
        <v>0.25627602405557953</v>
      </c>
      <c r="D184" s="17"/>
    </row>
    <row r="185" spans="1:4" x14ac:dyDescent="0.25">
      <c r="A185" s="4" t="s">
        <v>233</v>
      </c>
      <c r="B185" s="21">
        <v>0</v>
      </c>
      <c r="C185" s="21">
        <v>0.51531174707368965</v>
      </c>
      <c r="D185" s="17"/>
    </row>
    <row r="186" spans="1:4" x14ac:dyDescent="0.25">
      <c r="A186" s="4" t="s">
        <v>234</v>
      </c>
      <c r="B186" s="21">
        <v>0.96563532092421089</v>
      </c>
      <c r="C186" s="21">
        <v>0.45911887802842832</v>
      </c>
      <c r="D186" s="17"/>
    </row>
    <row r="188" spans="1:4" ht="21" customHeight="1" x14ac:dyDescent="0.3">
      <c r="A188" s="1" t="s">
        <v>235</v>
      </c>
    </row>
    <row r="189" spans="1:4" x14ac:dyDescent="0.25">
      <c r="A189" s="2" t="s">
        <v>236</v>
      </c>
    </row>
    <row r="190" spans="1:4" x14ac:dyDescent="0.25">
      <c r="A190" s="2" t="s">
        <v>237</v>
      </c>
    </row>
    <row r="191" spans="1:4" x14ac:dyDescent="0.25">
      <c r="A191" s="2" t="s">
        <v>238</v>
      </c>
    </row>
    <row r="193" spans="1:9" ht="30" x14ac:dyDescent="0.25">
      <c r="B193" s="15" t="s">
        <v>239</v>
      </c>
      <c r="C193" s="15" t="s">
        <v>240</v>
      </c>
      <c r="D193" s="15" t="s">
        <v>241</v>
      </c>
      <c r="E193" s="15" t="s">
        <v>242</v>
      </c>
      <c r="F193" s="15" t="s">
        <v>243</v>
      </c>
      <c r="G193" s="15" t="s">
        <v>244</v>
      </c>
      <c r="H193" s="15" t="s">
        <v>245</v>
      </c>
    </row>
    <row r="194" spans="1:9" x14ac:dyDescent="0.25">
      <c r="A194" s="28" t="s">
        <v>246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182</v>
      </c>
      <c r="B195" s="21">
        <v>4325611.9207158107</v>
      </c>
      <c r="C195" s="24">
        <v>0</v>
      </c>
      <c r="D195" s="24">
        <v>0</v>
      </c>
      <c r="E195" s="20">
        <v>1265207.2271374017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247</v>
      </c>
      <c r="B196" s="21">
        <v>26901.245229423566</v>
      </c>
      <c r="C196" s="24">
        <v>0</v>
      </c>
      <c r="D196" s="24">
        <v>0</v>
      </c>
      <c r="E196" s="20">
        <v>10731.187338674054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248</v>
      </c>
      <c r="B197" s="21">
        <v>55013.174031689108</v>
      </c>
      <c r="C197" s="24">
        <v>0</v>
      </c>
      <c r="D197" s="24">
        <v>0</v>
      </c>
      <c r="E197" s="20">
        <v>23203.542748283573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249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183</v>
      </c>
      <c r="B199" s="21">
        <v>631896.20650682866</v>
      </c>
      <c r="C199" s="21">
        <v>608756.1368600768</v>
      </c>
      <c r="D199" s="24">
        <v>0</v>
      </c>
      <c r="E199" s="20">
        <v>204084.58149972049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250</v>
      </c>
      <c r="B200" s="21">
        <v>1606.4165108372613</v>
      </c>
      <c r="C200" s="21">
        <v>611.28679685625241</v>
      </c>
      <c r="D200" s="24">
        <v>0</v>
      </c>
      <c r="E200" s="20">
        <v>726.06617400625544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251</v>
      </c>
      <c r="B201" s="21">
        <v>1981.8033010451122</v>
      </c>
      <c r="C201" s="21">
        <v>699.886191102868</v>
      </c>
      <c r="D201" s="24">
        <v>0</v>
      </c>
      <c r="E201" s="20">
        <v>760.45693484959054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252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228</v>
      </c>
      <c r="B203" s="21">
        <v>49584.948626394573</v>
      </c>
      <c r="C203" s="24"/>
      <c r="D203" s="24">
        <v>0</v>
      </c>
      <c r="E203" s="20">
        <v>14616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253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254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255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184</v>
      </c>
      <c r="B207" s="21">
        <v>1188673.8633673929</v>
      </c>
      <c r="C207" s="24">
        <v>0</v>
      </c>
      <c r="D207" s="24">
        <v>0</v>
      </c>
      <c r="E207" s="20">
        <v>109551.18214801565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256</v>
      </c>
      <c r="B208" s="21">
        <v>1302.4422167594307</v>
      </c>
      <c r="C208" s="24">
        <v>0</v>
      </c>
      <c r="D208" s="24">
        <v>0</v>
      </c>
      <c r="E208" s="20">
        <v>222.11769939209947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257</v>
      </c>
      <c r="B209" s="21">
        <v>10841.524519374772</v>
      </c>
      <c r="C209" s="24">
        <v>0</v>
      </c>
      <c r="D209" s="24">
        <v>0</v>
      </c>
      <c r="E209" s="20">
        <v>839.47229378913437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258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185</v>
      </c>
      <c r="B211" s="21">
        <v>408779.30805433629</v>
      </c>
      <c r="C211" s="21">
        <v>170833.89818291247</v>
      </c>
      <c r="D211" s="24">
        <v>0</v>
      </c>
      <c r="E211" s="20">
        <v>30180.331007155499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259</v>
      </c>
      <c r="B212" s="21">
        <v>61.823579234539864</v>
      </c>
      <c r="C212" s="21">
        <v>24.873299236326393</v>
      </c>
      <c r="D212" s="24">
        <v>0</v>
      </c>
      <c r="E212" s="20">
        <v>3.3877051456494978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260</v>
      </c>
      <c r="B213" s="21">
        <v>1089.4258134299873</v>
      </c>
      <c r="C213" s="21">
        <v>319.69742324390336</v>
      </c>
      <c r="D213" s="24">
        <v>0</v>
      </c>
      <c r="E213" s="20">
        <v>32.702982536908962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261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229</v>
      </c>
      <c r="B215" s="21">
        <v>18696.270931315648</v>
      </c>
      <c r="C215" s="24"/>
      <c r="D215" s="24">
        <v>0</v>
      </c>
      <c r="E215" s="20">
        <v>3163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262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263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264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186</v>
      </c>
      <c r="B219" s="21">
        <v>61016.900719428624</v>
      </c>
      <c r="C219" s="21">
        <v>15363.298917763981</v>
      </c>
      <c r="D219" s="24">
        <v>0</v>
      </c>
      <c r="E219" s="20">
        <v>1833.471677508197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265</v>
      </c>
      <c r="B220" s="21">
        <v>0</v>
      </c>
      <c r="C220" s="21">
        <v>0</v>
      </c>
      <c r="D220" s="24">
        <v>0</v>
      </c>
      <c r="E220" s="20">
        <v>0</v>
      </c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266</v>
      </c>
      <c r="B221" s="21">
        <v>0</v>
      </c>
      <c r="C221" s="21">
        <v>-1.8189894035458569E-15</v>
      </c>
      <c r="D221" s="24">
        <v>0</v>
      </c>
      <c r="E221" s="20">
        <v>0</v>
      </c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267</v>
      </c>
      <c r="B222" s="18">
        <v>0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187</v>
      </c>
      <c r="B223" s="21">
        <v>11011.490224251203</v>
      </c>
      <c r="C223" s="21">
        <v>2877.3369030231497</v>
      </c>
      <c r="D223" s="24">
        <v>0</v>
      </c>
      <c r="E223" s="20">
        <v>151.42512767842624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268</v>
      </c>
      <c r="B224" s="18">
        <v>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207</v>
      </c>
      <c r="B225" s="21">
        <v>475.14555881688426</v>
      </c>
      <c r="C225" s="21">
        <v>185.19683477307066</v>
      </c>
      <c r="D225" s="24">
        <v>0</v>
      </c>
      <c r="E225" s="20">
        <v>11.577605311475409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269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188</v>
      </c>
      <c r="B227" s="21">
        <v>17.914500587704929</v>
      </c>
      <c r="C227" s="21">
        <v>148.90616151495541</v>
      </c>
      <c r="D227" s="21">
        <v>132.14980473460798</v>
      </c>
      <c r="E227" s="20">
        <v>90.262264219672147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270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271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272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189</v>
      </c>
      <c r="B231" s="21">
        <v>25120.809003475933</v>
      </c>
      <c r="C231" s="21">
        <v>181265.33625380608</v>
      </c>
      <c r="D231" s="21">
        <v>162228.45888345866</v>
      </c>
      <c r="E231" s="20">
        <v>5017.1258968839948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273</v>
      </c>
      <c r="B232" s="21">
        <v>5.6552694683059688</v>
      </c>
      <c r="C232" s="21">
        <v>41.966469883140483</v>
      </c>
      <c r="D232" s="21">
        <v>40.291408201669881</v>
      </c>
      <c r="E232" s="20">
        <v>2.2857823981654586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274</v>
      </c>
      <c r="B233" s="21">
        <v>196.87111300880554</v>
      </c>
      <c r="C233" s="21">
        <v>798.08542669009967</v>
      </c>
      <c r="D233" s="21">
        <v>644.05861978242342</v>
      </c>
      <c r="E233" s="20">
        <v>40.069988681836328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275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190</v>
      </c>
      <c r="B235" s="21">
        <v>88440.190183722385</v>
      </c>
      <c r="C235" s="21">
        <v>636664.91641531512</v>
      </c>
      <c r="D235" s="21">
        <v>540985.31643077033</v>
      </c>
      <c r="E235" s="20">
        <v>7358.8733919028909</v>
      </c>
      <c r="F235" s="20">
        <v>669999.84133468312</v>
      </c>
      <c r="G235" s="20">
        <v>26935.335739672133</v>
      </c>
      <c r="H235" s="21">
        <v>103729.98517731513</v>
      </c>
      <c r="I235" s="17"/>
    </row>
    <row r="236" spans="1:9" x14ac:dyDescent="0.25">
      <c r="A236" s="4" t="s">
        <v>276</v>
      </c>
      <c r="B236" s="21">
        <v>86.1652161412091</v>
      </c>
      <c r="C236" s="21">
        <v>538.61179113194021</v>
      </c>
      <c r="D236" s="21">
        <v>513.0487545138019</v>
      </c>
      <c r="E236" s="20">
        <v>13.165849690975877</v>
      </c>
      <c r="F236" s="20">
        <v>1617.2176035048324</v>
      </c>
      <c r="G236" s="20">
        <v>0</v>
      </c>
      <c r="H236" s="21">
        <v>106.32041842588919</v>
      </c>
      <c r="I236" s="17"/>
    </row>
    <row r="237" spans="1:9" x14ac:dyDescent="0.25">
      <c r="A237" s="4" t="s">
        <v>277</v>
      </c>
      <c r="B237" s="21">
        <v>4262.8771094650201</v>
      </c>
      <c r="C237" s="21">
        <v>24227.269385778494</v>
      </c>
      <c r="D237" s="21">
        <v>20257.542907879491</v>
      </c>
      <c r="E237" s="20">
        <v>191.42030376307054</v>
      </c>
      <c r="F237" s="20">
        <v>29908.947491439405</v>
      </c>
      <c r="G237" s="20">
        <v>581.76129778279528</v>
      </c>
      <c r="H237" s="21">
        <v>2716.1875821161025</v>
      </c>
      <c r="I237" s="17"/>
    </row>
    <row r="238" spans="1:9" x14ac:dyDescent="0.25">
      <c r="A238" s="28" t="s">
        <v>278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191</v>
      </c>
      <c r="B239" s="21">
        <v>48977.516398784363</v>
      </c>
      <c r="C239" s="21">
        <v>361536.83277795935</v>
      </c>
      <c r="D239" s="21">
        <v>330106.10018419294</v>
      </c>
      <c r="E239" s="20">
        <v>1767.9314622358031</v>
      </c>
      <c r="F239" s="20">
        <v>352078.74316939892</v>
      </c>
      <c r="G239" s="20">
        <v>5897.3699357838677</v>
      </c>
      <c r="H239" s="21">
        <v>68974.534841827452</v>
      </c>
      <c r="I239" s="17"/>
    </row>
    <row r="240" spans="1:9" x14ac:dyDescent="0.25">
      <c r="A240" s="4" t="s">
        <v>279</v>
      </c>
      <c r="B240" s="21">
        <v>409.79142419035173</v>
      </c>
      <c r="C240" s="21">
        <v>2104.5660652551824</v>
      </c>
      <c r="D240" s="21">
        <v>2395.7032923170609</v>
      </c>
      <c r="E240" s="20">
        <v>4.3513441221463642</v>
      </c>
      <c r="F240" s="20">
        <v>2418.2177728787092</v>
      </c>
      <c r="G240" s="20">
        <v>0</v>
      </c>
      <c r="H240" s="21">
        <v>404.89378273533356</v>
      </c>
      <c r="I240" s="17"/>
    </row>
    <row r="241" spans="1:9" x14ac:dyDescent="0.25">
      <c r="A241" s="28" t="s">
        <v>280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208</v>
      </c>
      <c r="B242" s="21">
        <v>158180.58004964184</v>
      </c>
      <c r="C242" s="21">
        <v>1114577.6735039044</v>
      </c>
      <c r="D242" s="21">
        <v>1231512.8474357603</v>
      </c>
      <c r="E242" s="20">
        <v>1242.4271059445377</v>
      </c>
      <c r="F242" s="20">
        <v>888545.72431230394</v>
      </c>
      <c r="G242" s="20">
        <v>12932.011190754718</v>
      </c>
      <c r="H242" s="21">
        <v>171554.1733979971</v>
      </c>
      <c r="I242" s="17"/>
    </row>
    <row r="243" spans="1:9" x14ac:dyDescent="0.25">
      <c r="A243" s="4" t="s">
        <v>281</v>
      </c>
      <c r="B243" s="21">
        <v>1479.3338317931414</v>
      </c>
      <c r="C243" s="21">
        <v>8277.2444729289728</v>
      </c>
      <c r="D243" s="21">
        <v>11213.066257576984</v>
      </c>
      <c r="E243" s="20">
        <v>11.175782420804273</v>
      </c>
      <c r="F243" s="20">
        <v>16463.869238251813</v>
      </c>
      <c r="G243" s="20">
        <v>0</v>
      </c>
      <c r="H243" s="21">
        <v>616.20232964157481</v>
      </c>
      <c r="I243" s="17"/>
    </row>
    <row r="244" spans="1:9" x14ac:dyDescent="0.25">
      <c r="A244" s="28" t="s">
        <v>282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230</v>
      </c>
      <c r="B245" s="21">
        <v>4068.4293231218739</v>
      </c>
      <c r="C245" s="24">
        <v>0</v>
      </c>
      <c r="D245" s="24">
        <v>0</v>
      </c>
      <c r="E245" s="20">
        <v>818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283</v>
      </c>
      <c r="B246" s="21">
        <v>0</v>
      </c>
      <c r="C246" s="24">
        <v>0</v>
      </c>
      <c r="D246" s="24">
        <v>0</v>
      </c>
      <c r="E246" s="20">
        <v>0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284</v>
      </c>
      <c r="B247" s="21">
        <v>207.69545434858088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285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231</v>
      </c>
      <c r="B249" s="21">
        <v>4958.8517885686515</v>
      </c>
      <c r="C249" s="24">
        <v>0</v>
      </c>
      <c r="D249" s="24">
        <v>0</v>
      </c>
      <c r="E249" s="20">
        <v>759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286</v>
      </c>
      <c r="B250" s="21">
        <v>133.98195221570728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287</v>
      </c>
      <c r="B251" s="21">
        <v>454.69865311763124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288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232</v>
      </c>
      <c r="B253" s="21">
        <v>593.78396396084736</v>
      </c>
      <c r="C253" s="24">
        <v>0</v>
      </c>
      <c r="D253" s="24">
        <v>0</v>
      </c>
      <c r="E253" s="20">
        <v>191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289</v>
      </c>
      <c r="B254" s="21">
        <v>1.9201054398654972E-2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290</v>
      </c>
      <c r="B255" s="21">
        <v>3.9597943365447317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291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233</v>
      </c>
      <c r="B257" s="21">
        <v>0</v>
      </c>
      <c r="C257" s="24">
        <v>0</v>
      </c>
      <c r="D257" s="24">
        <v>0</v>
      </c>
      <c r="E257" s="20">
        <v>0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292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293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294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234</v>
      </c>
      <c r="B261" s="21">
        <v>4025.4263653814442</v>
      </c>
      <c r="C261" s="21">
        <v>30461.379965672324</v>
      </c>
      <c r="D261" s="21">
        <v>87397.559442457263</v>
      </c>
      <c r="E261" s="20">
        <v>22.330601092896174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295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296</v>
      </c>
      <c r="B263" s="21">
        <v>2.0630714301748618</v>
      </c>
      <c r="C263" s="21">
        <v>7.2926879396303574</v>
      </c>
      <c r="D263" s="21">
        <v>41.15683470268737</v>
      </c>
      <c r="E263" s="20">
        <v>1.6938525728247484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297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192</v>
      </c>
      <c r="B265" s="21">
        <v>3884.1452388750013</v>
      </c>
      <c r="C265" s="24">
        <v>0</v>
      </c>
      <c r="D265" s="24">
        <v>0</v>
      </c>
      <c r="E265" s="20">
        <v>332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298</v>
      </c>
      <c r="B266" s="21">
        <v>78.224294571428587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299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300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193</v>
      </c>
      <c r="B269" s="21">
        <v>0</v>
      </c>
      <c r="C269" s="24">
        <v>0</v>
      </c>
      <c r="D269" s="24">
        <v>0</v>
      </c>
      <c r="E269" s="20">
        <v>0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301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302</v>
      </c>
      <c r="B271" s="18">
        <v>0</v>
      </c>
      <c r="C271" s="18">
        <v>0</v>
      </c>
      <c r="D271" s="18">
        <v>0</v>
      </c>
      <c r="E271" s="18">
        <v>0</v>
      </c>
      <c r="F271" s="18"/>
      <c r="G271" s="18"/>
      <c r="H271" s="18">
        <v>0</v>
      </c>
      <c r="I271" s="17"/>
    </row>
    <row r="272" spans="1:9" x14ac:dyDescent="0.25">
      <c r="A272" s="4" t="s">
        <v>194</v>
      </c>
      <c r="B272" s="21">
        <v>70648.168057500021</v>
      </c>
      <c r="C272" s="24">
        <v>0</v>
      </c>
      <c r="D272" s="24">
        <v>0</v>
      </c>
      <c r="E272" s="20">
        <v>949.89529234972701</v>
      </c>
      <c r="F272" s="24"/>
      <c r="G272" s="24"/>
      <c r="H272" s="21">
        <v>6652.6217298750016</v>
      </c>
      <c r="I272" s="17"/>
    </row>
    <row r="273" spans="1:9" x14ac:dyDescent="0.25">
      <c r="A273" s="4" t="s">
        <v>303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304</v>
      </c>
      <c r="B274" s="21">
        <v>1073.9632738714286</v>
      </c>
      <c r="C274" s="24"/>
      <c r="D274" s="24"/>
      <c r="E274" s="20">
        <v>4.0344262295081972</v>
      </c>
      <c r="F274" s="24"/>
      <c r="G274" s="24"/>
      <c r="H274" s="21">
        <v>0.64182124285714293</v>
      </c>
      <c r="I274" s="17"/>
    </row>
    <row r="275" spans="1:9" x14ac:dyDescent="0.25">
      <c r="A275" s="28" t="s">
        <v>305</v>
      </c>
      <c r="B275" s="18">
        <v>0</v>
      </c>
      <c r="C275" s="18">
        <v>0</v>
      </c>
      <c r="D275" s="18">
        <v>0</v>
      </c>
      <c r="E275" s="18">
        <v>0</v>
      </c>
      <c r="F275" s="18"/>
      <c r="G275" s="18"/>
      <c r="H275" s="18">
        <v>0</v>
      </c>
      <c r="I275" s="17"/>
    </row>
    <row r="276" spans="1:9" x14ac:dyDescent="0.25">
      <c r="A276" s="4" t="s">
        <v>195</v>
      </c>
      <c r="B276" s="21">
        <v>0</v>
      </c>
      <c r="C276" s="24">
        <v>0</v>
      </c>
      <c r="D276" s="24">
        <v>0</v>
      </c>
      <c r="E276" s="20">
        <v>0</v>
      </c>
      <c r="F276" s="24"/>
      <c r="G276" s="24"/>
      <c r="H276" s="24">
        <v>0</v>
      </c>
      <c r="I276" s="17"/>
    </row>
    <row r="277" spans="1:9" x14ac:dyDescent="0.25">
      <c r="A277" s="28" t="s">
        <v>306</v>
      </c>
      <c r="B277" s="18">
        <v>0</v>
      </c>
      <c r="C277" s="18">
        <v>0</v>
      </c>
      <c r="D277" s="18">
        <v>0</v>
      </c>
      <c r="E277" s="18">
        <v>0</v>
      </c>
      <c r="F277" s="18"/>
      <c r="G277" s="18"/>
      <c r="H277" s="18">
        <v>0</v>
      </c>
      <c r="I277" s="17"/>
    </row>
    <row r="278" spans="1:9" x14ac:dyDescent="0.25">
      <c r="A278" s="4" t="s">
        <v>196</v>
      </c>
      <c r="B278" s="21">
        <v>227.88778782102625</v>
      </c>
      <c r="C278" s="21">
        <v>1445.7893020327999</v>
      </c>
      <c r="D278" s="21">
        <v>2003.0391402098578</v>
      </c>
      <c r="E278" s="20">
        <v>18.34156352459016</v>
      </c>
      <c r="F278" s="24"/>
      <c r="G278" s="24"/>
      <c r="H278" s="21">
        <v>646.0717252500001</v>
      </c>
      <c r="I278" s="17"/>
    </row>
    <row r="279" spans="1:9" x14ac:dyDescent="0.25">
      <c r="A279" s="4" t="s">
        <v>307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308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1">
        <v>0</v>
      </c>
      <c r="I280" s="17"/>
    </row>
    <row r="281" spans="1:9" x14ac:dyDescent="0.25">
      <c r="A281" s="28" t="s">
        <v>309</v>
      </c>
      <c r="B281" s="18">
        <v>0</v>
      </c>
      <c r="C281" s="18">
        <v>0</v>
      </c>
      <c r="D281" s="18">
        <v>0</v>
      </c>
      <c r="E281" s="18">
        <v>0</v>
      </c>
      <c r="F281" s="18"/>
      <c r="G281" s="18"/>
      <c r="H281" s="18">
        <v>0</v>
      </c>
      <c r="I281" s="17"/>
    </row>
    <row r="282" spans="1:9" x14ac:dyDescent="0.25">
      <c r="A282" s="4" t="s">
        <v>197</v>
      </c>
      <c r="B282" s="21">
        <v>0</v>
      </c>
      <c r="C282" s="21">
        <v>0</v>
      </c>
      <c r="D282" s="21">
        <v>0</v>
      </c>
      <c r="E282" s="20">
        <v>0</v>
      </c>
      <c r="F282" s="24"/>
      <c r="G282" s="24"/>
      <c r="H282" s="24">
        <v>0</v>
      </c>
      <c r="I282" s="17"/>
    </row>
    <row r="283" spans="1:9" x14ac:dyDescent="0.25">
      <c r="A283" s="28" t="s">
        <v>310</v>
      </c>
      <c r="B283" s="18">
        <v>0</v>
      </c>
      <c r="C283" s="18">
        <v>0</v>
      </c>
      <c r="D283" s="18">
        <v>0</v>
      </c>
      <c r="E283" s="18">
        <v>0</v>
      </c>
      <c r="F283" s="18"/>
      <c r="G283" s="18"/>
      <c r="H283" s="18">
        <v>0</v>
      </c>
      <c r="I283" s="17"/>
    </row>
    <row r="284" spans="1:9" x14ac:dyDescent="0.25">
      <c r="A284" s="4" t="s">
        <v>198</v>
      </c>
      <c r="B284" s="21">
        <v>11531.789399625</v>
      </c>
      <c r="C284" s="24">
        <v>0</v>
      </c>
      <c r="D284" s="24">
        <v>0</v>
      </c>
      <c r="E284" s="20">
        <v>129.04964071038253</v>
      </c>
      <c r="F284" s="24"/>
      <c r="G284" s="24"/>
      <c r="H284" s="21">
        <v>1450.8045805000004</v>
      </c>
      <c r="I284" s="17"/>
    </row>
    <row r="285" spans="1:9" x14ac:dyDescent="0.25">
      <c r="A285" s="4" t="s">
        <v>311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312</v>
      </c>
      <c r="B286" s="18">
        <v>0</v>
      </c>
      <c r="C286" s="18">
        <v>0</v>
      </c>
      <c r="D286" s="18">
        <v>0</v>
      </c>
      <c r="E286" s="18">
        <v>0</v>
      </c>
      <c r="F286" s="18"/>
      <c r="G286" s="18"/>
      <c r="H286" s="18">
        <v>0</v>
      </c>
      <c r="I286" s="17"/>
    </row>
    <row r="287" spans="1:9" x14ac:dyDescent="0.25">
      <c r="A287" s="4" t="s">
        <v>199</v>
      </c>
      <c r="B287" s="21">
        <v>0</v>
      </c>
      <c r="C287" s="24">
        <v>0</v>
      </c>
      <c r="D287" s="24">
        <v>0</v>
      </c>
      <c r="E287" s="20">
        <v>0</v>
      </c>
      <c r="F287" s="24"/>
      <c r="G287" s="24"/>
      <c r="H287" s="24">
        <v>0</v>
      </c>
      <c r="I287" s="17"/>
    </row>
    <row r="288" spans="1:9" x14ac:dyDescent="0.25">
      <c r="A288" s="28" t="s">
        <v>313</v>
      </c>
      <c r="B288" s="18">
        <v>0</v>
      </c>
      <c r="C288" s="18">
        <v>0</v>
      </c>
      <c r="D288" s="18">
        <v>0</v>
      </c>
      <c r="E288" s="18">
        <v>0</v>
      </c>
      <c r="F288" s="18"/>
      <c r="G288" s="18"/>
      <c r="H288" s="18">
        <v>0</v>
      </c>
      <c r="I288" s="17"/>
    </row>
    <row r="289" spans="1:9" x14ac:dyDescent="0.25">
      <c r="A289" s="4" t="s">
        <v>200</v>
      </c>
      <c r="B289" s="21">
        <v>264.21772129895868</v>
      </c>
      <c r="C289" s="21">
        <v>1475.7031393722757</v>
      </c>
      <c r="D289" s="21">
        <v>2402.1096696522009</v>
      </c>
      <c r="E289" s="20">
        <v>13.129690573770491</v>
      </c>
      <c r="F289" s="24"/>
      <c r="G289" s="24"/>
      <c r="H289" s="21">
        <v>631.49050125000008</v>
      </c>
      <c r="I289" s="17"/>
    </row>
    <row r="290" spans="1:9" x14ac:dyDescent="0.25">
      <c r="A290" s="4" t="s">
        <v>314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315</v>
      </c>
      <c r="B291" s="18">
        <v>0</v>
      </c>
      <c r="C291" s="18">
        <v>0</v>
      </c>
      <c r="D291" s="18">
        <v>0</v>
      </c>
      <c r="E291" s="18">
        <v>0</v>
      </c>
      <c r="F291" s="18"/>
      <c r="G291" s="18"/>
      <c r="H291" s="18">
        <v>0</v>
      </c>
      <c r="I291" s="17"/>
    </row>
    <row r="292" spans="1:9" x14ac:dyDescent="0.25">
      <c r="A292" s="4" t="s">
        <v>201</v>
      </c>
      <c r="B292" s="21">
        <v>0</v>
      </c>
      <c r="C292" s="21">
        <v>0</v>
      </c>
      <c r="D292" s="21">
        <v>0</v>
      </c>
      <c r="E292" s="20">
        <v>0</v>
      </c>
      <c r="F292" s="24"/>
      <c r="G292" s="24"/>
      <c r="H292" s="24">
        <v>0</v>
      </c>
      <c r="I292" s="17"/>
    </row>
    <row r="293" spans="1:9" x14ac:dyDescent="0.25">
      <c r="A293" s="28" t="s">
        <v>316</v>
      </c>
      <c r="B293" s="18">
        <v>0</v>
      </c>
      <c r="C293" s="18">
        <v>0</v>
      </c>
      <c r="D293" s="18">
        <v>0</v>
      </c>
      <c r="E293" s="18">
        <v>0</v>
      </c>
      <c r="F293" s="18"/>
      <c r="G293" s="18"/>
      <c r="H293" s="18">
        <v>0</v>
      </c>
      <c r="I293" s="17"/>
    </row>
    <row r="294" spans="1:9" x14ac:dyDescent="0.25">
      <c r="A294" s="4" t="s">
        <v>209</v>
      </c>
      <c r="B294" s="21">
        <v>407729.87522025005</v>
      </c>
      <c r="C294" s="24">
        <v>0</v>
      </c>
      <c r="D294" s="24">
        <v>0</v>
      </c>
      <c r="E294" s="20">
        <v>252.79925000000006</v>
      </c>
      <c r="F294" s="24"/>
      <c r="G294" s="24"/>
      <c r="H294" s="21">
        <v>4529.0778706250021</v>
      </c>
      <c r="I294" s="17"/>
    </row>
    <row r="295" spans="1:9" x14ac:dyDescent="0.25">
      <c r="A295" s="4" t="s">
        <v>317</v>
      </c>
      <c r="B295" s="21">
        <v>10.9835856</v>
      </c>
      <c r="C295" s="24"/>
      <c r="D295" s="24"/>
      <c r="E295" s="20">
        <v>1.5662622950819671</v>
      </c>
      <c r="F295" s="24"/>
      <c r="G295" s="24"/>
      <c r="H295" s="21">
        <v>0</v>
      </c>
      <c r="I295" s="17"/>
    </row>
    <row r="296" spans="1:9" x14ac:dyDescent="0.25">
      <c r="A296" s="28" t="s">
        <v>318</v>
      </c>
      <c r="B296" s="18">
        <v>0</v>
      </c>
      <c r="C296" s="18">
        <v>0</v>
      </c>
      <c r="D296" s="18">
        <v>0</v>
      </c>
      <c r="E296" s="18">
        <v>0</v>
      </c>
      <c r="F296" s="18"/>
      <c r="G296" s="18"/>
      <c r="H296" s="18">
        <v>0</v>
      </c>
      <c r="I296" s="17"/>
    </row>
    <row r="297" spans="1:9" x14ac:dyDescent="0.25">
      <c r="A297" s="4" t="s">
        <v>210</v>
      </c>
      <c r="B297" s="21">
        <v>0</v>
      </c>
      <c r="C297" s="24">
        <v>0</v>
      </c>
      <c r="D297" s="24">
        <v>0</v>
      </c>
      <c r="E297" s="20">
        <v>0</v>
      </c>
      <c r="F297" s="24"/>
      <c r="G297" s="24"/>
      <c r="H297" s="24">
        <v>0</v>
      </c>
      <c r="I297" s="17"/>
    </row>
    <row r="298" spans="1:9" x14ac:dyDescent="0.25">
      <c r="A298" s="28" t="s">
        <v>319</v>
      </c>
      <c r="B298" s="18">
        <v>0</v>
      </c>
      <c r="C298" s="18">
        <v>0</v>
      </c>
      <c r="D298" s="18">
        <v>0</v>
      </c>
      <c r="E298" s="18">
        <v>0</v>
      </c>
      <c r="F298" s="18"/>
      <c r="G298" s="18"/>
      <c r="H298" s="18">
        <v>0</v>
      </c>
      <c r="I298" s="17"/>
    </row>
    <row r="299" spans="1:9" x14ac:dyDescent="0.25">
      <c r="A299" s="4" t="s">
        <v>211</v>
      </c>
      <c r="B299" s="21">
        <v>17033.165909074287</v>
      </c>
      <c r="C299" s="21">
        <v>85342.190722432511</v>
      </c>
      <c r="D299" s="21">
        <v>115386.59062718594</v>
      </c>
      <c r="E299" s="20">
        <v>68.906400614754091</v>
      </c>
      <c r="F299" s="24"/>
      <c r="G299" s="24"/>
      <c r="H299" s="21">
        <v>3896.5228627500005</v>
      </c>
      <c r="I299" s="17"/>
    </row>
    <row r="300" spans="1:9" x14ac:dyDescent="0.25">
      <c r="A300" s="4" t="s">
        <v>320</v>
      </c>
      <c r="B300" s="21">
        <v>1.8587345454545455E-2</v>
      </c>
      <c r="C300" s="21">
        <v>0.59297825911461732</v>
      </c>
      <c r="D300" s="21">
        <v>2.3098569413853509</v>
      </c>
      <c r="E300" s="20">
        <v>1.2148524590163934</v>
      </c>
      <c r="F300" s="24"/>
      <c r="G300" s="24"/>
      <c r="H300" s="21">
        <v>0.37434915000000002</v>
      </c>
      <c r="I300" s="17"/>
    </row>
    <row r="301" spans="1:9" x14ac:dyDescent="0.25">
      <c r="A301" s="28" t="s">
        <v>321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7"/>
    </row>
    <row r="302" spans="1:9" x14ac:dyDescent="0.25">
      <c r="A302" s="4" t="s">
        <v>212</v>
      </c>
      <c r="B302" s="21">
        <v>0</v>
      </c>
      <c r="C302" s="21">
        <v>0</v>
      </c>
      <c r="D302" s="21">
        <v>0</v>
      </c>
      <c r="E302" s="20">
        <v>0</v>
      </c>
      <c r="F302" s="24">
        <v>0</v>
      </c>
      <c r="G302" s="24">
        <v>0</v>
      </c>
      <c r="H302" s="24">
        <v>0</v>
      </c>
      <c r="I302" s="17"/>
    </row>
    <row r="304" spans="1:9" ht="21" customHeight="1" x14ac:dyDescent="0.3">
      <c r="A304" s="1" t="s">
        <v>322</v>
      </c>
    </row>
    <row r="305" spans="1:9" x14ac:dyDescent="0.25">
      <c r="A305" s="2" t="s">
        <v>236</v>
      </c>
    </row>
    <row r="307" spans="1:9" ht="30" x14ac:dyDescent="0.25">
      <c r="B307" s="15" t="s">
        <v>323</v>
      </c>
    </row>
    <row r="308" spans="1:9" x14ac:dyDescent="0.25">
      <c r="A308" s="4" t="s">
        <v>324</v>
      </c>
      <c r="B308" s="20">
        <f>8.98265119200173*1000000</f>
        <v>8982651.1920017302</v>
      </c>
      <c r="C308" s="17"/>
    </row>
    <row r="310" spans="1:9" ht="21" customHeight="1" x14ac:dyDescent="0.3">
      <c r="A310" s="1" t="s">
        <v>325</v>
      </c>
    </row>
    <row r="312" spans="1:9" ht="30" x14ac:dyDescent="0.25">
      <c r="B312" s="15" t="s">
        <v>326</v>
      </c>
      <c r="C312" s="15" t="s">
        <v>327</v>
      </c>
      <c r="D312" s="15" t="s">
        <v>328</v>
      </c>
      <c r="E312" s="15" t="s">
        <v>329</v>
      </c>
    </row>
    <row r="313" spans="1:9" x14ac:dyDescent="0.25">
      <c r="A313" s="4" t="s">
        <v>330</v>
      </c>
      <c r="B313" s="20">
        <f>34.8872525499879*1000000</f>
        <v>34887252.549987897</v>
      </c>
      <c r="C313" s="20">
        <f>105.564004430861*1000000</f>
        <v>105564004.43086101</v>
      </c>
      <c r="D313" s="26">
        <v>0.6</v>
      </c>
      <c r="E313" s="20">
        <f>20.21241978066*1000000</f>
        <v>20212419.78066</v>
      </c>
      <c r="F313" s="17"/>
    </row>
    <row r="315" spans="1:9" ht="21" customHeight="1" x14ac:dyDescent="0.3">
      <c r="A315" s="1" t="s">
        <v>331</v>
      </c>
    </row>
    <row r="316" spans="1:9" x14ac:dyDescent="0.25">
      <c r="A316" s="2" t="s">
        <v>332</v>
      </c>
    </row>
    <row r="317" spans="1:9" x14ac:dyDescent="0.25">
      <c r="A317" s="2" t="s">
        <v>333</v>
      </c>
    </row>
    <row r="318" spans="1:9" x14ac:dyDescent="0.25">
      <c r="A318" s="2" t="s">
        <v>334</v>
      </c>
    </row>
    <row r="320" spans="1:9" ht="30" x14ac:dyDescent="0.25">
      <c r="B320" s="15" t="s">
        <v>335</v>
      </c>
      <c r="C320" s="15" t="s">
        <v>336</v>
      </c>
      <c r="D320" s="15" t="s">
        <v>337</v>
      </c>
      <c r="E320" s="15" t="s">
        <v>338</v>
      </c>
      <c r="F320" s="15" t="s">
        <v>339</v>
      </c>
      <c r="G320" s="15" t="s">
        <v>340</v>
      </c>
      <c r="H320" s="15" t="s">
        <v>341</v>
      </c>
      <c r="I320" s="15" t="s">
        <v>342</v>
      </c>
    </row>
    <row r="321" spans="1:10" x14ac:dyDescent="0.25">
      <c r="A321" s="4" t="s">
        <v>343</v>
      </c>
      <c r="B321" s="26">
        <v>0</v>
      </c>
      <c r="C321" s="26"/>
      <c r="D321" s="26"/>
      <c r="E321" s="26">
        <v>0.81</v>
      </c>
      <c r="F321" s="26"/>
      <c r="G321" s="26">
        <v>0.81</v>
      </c>
      <c r="H321" s="26">
        <v>0.95</v>
      </c>
      <c r="I321" s="26">
        <v>0.95</v>
      </c>
      <c r="J321" s="17"/>
    </row>
    <row r="322" spans="1:10" x14ac:dyDescent="0.25">
      <c r="A322" s="4" t="s">
        <v>344</v>
      </c>
      <c r="B322" s="26">
        <v>0</v>
      </c>
      <c r="C322" s="26">
        <v>0</v>
      </c>
      <c r="D322" s="26"/>
      <c r="E322" s="26">
        <v>0.81</v>
      </c>
      <c r="F322" s="26"/>
      <c r="G322" s="26">
        <v>0.81</v>
      </c>
      <c r="H322" s="26">
        <v>0.95</v>
      </c>
      <c r="I322" s="24"/>
      <c r="J322" s="17"/>
    </row>
    <row r="323" spans="1:10" x14ac:dyDescent="0.25">
      <c r="A323" s="4" t="s">
        <v>345</v>
      </c>
      <c r="B323" s="26">
        <v>0</v>
      </c>
      <c r="C323" s="26">
        <v>0.67</v>
      </c>
      <c r="D323" s="26">
        <v>0.67</v>
      </c>
      <c r="E323" s="26">
        <v>1</v>
      </c>
      <c r="F323" s="26"/>
      <c r="G323" s="26">
        <v>1</v>
      </c>
      <c r="H323" s="24"/>
      <c r="I323" s="24"/>
      <c r="J323" s="17"/>
    </row>
    <row r="324" spans="1:10" x14ac:dyDescent="0.25">
      <c r="A324" s="4" t="s">
        <v>346</v>
      </c>
      <c r="B324" s="26">
        <v>0</v>
      </c>
      <c r="C324" s="26">
        <v>0.67</v>
      </c>
      <c r="D324" s="26">
        <v>0.67</v>
      </c>
      <c r="E324" s="26">
        <v>1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347</v>
      </c>
    </row>
    <row r="328" spans="1:10" x14ac:dyDescent="0.25">
      <c r="B328" s="15" t="s">
        <v>348</v>
      </c>
      <c r="C328" s="15" t="s">
        <v>349</v>
      </c>
      <c r="D328" s="15" t="s">
        <v>350</v>
      </c>
    </row>
    <row r="329" spans="1:10" x14ac:dyDescent="0.25">
      <c r="A329" s="4" t="s">
        <v>182</v>
      </c>
      <c r="B329" s="26">
        <v>8.8555072718469185E-2</v>
      </c>
      <c r="C329" s="26">
        <v>0.46128307931440848</v>
      </c>
      <c r="D329" s="26">
        <v>0.45016184796712233</v>
      </c>
      <c r="E329" s="17"/>
    </row>
    <row r="330" spans="1:10" x14ac:dyDescent="0.25">
      <c r="A330" s="4" t="s">
        <v>183</v>
      </c>
      <c r="B330" s="26">
        <v>0.10744117220636502</v>
      </c>
      <c r="C330" s="26">
        <v>0.54134732277130881</v>
      </c>
      <c r="D330" s="26">
        <v>0.35121150502232618</v>
      </c>
      <c r="E330" s="17"/>
    </row>
    <row r="331" spans="1:10" x14ac:dyDescent="0.25">
      <c r="A331" s="4" t="s">
        <v>228</v>
      </c>
      <c r="B331" s="26">
        <v>1.3457800006096276E-3</v>
      </c>
      <c r="C331" s="26">
        <v>0.10887875607294449</v>
      </c>
      <c r="D331" s="26">
        <v>0.88977546392644591</v>
      </c>
      <c r="E331" s="17"/>
    </row>
    <row r="332" spans="1:10" x14ac:dyDescent="0.25">
      <c r="A332" s="4" t="s">
        <v>184</v>
      </c>
      <c r="B332" s="26">
        <v>6.2829392495848249E-2</v>
      </c>
      <c r="C332" s="26">
        <v>0.56398179418562744</v>
      </c>
      <c r="D332" s="26">
        <v>0.37318881331852438</v>
      </c>
      <c r="E332" s="17"/>
    </row>
    <row r="333" spans="1:10" x14ac:dyDescent="0.25">
      <c r="A333" s="4" t="s">
        <v>185</v>
      </c>
      <c r="B333" s="26">
        <v>8.2466725996328746E-2</v>
      </c>
      <c r="C333" s="26">
        <v>0.62794207930830326</v>
      </c>
      <c r="D333" s="26">
        <v>0.28959119469536798</v>
      </c>
      <c r="E333" s="17"/>
    </row>
    <row r="334" spans="1:10" x14ac:dyDescent="0.25">
      <c r="A334" s="4" t="s">
        <v>229</v>
      </c>
      <c r="B334" s="26">
        <v>2.1694223164720138E-3</v>
      </c>
      <c r="C334" s="26">
        <v>0.1191021685284787</v>
      </c>
      <c r="D334" s="26">
        <v>0.87872840915504924</v>
      </c>
      <c r="E334" s="17"/>
    </row>
    <row r="335" spans="1:10" x14ac:dyDescent="0.25">
      <c r="A335" s="4" t="s">
        <v>186</v>
      </c>
      <c r="B335" s="26">
        <v>8.3002155127092456E-2</v>
      </c>
      <c r="C335" s="26">
        <v>0.62055720983857132</v>
      </c>
      <c r="D335" s="26">
        <v>0.29644063503433621</v>
      </c>
      <c r="E335" s="17"/>
    </row>
    <row r="336" spans="1:10" x14ac:dyDescent="0.25">
      <c r="A336" s="4" t="s">
        <v>187</v>
      </c>
      <c r="B336" s="26">
        <v>8.2365949677054684E-2</v>
      </c>
      <c r="C336" s="26">
        <v>0.6189862425729733</v>
      </c>
      <c r="D336" s="26">
        <v>0.29864780774997207</v>
      </c>
      <c r="E336" s="17"/>
    </row>
    <row r="337" spans="1:5" x14ac:dyDescent="0.25">
      <c r="A337" s="4" t="s">
        <v>207</v>
      </c>
      <c r="B337" s="26">
        <v>8.0236419125790145E-2</v>
      </c>
      <c r="C337" s="26">
        <v>0.64682409747803271</v>
      </c>
      <c r="D337" s="26">
        <v>0.27293948339617713</v>
      </c>
      <c r="E337" s="17"/>
    </row>
    <row r="339" spans="1:5" ht="21" customHeight="1" x14ac:dyDescent="0.3">
      <c r="A339" s="1" t="s">
        <v>351</v>
      </c>
    </row>
    <row r="341" spans="1:5" x14ac:dyDescent="0.25">
      <c r="B341" s="15" t="s">
        <v>348</v>
      </c>
      <c r="C341" s="15" t="s">
        <v>349</v>
      </c>
      <c r="D341" s="15" t="s">
        <v>350</v>
      </c>
    </row>
    <row r="342" spans="1:5" x14ac:dyDescent="0.25">
      <c r="A342" s="4" t="s">
        <v>183</v>
      </c>
      <c r="B342" s="26">
        <v>0</v>
      </c>
      <c r="C342" s="26">
        <v>2.116687822710871E-2</v>
      </c>
      <c r="D342" s="26">
        <v>0.97883312177289128</v>
      </c>
      <c r="E342" s="17"/>
    </row>
    <row r="343" spans="1:5" x14ac:dyDescent="0.25">
      <c r="A343" s="4" t="s">
        <v>185</v>
      </c>
      <c r="B343" s="26">
        <v>0</v>
      </c>
      <c r="C343" s="26">
        <v>2.7402635574841305E-2</v>
      </c>
      <c r="D343" s="26">
        <v>0.97259736442515876</v>
      </c>
      <c r="E343" s="17"/>
    </row>
    <row r="344" spans="1:5" x14ac:dyDescent="0.25">
      <c r="A344" s="4" t="s">
        <v>186</v>
      </c>
      <c r="B344" s="26">
        <v>0</v>
      </c>
      <c r="C344" s="26">
        <v>0</v>
      </c>
      <c r="D344" s="26">
        <v>1</v>
      </c>
      <c r="E344" s="17"/>
    </row>
    <row r="345" spans="1:5" x14ac:dyDescent="0.25">
      <c r="A345" s="4" t="s">
        <v>187</v>
      </c>
      <c r="B345" s="26">
        <v>0</v>
      </c>
      <c r="C345" s="26">
        <v>0</v>
      </c>
      <c r="D345" s="26">
        <v>1</v>
      </c>
      <c r="E345" s="17"/>
    </row>
    <row r="346" spans="1:5" x14ac:dyDescent="0.25">
      <c r="A346" s="4" t="s">
        <v>207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352</v>
      </c>
    </row>
    <row r="350" spans="1:5" x14ac:dyDescent="0.25">
      <c r="B350" s="15" t="s">
        <v>353</v>
      </c>
      <c r="C350" s="15" t="s">
        <v>354</v>
      </c>
      <c r="D350" s="15" t="s">
        <v>350</v>
      </c>
    </row>
    <row r="351" spans="1:5" x14ac:dyDescent="0.25">
      <c r="A351" s="4" t="s">
        <v>230</v>
      </c>
      <c r="B351" s="26">
        <v>1.725969176002861E-2</v>
      </c>
      <c r="C351" s="26">
        <v>0.43559897197894054</v>
      </c>
      <c r="D351" s="26">
        <v>0.54714133626103079</v>
      </c>
      <c r="E351" s="17"/>
    </row>
    <row r="352" spans="1:5" x14ac:dyDescent="0.25">
      <c r="A352" s="4" t="s">
        <v>231</v>
      </c>
      <c r="B352" s="26">
        <v>3.2782025315657097E-2</v>
      </c>
      <c r="C352" s="26">
        <v>0.15175403213098396</v>
      </c>
      <c r="D352" s="26">
        <v>0.81546394255335886</v>
      </c>
      <c r="E352" s="17"/>
    </row>
    <row r="353" spans="1:5" x14ac:dyDescent="0.25">
      <c r="A353" s="4" t="s">
        <v>232</v>
      </c>
      <c r="B353" s="26">
        <v>5.8673408358170503E-2</v>
      </c>
      <c r="C353" s="26">
        <v>0.25591149899050825</v>
      </c>
      <c r="D353" s="26">
        <v>0.68541509265132128</v>
      </c>
      <c r="E353" s="17"/>
    </row>
    <row r="354" spans="1:5" x14ac:dyDescent="0.25">
      <c r="A354" s="4" t="s">
        <v>233</v>
      </c>
      <c r="B354" s="26">
        <v>2.4492897224272499E-3</v>
      </c>
      <c r="C354" s="26">
        <v>0.69957381670812457</v>
      </c>
      <c r="D354" s="26">
        <v>0.29797689356944818</v>
      </c>
      <c r="E354" s="17"/>
    </row>
    <row r="356" spans="1:5" ht="21" customHeight="1" x14ac:dyDescent="0.3">
      <c r="A356" s="1" t="s">
        <v>355</v>
      </c>
    </row>
    <row r="357" spans="1:5" x14ac:dyDescent="0.25">
      <c r="A357" s="2" t="s">
        <v>356</v>
      </c>
    </row>
    <row r="358" spans="1:5" x14ac:dyDescent="0.25">
      <c r="A358" s="2" t="s">
        <v>357</v>
      </c>
    </row>
    <row r="360" spans="1:5" x14ac:dyDescent="0.25">
      <c r="B360" s="15" t="s">
        <v>353</v>
      </c>
      <c r="C360" s="15" t="s">
        <v>354</v>
      </c>
      <c r="D360" s="15" t="s">
        <v>350</v>
      </c>
    </row>
    <row r="361" spans="1:5" x14ac:dyDescent="0.25">
      <c r="A361" s="4" t="s">
        <v>358</v>
      </c>
      <c r="B361" s="29">
        <v>152</v>
      </c>
      <c r="C361" s="29">
        <v>3828</v>
      </c>
      <c r="D361" s="29">
        <v>4804</v>
      </c>
      <c r="E361" s="17"/>
    </row>
    <row r="363" spans="1:5" ht="21" customHeight="1" x14ac:dyDescent="0.3">
      <c r="A363" s="1" t="s">
        <v>359</v>
      </c>
    </row>
    <row r="364" spans="1:5" x14ac:dyDescent="0.25">
      <c r="A364" s="2" t="s">
        <v>356</v>
      </c>
    </row>
    <row r="365" spans="1:5" x14ac:dyDescent="0.25">
      <c r="A365" s="2" t="s">
        <v>357</v>
      </c>
    </row>
    <row r="367" spans="1:5" x14ac:dyDescent="0.25">
      <c r="B367" s="15" t="s">
        <v>348</v>
      </c>
      <c r="C367" s="15" t="s">
        <v>349</v>
      </c>
      <c r="D367" s="15" t="s">
        <v>350</v>
      </c>
    </row>
    <row r="368" spans="1:5" x14ac:dyDescent="0.25">
      <c r="A368" s="4" t="s">
        <v>358</v>
      </c>
      <c r="B368" s="29">
        <v>524</v>
      </c>
      <c r="C368" s="29">
        <v>3456</v>
      </c>
      <c r="D368" s="29">
        <v>4804</v>
      </c>
      <c r="E368" s="17"/>
    </row>
    <row r="370" spans="1:6" ht="21" customHeight="1" x14ac:dyDescent="0.3">
      <c r="A370" s="1" t="s">
        <v>360</v>
      </c>
    </row>
    <row r="371" spans="1:6" x14ac:dyDescent="0.25">
      <c r="A371" s="2" t="s">
        <v>361</v>
      </c>
    </row>
    <row r="373" spans="1:6" x14ac:dyDescent="0.25">
      <c r="B373" s="30" t="s">
        <v>362</v>
      </c>
      <c r="C373" s="30"/>
      <c r="D373" s="30"/>
    </row>
    <row r="374" spans="1:6" ht="30" x14ac:dyDescent="0.25">
      <c r="B374" s="15" t="s">
        <v>348</v>
      </c>
      <c r="C374" s="15" t="s">
        <v>349</v>
      </c>
      <c r="D374" s="15" t="s">
        <v>350</v>
      </c>
      <c r="E374" s="15" t="s">
        <v>363</v>
      </c>
    </row>
    <row r="375" spans="1:6" x14ac:dyDescent="0.25">
      <c r="A375" s="4" t="s">
        <v>150</v>
      </c>
      <c r="B375" s="26">
        <v>1</v>
      </c>
      <c r="C375" s="26">
        <v>0</v>
      </c>
      <c r="D375" s="26">
        <v>0</v>
      </c>
      <c r="E375" s="26">
        <v>0.84335344660201395</v>
      </c>
      <c r="F375" s="17"/>
    </row>
    <row r="376" spans="1:6" x14ac:dyDescent="0.25">
      <c r="A376" s="4" t="s">
        <v>151</v>
      </c>
      <c r="B376" s="26">
        <v>0.88816984199382809</v>
      </c>
      <c r="C376" s="26">
        <v>7.787720458857357E-2</v>
      </c>
      <c r="D376" s="26">
        <v>3.395295341759829E-2</v>
      </c>
      <c r="E376" s="26">
        <v>0.7697757813825864</v>
      </c>
      <c r="F376" s="17"/>
    </row>
    <row r="377" spans="1:6" x14ac:dyDescent="0.25">
      <c r="A377" s="4" t="s">
        <v>152</v>
      </c>
      <c r="B377" s="26">
        <v>0.88816984199382809</v>
      </c>
      <c r="C377" s="26">
        <v>7.787720458857357E-2</v>
      </c>
      <c r="D377" s="26">
        <v>3.395295341759829E-2</v>
      </c>
      <c r="E377" s="26">
        <v>0.7697757813825864</v>
      </c>
      <c r="F377" s="17"/>
    </row>
    <row r="378" spans="1:6" x14ac:dyDescent="0.25">
      <c r="A378" s="4" t="s">
        <v>153</v>
      </c>
      <c r="B378" s="26">
        <v>0.63144923744296089</v>
      </c>
      <c r="C378" s="26">
        <v>0.29579028304608829</v>
      </c>
      <c r="D378" s="26">
        <v>7.2760479510950812E-2</v>
      </c>
      <c r="E378" s="26">
        <v>0.5116823565128984</v>
      </c>
      <c r="F378" s="17"/>
    </row>
    <row r="379" spans="1:6" x14ac:dyDescent="0.25">
      <c r="A379" s="4" t="s">
        <v>154</v>
      </c>
      <c r="B379" s="26">
        <v>0.63144923744296089</v>
      </c>
      <c r="C379" s="26">
        <v>0.29579028304608829</v>
      </c>
      <c r="D379" s="26">
        <v>7.2760479510950812E-2</v>
      </c>
      <c r="E379" s="26">
        <v>0.5116823565128984</v>
      </c>
      <c r="F379" s="17"/>
    </row>
    <row r="380" spans="1:6" x14ac:dyDescent="0.25">
      <c r="A380" s="4" t="s">
        <v>159</v>
      </c>
      <c r="B380" s="26">
        <v>0.88816984199382809</v>
      </c>
      <c r="C380" s="26">
        <v>7.787720458857357E-2</v>
      </c>
      <c r="D380" s="26">
        <v>3.395295341759829E-2</v>
      </c>
      <c r="E380" s="26">
        <v>0.7697757813825864</v>
      </c>
      <c r="F380" s="17"/>
    </row>
    <row r="381" spans="1:6" x14ac:dyDescent="0.25">
      <c r="A381" s="4" t="s">
        <v>155</v>
      </c>
      <c r="B381" s="26">
        <v>0.63144923744296089</v>
      </c>
      <c r="C381" s="26">
        <v>0.29579028304608829</v>
      </c>
      <c r="D381" s="26">
        <v>7.2760479510950812E-2</v>
      </c>
      <c r="E381" s="26">
        <v>0.5116823565128984</v>
      </c>
      <c r="F381" s="17"/>
    </row>
    <row r="382" spans="1:6" x14ac:dyDescent="0.25">
      <c r="A382" s="4" t="s">
        <v>156</v>
      </c>
      <c r="B382" s="26">
        <v>0.63144923744296089</v>
      </c>
      <c r="C382" s="26">
        <v>0.29579028304608829</v>
      </c>
      <c r="D382" s="26">
        <v>7.2760479510950812E-2</v>
      </c>
      <c r="E382" s="26">
        <v>0.5116823565128984</v>
      </c>
      <c r="F382" s="17"/>
    </row>
    <row r="383" spans="1:6" x14ac:dyDescent="0.25">
      <c r="A383" s="4" t="s">
        <v>157</v>
      </c>
      <c r="B383" s="26">
        <v>0.63144923744296089</v>
      </c>
      <c r="C383" s="26">
        <v>0.29579028304608829</v>
      </c>
      <c r="D383" s="26">
        <v>7.2760479510950812E-2</v>
      </c>
      <c r="E383" s="26">
        <v>0.5116823565128984</v>
      </c>
      <c r="F383" s="17"/>
    </row>
    <row r="385" spans="1:11" ht="21" customHeight="1" x14ac:dyDescent="0.3">
      <c r="A385" s="1" t="s">
        <v>364</v>
      </c>
    </row>
    <row r="386" spans="1:11" x14ac:dyDescent="0.25">
      <c r="A386" s="2" t="s">
        <v>365</v>
      </c>
    </row>
    <row r="387" spans="1:11" x14ac:dyDescent="0.25">
      <c r="A387" s="2" t="s">
        <v>366</v>
      </c>
    </row>
    <row r="389" spans="1:11" x14ac:dyDescent="0.25">
      <c r="B389" s="15" t="s">
        <v>150</v>
      </c>
      <c r="C389" s="15" t="s">
        <v>151</v>
      </c>
      <c r="D389" s="15" t="s">
        <v>152</v>
      </c>
      <c r="E389" s="15" t="s">
        <v>153</v>
      </c>
      <c r="F389" s="15" t="s">
        <v>154</v>
      </c>
      <c r="G389" s="15" t="s">
        <v>159</v>
      </c>
      <c r="H389" s="15" t="s">
        <v>155</v>
      </c>
      <c r="I389" s="15" t="s">
        <v>156</v>
      </c>
      <c r="J389" s="15" t="s">
        <v>157</v>
      </c>
    </row>
    <row r="390" spans="1:11" x14ac:dyDescent="0.25">
      <c r="A390" s="4" t="s">
        <v>367</v>
      </c>
      <c r="B390" s="21">
        <v>0.19249753502767433</v>
      </c>
      <c r="C390" s="21">
        <v>0.19249753502767433</v>
      </c>
      <c r="D390" s="21">
        <v>0.19249753502767433</v>
      </c>
      <c r="E390" s="21">
        <v>0.19249753502767433</v>
      </c>
      <c r="F390" s="21">
        <v>0.19249753502767433</v>
      </c>
      <c r="G390" s="21">
        <v>0.19249753502767433</v>
      </c>
      <c r="H390" s="21">
        <v>0.19249753502767433</v>
      </c>
      <c r="I390" s="21">
        <v>0.19249753502767433</v>
      </c>
      <c r="J390" s="21">
        <v>0.19249753502767433</v>
      </c>
      <c r="K390" s="17"/>
    </row>
    <row r="392" spans="1:11" ht="21" customHeight="1" x14ac:dyDescent="0.3">
      <c r="A392" s="1" t="s">
        <v>368</v>
      </c>
    </row>
    <row r="394" spans="1:11" ht="45" x14ac:dyDescent="0.25">
      <c r="B394" s="15" t="s">
        <v>369</v>
      </c>
      <c r="C394" s="15" t="s">
        <v>370</v>
      </c>
      <c r="D394" s="15" t="s">
        <v>371</v>
      </c>
      <c r="E394" s="15" t="s">
        <v>372</v>
      </c>
      <c r="F394" s="15" t="s">
        <v>373</v>
      </c>
      <c r="G394" s="15" t="s">
        <v>374</v>
      </c>
      <c r="H394" s="15" t="s">
        <v>375</v>
      </c>
      <c r="I394" s="15" t="s">
        <v>376</v>
      </c>
    </row>
    <row r="395" spans="1:11" x14ac:dyDescent="0.25">
      <c r="A395" s="4" t="s">
        <v>182</v>
      </c>
      <c r="B395" s="20"/>
      <c r="C395" s="21">
        <v>2.6960000000000002</v>
      </c>
      <c r="D395" s="24"/>
      <c r="E395" s="24"/>
      <c r="F395" s="31">
        <v>5.17</v>
      </c>
      <c r="G395" s="24"/>
      <c r="H395" s="24"/>
      <c r="I395" s="24"/>
      <c r="J395" s="17"/>
    </row>
    <row r="396" spans="1:11" x14ac:dyDescent="0.25">
      <c r="A396" s="4" t="s">
        <v>183</v>
      </c>
      <c r="B396" s="20"/>
      <c r="C396" s="21">
        <v>3.0350000000000001</v>
      </c>
      <c r="D396" s="21">
        <v>1.4339999999999999</v>
      </c>
      <c r="E396" s="24"/>
      <c r="F396" s="31">
        <v>5.17</v>
      </c>
      <c r="G396" s="24"/>
      <c r="H396" s="24"/>
      <c r="I396" s="24"/>
      <c r="J396" s="17"/>
    </row>
    <row r="397" spans="1:11" x14ac:dyDescent="0.25">
      <c r="A397" s="4" t="s">
        <v>228</v>
      </c>
      <c r="B397" s="20"/>
      <c r="C397" s="21">
        <v>1.4159999999999999</v>
      </c>
      <c r="D397" s="24"/>
      <c r="E397" s="24"/>
      <c r="F397" s="24"/>
      <c r="G397" s="24"/>
      <c r="H397" s="24"/>
      <c r="I397" s="24"/>
      <c r="J397" s="17"/>
    </row>
    <row r="398" spans="1:11" x14ac:dyDescent="0.25">
      <c r="A398" s="4" t="s">
        <v>184</v>
      </c>
      <c r="B398" s="20"/>
      <c r="C398" s="21">
        <v>2.4590000000000001</v>
      </c>
      <c r="D398" s="24"/>
      <c r="E398" s="24"/>
      <c r="F398" s="31">
        <v>8.3699999999999992</v>
      </c>
      <c r="G398" s="24"/>
      <c r="H398" s="24"/>
      <c r="I398" s="24"/>
      <c r="J398" s="17"/>
    </row>
    <row r="399" spans="1:11" x14ac:dyDescent="0.25">
      <c r="A399" s="4" t="s">
        <v>185</v>
      </c>
      <c r="B399" s="20"/>
      <c r="C399" s="21">
        <v>2.66</v>
      </c>
      <c r="D399" s="21">
        <v>1.429</v>
      </c>
      <c r="E399" s="24"/>
      <c r="F399" s="31">
        <v>8.3699999999999992</v>
      </c>
      <c r="G399" s="24"/>
      <c r="H399" s="24"/>
      <c r="I399" s="24"/>
      <c r="J399" s="17"/>
    </row>
    <row r="400" spans="1:11" x14ac:dyDescent="0.25">
      <c r="A400" s="4" t="s">
        <v>229</v>
      </c>
      <c r="B400" s="20"/>
      <c r="C400" s="21">
        <v>1.4239999999999999</v>
      </c>
      <c r="D400" s="24"/>
      <c r="E400" s="24"/>
      <c r="F400" s="24"/>
      <c r="G400" s="24"/>
      <c r="H400" s="24"/>
      <c r="I400" s="24"/>
      <c r="J400" s="17"/>
    </row>
    <row r="401" spans="1:10" x14ac:dyDescent="0.25">
      <c r="A401" s="4" t="s">
        <v>186</v>
      </c>
      <c r="B401" s="20"/>
      <c r="C401" s="21">
        <v>2.5179999999999998</v>
      </c>
      <c r="D401" s="21">
        <v>1.403</v>
      </c>
      <c r="E401" s="24"/>
      <c r="F401" s="31">
        <v>37.15</v>
      </c>
      <c r="G401" s="24"/>
      <c r="H401" s="24"/>
      <c r="I401" s="24"/>
      <c r="J401" s="17"/>
    </row>
    <row r="402" spans="1:10" x14ac:dyDescent="0.25">
      <c r="A402" s="4" t="s">
        <v>187</v>
      </c>
      <c r="B402" s="20"/>
      <c r="C402" s="21">
        <v>2.39</v>
      </c>
      <c r="D402" s="21">
        <v>1.39</v>
      </c>
      <c r="E402" s="24"/>
      <c r="F402" s="31">
        <v>25.77</v>
      </c>
      <c r="G402" s="24"/>
      <c r="H402" s="24"/>
      <c r="I402" s="24"/>
      <c r="J402" s="17"/>
    </row>
    <row r="403" spans="1:10" x14ac:dyDescent="0.25">
      <c r="A403" s="4" t="s">
        <v>207</v>
      </c>
      <c r="B403" s="20"/>
      <c r="C403" s="21">
        <v>1.9339999999999999</v>
      </c>
      <c r="D403" s="21">
        <v>1.337</v>
      </c>
      <c r="E403" s="24"/>
      <c r="F403" s="31">
        <v>172.89</v>
      </c>
      <c r="G403" s="24"/>
      <c r="H403" s="24"/>
      <c r="I403" s="24"/>
      <c r="J403" s="17"/>
    </row>
    <row r="404" spans="1:10" x14ac:dyDescent="0.25">
      <c r="A404" s="4" t="s">
        <v>188</v>
      </c>
      <c r="B404" s="20"/>
      <c r="C404" s="21">
        <v>13.893000000000001</v>
      </c>
      <c r="D404" s="21">
        <v>1.806</v>
      </c>
      <c r="E404" s="21">
        <v>1.42</v>
      </c>
      <c r="F404" s="31">
        <v>5.17</v>
      </c>
      <c r="G404" s="24"/>
      <c r="H404" s="24"/>
      <c r="I404" s="24"/>
      <c r="J404" s="17"/>
    </row>
    <row r="405" spans="1:10" x14ac:dyDescent="0.25">
      <c r="A405" s="4" t="s">
        <v>189</v>
      </c>
      <c r="B405" s="20"/>
      <c r="C405" s="21">
        <v>14.143000000000001</v>
      </c>
      <c r="D405" s="21">
        <v>1.8169999999999999</v>
      </c>
      <c r="E405" s="21">
        <v>1.423</v>
      </c>
      <c r="F405" s="31">
        <v>8.3699999999999992</v>
      </c>
      <c r="G405" s="24"/>
      <c r="H405" s="24"/>
      <c r="I405" s="24"/>
      <c r="J405" s="17"/>
    </row>
    <row r="406" spans="1:10" x14ac:dyDescent="0.25">
      <c r="A406" s="4" t="s">
        <v>190</v>
      </c>
      <c r="B406" s="20"/>
      <c r="C406" s="21">
        <v>10.317</v>
      </c>
      <c r="D406" s="21">
        <v>1.617</v>
      </c>
      <c r="E406" s="21">
        <v>1.3759999999999999</v>
      </c>
      <c r="F406" s="31">
        <v>11.81</v>
      </c>
      <c r="G406" s="31">
        <v>3.05</v>
      </c>
      <c r="H406" s="31">
        <v>6.95</v>
      </c>
      <c r="I406" s="21">
        <v>0.151</v>
      </c>
      <c r="J406" s="17"/>
    </row>
    <row r="407" spans="1:10" x14ac:dyDescent="0.25">
      <c r="A407" s="4" t="s">
        <v>191</v>
      </c>
      <c r="B407" s="20"/>
      <c r="C407" s="21">
        <v>8.2810000000000006</v>
      </c>
      <c r="D407" s="21">
        <v>1.48</v>
      </c>
      <c r="E407" s="21">
        <v>1.347</v>
      </c>
      <c r="F407" s="31">
        <v>9.09</v>
      </c>
      <c r="G407" s="31">
        <v>3.27</v>
      </c>
      <c r="H407" s="31">
        <v>6.72</v>
      </c>
      <c r="I407" s="21">
        <v>0.107</v>
      </c>
      <c r="J407" s="17"/>
    </row>
    <row r="408" spans="1:10" x14ac:dyDescent="0.25">
      <c r="A408" s="4" t="s">
        <v>208</v>
      </c>
      <c r="B408" s="20"/>
      <c r="C408" s="21">
        <v>6.4630000000000001</v>
      </c>
      <c r="D408" s="21">
        <v>1.383</v>
      </c>
      <c r="E408" s="21">
        <v>1.3240000000000001</v>
      </c>
      <c r="F408" s="31">
        <v>90.23</v>
      </c>
      <c r="G408" s="31">
        <v>2.78</v>
      </c>
      <c r="H408" s="31">
        <v>6.82</v>
      </c>
      <c r="I408" s="21">
        <v>7.1999999999999995E-2</v>
      </c>
      <c r="J408" s="17"/>
    </row>
    <row r="409" spans="1:10" x14ac:dyDescent="0.25">
      <c r="A409" s="4" t="s">
        <v>230</v>
      </c>
      <c r="B409" s="20"/>
      <c r="C409" s="21">
        <v>2.976</v>
      </c>
      <c r="D409" s="24"/>
      <c r="E409" s="24"/>
      <c r="F409" s="24"/>
      <c r="G409" s="24"/>
      <c r="H409" s="24"/>
      <c r="I409" s="24"/>
      <c r="J409" s="17"/>
    </row>
    <row r="410" spans="1:10" x14ac:dyDescent="0.25">
      <c r="A410" s="4" t="s">
        <v>231</v>
      </c>
      <c r="B410" s="20"/>
      <c r="C410" s="21">
        <v>3.3479999999999999</v>
      </c>
      <c r="D410" s="24"/>
      <c r="E410" s="24"/>
      <c r="F410" s="24"/>
      <c r="G410" s="24"/>
      <c r="H410" s="24"/>
      <c r="I410" s="24"/>
      <c r="J410" s="17"/>
    </row>
    <row r="411" spans="1:10" x14ac:dyDescent="0.25">
      <c r="A411" s="4" t="s">
        <v>232</v>
      </c>
      <c r="B411" s="20"/>
      <c r="C411" s="21">
        <v>4.2229999999999999</v>
      </c>
      <c r="D411" s="24"/>
      <c r="E411" s="24"/>
      <c r="F411" s="24"/>
      <c r="G411" s="24"/>
      <c r="H411" s="24"/>
      <c r="I411" s="24"/>
      <c r="J411" s="17"/>
    </row>
    <row r="412" spans="1:10" x14ac:dyDescent="0.25">
      <c r="A412" s="4" t="s">
        <v>233</v>
      </c>
      <c r="B412" s="20"/>
      <c r="C412" s="21">
        <v>2.6160000000000001</v>
      </c>
      <c r="D412" s="24"/>
      <c r="E412" s="24"/>
      <c r="F412" s="24"/>
      <c r="G412" s="24"/>
      <c r="H412" s="24"/>
      <c r="I412" s="24"/>
      <c r="J412" s="17"/>
    </row>
    <row r="413" spans="1:10" x14ac:dyDescent="0.25">
      <c r="A413" s="4" t="s">
        <v>234</v>
      </c>
      <c r="B413" s="20"/>
      <c r="C413" s="21">
        <v>33.837000000000003</v>
      </c>
      <c r="D413" s="21">
        <v>2.6640000000000001</v>
      </c>
      <c r="E413" s="21">
        <v>2.2469999999999999</v>
      </c>
      <c r="F413" s="24"/>
      <c r="G413" s="24"/>
      <c r="H413" s="24"/>
      <c r="I413" s="24"/>
      <c r="J413" s="17"/>
    </row>
  </sheetData>
  <sheetProtection sheet="1" objects="1" scenarios="1"/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South West in April 19 (no data version)</v>
      </c>
    </row>
    <row r="2" spans="1:10" x14ac:dyDescent="0.25">
      <c r="A2" s="2" t="s">
        <v>378</v>
      </c>
    </row>
    <row r="3" spans="1:10" x14ac:dyDescent="0.25">
      <c r="A3" s="2" t="s">
        <v>379</v>
      </c>
    </row>
    <row r="5" spans="1:10" ht="21" customHeight="1" x14ac:dyDescent="0.3">
      <c r="A5" s="1" t="s">
        <v>380</v>
      </c>
    </row>
    <row r="6" spans="1:10" x14ac:dyDescent="0.25">
      <c r="A6" s="2" t="s">
        <v>381</v>
      </c>
    </row>
    <row r="7" spans="1:10" x14ac:dyDescent="0.25">
      <c r="A7" s="32" t="s">
        <v>382</v>
      </c>
    </row>
    <row r="8" spans="1:10" x14ac:dyDescent="0.25">
      <c r="A8" s="32" t="s">
        <v>383</v>
      </c>
    </row>
    <row r="9" spans="1:10" ht="30" x14ac:dyDescent="0.25">
      <c r="A9" s="33" t="s">
        <v>384</v>
      </c>
      <c r="B9" s="34" t="s">
        <v>385</v>
      </c>
      <c r="C9" s="34"/>
      <c r="D9" s="34"/>
      <c r="E9" s="34"/>
      <c r="F9" s="34"/>
      <c r="G9" s="34"/>
      <c r="H9" s="34"/>
      <c r="I9" s="33" t="s">
        <v>386</v>
      </c>
    </row>
    <row r="10" spans="1:10" ht="30" x14ac:dyDescent="0.25">
      <c r="A10" s="33" t="s">
        <v>387</v>
      </c>
      <c r="B10" s="34" t="s">
        <v>388</v>
      </c>
      <c r="C10" s="34"/>
      <c r="D10" s="34"/>
      <c r="E10" s="34"/>
      <c r="F10" s="34"/>
      <c r="G10" s="34"/>
      <c r="H10" s="34"/>
      <c r="I10" s="33" t="s">
        <v>389</v>
      </c>
    </row>
    <row r="12" spans="1:10" x14ac:dyDescent="0.25">
      <c r="B12" s="35" t="s">
        <v>390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151</v>
      </c>
      <c r="C13" s="15" t="s">
        <v>152</v>
      </c>
      <c r="D13" s="15" t="s">
        <v>153</v>
      </c>
      <c r="E13" s="15" t="s">
        <v>154</v>
      </c>
      <c r="F13" s="15" t="s">
        <v>155</v>
      </c>
      <c r="G13" s="15" t="s">
        <v>156</v>
      </c>
      <c r="H13" s="15" t="s">
        <v>157</v>
      </c>
      <c r="I13" s="15" t="s">
        <v>215</v>
      </c>
    </row>
    <row r="14" spans="1:10" x14ac:dyDescent="0.25">
      <c r="A14" s="4" t="s">
        <v>182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1.0620000000000001</v>
      </c>
      <c r="J14" s="17"/>
    </row>
    <row r="15" spans="1:10" x14ac:dyDescent="0.25">
      <c r="A15" s="4" t="s">
        <v>183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1.0620000000000001</v>
      </c>
      <c r="J15" s="17"/>
    </row>
    <row r="16" spans="1:10" x14ac:dyDescent="0.25">
      <c r="A16" s="4" t="s">
        <v>228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1.0620000000000001</v>
      </c>
      <c r="J16" s="17"/>
    </row>
    <row r="17" spans="1:10" x14ac:dyDescent="0.25">
      <c r="A17" s="4" t="s">
        <v>184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1.0620000000000001</v>
      </c>
      <c r="J17" s="17"/>
    </row>
    <row r="18" spans="1:10" x14ac:dyDescent="0.25">
      <c r="A18" s="4" t="s">
        <v>185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1.0620000000000001</v>
      </c>
      <c r="J18" s="17"/>
    </row>
    <row r="19" spans="1:10" x14ac:dyDescent="0.25">
      <c r="A19" s="4" t="s">
        <v>229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1.0620000000000001</v>
      </c>
      <c r="J19" s="17"/>
    </row>
    <row r="20" spans="1:10" x14ac:dyDescent="0.25">
      <c r="A20" s="4" t="s">
        <v>186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1.0620000000000001</v>
      </c>
      <c r="J20" s="17"/>
    </row>
    <row r="21" spans="1:10" x14ac:dyDescent="0.25">
      <c r="A21" s="4" t="s">
        <v>187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1.0489999999999999</v>
      </c>
      <c r="J21" s="17"/>
    </row>
    <row r="22" spans="1:10" x14ac:dyDescent="0.25">
      <c r="A22" s="4" t="s">
        <v>207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1.038</v>
      </c>
      <c r="J22" s="17"/>
    </row>
    <row r="23" spans="1:10" x14ac:dyDescent="0.25">
      <c r="A23" s="4" t="s">
        <v>188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1.0620000000000001</v>
      </c>
      <c r="J23" s="17"/>
    </row>
    <row r="24" spans="1:10" x14ac:dyDescent="0.25">
      <c r="A24" s="4" t="s">
        <v>189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1.0620000000000001</v>
      </c>
      <c r="J24" s="17"/>
    </row>
    <row r="25" spans="1:10" x14ac:dyDescent="0.25">
      <c r="A25" s="4" t="s">
        <v>190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1.0620000000000001</v>
      </c>
      <c r="J25" s="17"/>
    </row>
    <row r="26" spans="1:10" x14ac:dyDescent="0.25">
      <c r="A26" s="4" t="s">
        <v>191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1.0489999999999999</v>
      </c>
      <c r="J26" s="17"/>
    </row>
    <row r="27" spans="1:10" x14ac:dyDescent="0.25">
      <c r="A27" s="4" t="s">
        <v>208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1.038</v>
      </c>
      <c r="J27" s="17"/>
    </row>
    <row r="28" spans="1:10" x14ac:dyDescent="0.25">
      <c r="A28" s="4" t="s">
        <v>230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1.0620000000000001</v>
      </c>
      <c r="J28" s="17"/>
    </row>
    <row r="29" spans="1:10" x14ac:dyDescent="0.25">
      <c r="A29" s="4" t="s">
        <v>231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1.0620000000000001</v>
      </c>
      <c r="J29" s="17"/>
    </row>
    <row r="30" spans="1:10" x14ac:dyDescent="0.25">
      <c r="A30" s="4" t="s">
        <v>232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1.0620000000000001</v>
      </c>
      <c r="J30" s="17"/>
    </row>
    <row r="31" spans="1:10" x14ac:dyDescent="0.25">
      <c r="A31" s="4" t="s">
        <v>233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1.0620000000000001</v>
      </c>
      <c r="J31" s="17"/>
    </row>
    <row r="32" spans="1:10" x14ac:dyDescent="0.25">
      <c r="A32" s="4" t="s">
        <v>234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1.0620000000000001</v>
      </c>
      <c r="J32" s="17"/>
    </row>
    <row r="33" spans="1:10" x14ac:dyDescent="0.25">
      <c r="A33" s="4" t="s">
        <v>192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1.0620000000000001</v>
      </c>
      <c r="J33" s="17"/>
    </row>
    <row r="34" spans="1:10" x14ac:dyDescent="0.25">
      <c r="A34" s="4" t="s">
        <v>193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1.0489999999999999</v>
      </c>
      <c r="J34" s="17"/>
    </row>
    <row r="35" spans="1:10" x14ac:dyDescent="0.25">
      <c r="A35" s="4" t="s">
        <v>194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1.0620000000000001</v>
      </c>
      <c r="J35" s="17"/>
    </row>
    <row r="36" spans="1:10" x14ac:dyDescent="0.25">
      <c r="A36" s="4" t="s">
        <v>195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1.0620000000000001</v>
      </c>
      <c r="J36" s="17"/>
    </row>
    <row r="37" spans="1:10" x14ac:dyDescent="0.25">
      <c r="A37" s="4" t="s">
        <v>196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1.0620000000000001</v>
      </c>
      <c r="J37" s="17"/>
    </row>
    <row r="38" spans="1:10" x14ac:dyDescent="0.25">
      <c r="A38" s="4" t="s">
        <v>197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1.0620000000000001</v>
      </c>
      <c r="J38" s="17"/>
    </row>
    <row r="39" spans="1:10" x14ac:dyDescent="0.25">
      <c r="A39" s="4" t="s">
        <v>198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1.0489999999999999</v>
      </c>
      <c r="J39" s="17"/>
    </row>
    <row r="40" spans="1:10" x14ac:dyDescent="0.25">
      <c r="A40" s="4" t="s">
        <v>199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1.0489999999999999</v>
      </c>
      <c r="J40" s="17"/>
    </row>
    <row r="41" spans="1:10" x14ac:dyDescent="0.25">
      <c r="A41" s="4" t="s">
        <v>200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1.0489999999999999</v>
      </c>
      <c r="J41" s="17"/>
    </row>
    <row r="42" spans="1:10" x14ac:dyDescent="0.25">
      <c r="A42" s="4" t="s">
        <v>201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1.0489999999999999</v>
      </c>
      <c r="J42" s="17"/>
    </row>
    <row r="43" spans="1:10" x14ac:dyDescent="0.25">
      <c r="A43" s="4" t="s">
        <v>209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1.038</v>
      </c>
      <c r="J43" s="17"/>
    </row>
    <row r="44" spans="1:10" x14ac:dyDescent="0.25">
      <c r="A44" s="4" t="s">
        <v>210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1.038</v>
      </c>
      <c r="J44" s="17"/>
    </row>
    <row r="45" spans="1:10" x14ac:dyDescent="0.25">
      <c r="A45" s="4" t="s">
        <v>211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1.038</v>
      </c>
      <c r="J45" s="17"/>
    </row>
    <row r="46" spans="1:10" x14ac:dyDescent="0.25">
      <c r="A46" s="4" t="s">
        <v>212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1.038</v>
      </c>
      <c r="J46" s="17"/>
    </row>
    <row r="48" spans="1:10" ht="21" customHeight="1" x14ac:dyDescent="0.3">
      <c r="A48" s="1" t="s">
        <v>391</v>
      </c>
    </row>
    <row r="50" spans="1:9" x14ac:dyDescent="0.25">
      <c r="B50" s="15" t="s">
        <v>151</v>
      </c>
      <c r="C50" s="15" t="s">
        <v>152</v>
      </c>
      <c r="D50" s="15" t="s">
        <v>153</v>
      </c>
      <c r="E50" s="15" t="s">
        <v>154</v>
      </c>
      <c r="F50" s="15" t="s">
        <v>155</v>
      </c>
      <c r="G50" s="15" t="s">
        <v>156</v>
      </c>
      <c r="H50" s="15" t="s">
        <v>157</v>
      </c>
    </row>
    <row r="51" spans="1:9" x14ac:dyDescent="0.25">
      <c r="A51" s="4" t="s">
        <v>151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152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153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154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159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155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156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392</v>
      </c>
    </row>
    <row r="61" spans="1:9" x14ac:dyDescent="0.25">
      <c r="A61" s="2" t="s">
        <v>381</v>
      </c>
    </row>
    <row r="62" spans="1:9" x14ac:dyDescent="0.25">
      <c r="A62" s="32" t="s">
        <v>393</v>
      </c>
    </row>
    <row r="63" spans="1:9" x14ac:dyDescent="0.25">
      <c r="A63" s="32" t="s">
        <v>383</v>
      </c>
    </row>
    <row r="64" spans="1:9" x14ac:dyDescent="0.25">
      <c r="A64" s="2" t="s">
        <v>394</v>
      </c>
    </row>
    <row r="66" spans="1:3" ht="60" x14ac:dyDescent="0.25">
      <c r="B66" s="15" t="s">
        <v>395</v>
      </c>
    </row>
    <row r="67" spans="1:3" x14ac:dyDescent="0.25">
      <c r="A67" s="4" t="s">
        <v>151</v>
      </c>
      <c r="B67" s="37">
        <f>SUMPRODUCT($B51:$H51,Input!$B$156:$H$156)</f>
        <v>1.002</v>
      </c>
      <c r="C67" s="17"/>
    </row>
    <row r="68" spans="1:3" x14ac:dyDescent="0.25">
      <c r="A68" s="4" t="s">
        <v>152</v>
      </c>
      <c r="B68" s="37">
        <f>SUMPRODUCT($B52:$H52,Input!$B$156:$H$156)</f>
        <v>1.006</v>
      </c>
      <c r="C68" s="17"/>
    </row>
    <row r="69" spans="1:3" x14ac:dyDescent="0.25">
      <c r="A69" s="4" t="s">
        <v>153</v>
      </c>
      <c r="B69" s="37">
        <f>SUMPRODUCT($B53:$H53,Input!$B$156:$H$156)</f>
        <v>1.012</v>
      </c>
      <c r="C69" s="17"/>
    </row>
    <row r="70" spans="1:3" x14ac:dyDescent="0.25">
      <c r="A70" s="4" t="s">
        <v>154</v>
      </c>
      <c r="B70" s="37">
        <f>SUMPRODUCT($B54:$H54,Input!$B$156:$H$156)</f>
        <v>1.0209999999999999</v>
      </c>
      <c r="C70" s="17"/>
    </row>
    <row r="71" spans="1:3" x14ac:dyDescent="0.25">
      <c r="A71" s="4" t="s">
        <v>159</v>
      </c>
      <c r="B71" s="37">
        <f>SUMPRODUCT($B55:$H55,Input!$B$156:$H$156)</f>
        <v>1.0209999999999999</v>
      </c>
      <c r="C71" s="17"/>
    </row>
    <row r="72" spans="1:3" x14ac:dyDescent="0.25">
      <c r="A72" s="4" t="s">
        <v>155</v>
      </c>
      <c r="B72" s="37">
        <f>SUMPRODUCT($B56:$H56,Input!$B$156:$H$156)</f>
        <v>1.038</v>
      </c>
      <c r="C72" s="17"/>
    </row>
    <row r="73" spans="1:3" x14ac:dyDescent="0.25">
      <c r="A73" s="4" t="s">
        <v>156</v>
      </c>
      <c r="B73" s="37">
        <f>SUMPRODUCT($B57:$H57,Input!$B$156:$H$156)</f>
        <v>1.0489999999999999</v>
      </c>
      <c r="C73" s="17"/>
    </row>
    <row r="74" spans="1:3" x14ac:dyDescent="0.25">
      <c r="A74" s="4" t="s">
        <v>157</v>
      </c>
      <c r="B74" s="37">
        <f>SUMPRODUCT($B58:$H58,Input!$B$156:$H$156)</f>
        <v>1.0620000000000001</v>
      </c>
      <c r="C74" s="17"/>
    </row>
    <row r="76" spans="1:3" ht="21" customHeight="1" x14ac:dyDescent="0.3">
      <c r="A76" s="1" t="s">
        <v>396</v>
      </c>
    </row>
    <row r="77" spans="1:3" x14ac:dyDescent="0.25">
      <c r="A77" s="2" t="s">
        <v>381</v>
      </c>
    </row>
    <row r="78" spans="1:3" x14ac:dyDescent="0.25">
      <c r="A78" s="32" t="s">
        <v>397</v>
      </c>
    </row>
    <row r="79" spans="1:3" x14ac:dyDescent="0.25">
      <c r="A79" s="2" t="s">
        <v>398</v>
      </c>
    </row>
    <row r="80" spans="1:3" x14ac:dyDescent="0.25">
      <c r="A80" s="2" t="s">
        <v>399</v>
      </c>
    </row>
    <row r="82" spans="1:11" x14ac:dyDescent="0.25">
      <c r="B82" s="15" t="s">
        <v>150</v>
      </c>
      <c r="C82" s="15" t="s">
        <v>151</v>
      </c>
      <c r="D82" s="15" t="s">
        <v>152</v>
      </c>
      <c r="E82" s="15" t="s">
        <v>153</v>
      </c>
      <c r="F82" s="15" t="s">
        <v>154</v>
      </c>
      <c r="G82" s="15" t="s">
        <v>159</v>
      </c>
      <c r="H82" s="15" t="s">
        <v>155</v>
      </c>
      <c r="I82" s="15" t="s">
        <v>156</v>
      </c>
      <c r="J82" s="15" t="s">
        <v>157</v>
      </c>
    </row>
    <row r="83" spans="1:11" ht="30" x14ac:dyDescent="0.25">
      <c r="A83" s="4" t="s">
        <v>400</v>
      </c>
      <c r="B83" s="27">
        <v>1</v>
      </c>
      <c r="C83" s="38">
        <f>$B$67</f>
        <v>1.002</v>
      </c>
      <c r="D83" s="38">
        <f>$B$68</f>
        <v>1.006</v>
      </c>
      <c r="E83" s="38">
        <f>$B$69</f>
        <v>1.012</v>
      </c>
      <c r="F83" s="38">
        <f>$B$70</f>
        <v>1.0209999999999999</v>
      </c>
      <c r="G83" s="38">
        <f>$B$71</f>
        <v>1.0209999999999999</v>
      </c>
      <c r="H83" s="38">
        <f>$B$72</f>
        <v>1.038</v>
      </c>
      <c r="I83" s="38">
        <f>$B$73</f>
        <v>1.0489999999999999</v>
      </c>
      <c r="J83" s="38">
        <f>$B$74</f>
        <v>1.0620000000000001</v>
      </c>
      <c r="K83" s="17"/>
    </row>
    <row r="85" spans="1:11" ht="21" customHeight="1" x14ac:dyDescent="0.3">
      <c r="A85" s="1" t="s">
        <v>401</v>
      </c>
    </row>
    <row r="86" spans="1:11" x14ac:dyDescent="0.25">
      <c r="A86" s="2" t="s">
        <v>402</v>
      </c>
    </row>
    <row r="87" spans="1:11" x14ac:dyDescent="0.25">
      <c r="A87" s="2" t="s">
        <v>403</v>
      </c>
    </row>
    <row r="88" spans="1:11" x14ac:dyDescent="0.25">
      <c r="A88" s="2" t="s">
        <v>404</v>
      </c>
    </row>
    <row r="90" spans="1:11" x14ac:dyDescent="0.25">
      <c r="B90" s="15" t="s">
        <v>150</v>
      </c>
      <c r="C90" s="15" t="s">
        <v>151</v>
      </c>
      <c r="D90" s="15" t="s">
        <v>152</v>
      </c>
      <c r="E90" s="15" t="s">
        <v>153</v>
      </c>
      <c r="F90" s="15" t="s">
        <v>154</v>
      </c>
      <c r="G90" s="15" t="s">
        <v>155</v>
      </c>
      <c r="H90" s="15" t="s">
        <v>156</v>
      </c>
      <c r="I90" s="15" t="s">
        <v>157</v>
      </c>
    </row>
    <row r="91" spans="1:11" x14ac:dyDescent="0.25">
      <c r="A91" s="4" t="s">
        <v>182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183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228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184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185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229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186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187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207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188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189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190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191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208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230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231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232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233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234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192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193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194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195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196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197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198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199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200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201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209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210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211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212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405</v>
      </c>
    </row>
    <row r="126" spans="1:10" x14ac:dyDescent="0.25">
      <c r="A126" s="2" t="s">
        <v>381</v>
      </c>
    </row>
    <row r="127" spans="1:10" x14ac:dyDescent="0.25">
      <c r="A127" s="32" t="s">
        <v>406</v>
      </c>
    </row>
    <row r="128" spans="1:10" x14ac:dyDescent="0.25">
      <c r="A128" s="2" t="s">
        <v>407</v>
      </c>
    </row>
    <row r="130" spans="1:3" x14ac:dyDescent="0.25">
      <c r="B130" s="15" t="s">
        <v>152</v>
      </c>
    </row>
    <row r="131" spans="1:3" x14ac:dyDescent="0.25">
      <c r="A131" s="4" t="s">
        <v>152</v>
      </c>
      <c r="B131" s="39">
        <f>1-Input!$B$82</f>
        <v>1</v>
      </c>
      <c r="C131" s="17"/>
    </row>
    <row r="133" spans="1:3" ht="21" customHeight="1" x14ac:dyDescent="0.3">
      <c r="A133" s="1" t="s">
        <v>408</v>
      </c>
    </row>
    <row r="134" spans="1:3" x14ac:dyDescent="0.25">
      <c r="A134" s="2" t="s">
        <v>381</v>
      </c>
    </row>
    <row r="135" spans="1:3" x14ac:dyDescent="0.25">
      <c r="A135" s="32" t="s">
        <v>406</v>
      </c>
    </row>
    <row r="136" spans="1:3" x14ac:dyDescent="0.25">
      <c r="A136" s="2" t="s">
        <v>407</v>
      </c>
    </row>
    <row r="138" spans="1:3" x14ac:dyDescent="0.25">
      <c r="B138" s="15" t="s">
        <v>153</v>
      </c>
    </row>
    <row r="139" spans="1:3" x14ac:dyDescent="0.25">
      <c r="A139" s="4" t="s">
        <v>153</v>
      </c>
      <c r="B139" s="39">
        <f>1-Input!$B$82</f>
        <v>1</v>
      </c>
      <c r="C139" s="17"/>
    </row>
    <row r="141" spans="1:3" ht="21" customHeight="1" x14ac:dyDescent="0.3">
      <c r="A141" s="1" t="s">
        <v>409</v>
      </c>
    </row>
    <row r="142" spans="1:3" x14ac:dyDescent="0.25">
      <c r="A142" s="2" t="s">
        <v>381</v>
      </c>
    </row>
    <row r="143" spans="1:3" x14ac:dyDescent="0.25">
      <c r="A143" s="32" t="s">
        <v>406</v>
      </c>
    </row>
    <row r="144" spans="1:3" x14ac:dyDescent="0.25">
      <c r="A144" s="2" t="s">
        <v>407</v>
      </c>
    </row>
    <row r="146" spans="1:10" x14ac:dyDescent="0.25">
      <c r="B146" s="15" t="s">
        <v>154</v>
      </c>
    </row>
    <row r="147" spans="1:10" x14ac:dyDescent="0.25">
      <c r="A147" s="4" t="s">
        <v>154</v>
      </c>
      <c r="B147" s="39">
        <f>1-Input!$B$82</f>
        <v>1</v>
      </c>
      <c r="C147" s="17"/>
    </row>
    <row r="149" spans="1:10" ht="21" customHeight="1" x14ac:dyDescent="0.3">
      <c r="A149" s="1" t="s">
        <v>410</v>
      </c>
    </row>
    <row r="150" spans="1:10" x14ac:dyDescent="0.25">
      <c r="A150" s="2" t="s">
        <v>381</v>
      </c>
    </row>
    <row r="151" spans="1:10" x14ac:dyDescent="0.25">
      <c r="A151" s="32" t="s">
        <v>406</v>
      </c>
    </row>
    <row r="152" spans="1:10" x14ac:dyDescent="0.25">
      <c r="A152" s="32" t="s">
        <v>411</v>
      </c>
    </row>
    <row r="153" spans="1:10" x14ac:dyDescent="0.25">
      <c r="A153" s="32" t="s">
        <v>412</v>
      </c>
    </row>
    <row r="154" spans="1:10" x14ac:dyDescent="0.25">
      <c r="A154" s="32" t="s">
        <v>413</v>
      </c>
    </row>
    <row r="155" spans="1:10" x14ac:dyDescent="0.25">
      <c r="A155" s="2" t="s">
        <v>414</v>
      </c>
    </row>
    <row r="156" spans="1:10" x14ac:dyDescent="0.25">
      <c r="A156" s="2" t="s">
        <v>415</v>
      </c>
    </row>
    <row r="157" spans="1:10" x14ac:dyDescent="0.25">
      <c r="A157" s="2" t="s">
        <v>416</v>
      </c>
    </row>
    <row r="159" spans="1:10" x14ac:dyDescent="0.25">
      <c r="B159" s="15" t="s">
        <v>150</v>
      </c>
      <c r="C159" s="15" t="s">
        <v>151</v>
      </c>
      <c r="D159" s="15" t="s">
        <v>152</v>
      </c>
      <c r="E159" s="15" t="s">
        <v>153</v>
      </c>
      <c r="F159" s="15" t="s">
        <v>154</v>
      </c>
      <c r="G159" s="15" t="s">
        <v>155</v>
      </c>
      <c r="H159" s="15" t="s">
        <v>156</v>
      </c>
      <c r="I159" s="15" t="s">
        <v>157</v>
      </c>
    </row>
    <row r="160" spans="1:10" x14ac:dyDescent="0.25">
      <c r="A160" s="4" t="s">
        <v>150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151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152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153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154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159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155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156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157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417</v>
      </c>
    </row>
    <row r="171" spans="1:10" x14ac:dyDescent="0.25">
      <c r="A171" s="2" t="s">
        <v>381</v>
      </c>
    </row>
    <row r="172" spans="1:10" x14ac:dyDescent="0.25">
      <c r="A172" s="32" t="s">
        <v>418</v>
      </c>
    </row>
    <row r="173" spans="1:10" x14ac:dyDescent="0.25">
      <c r="A173" s="32" t="s">
        <v>419</v>
      </c>
    </row>
    <row r="174" spans="1:10" x14ac:dyDescent="0.25">
      <c r="A174" s="2" t="s">
        <v>394</v>
      </c>
    </row>
    <row r="176" spans="1:10" x14ac:dyDescent="0.25">
      <c r="B176" s="15" t="s">
        <v>150</v>
      </c>
      <c r="C176" s="15" t="s">
        <v>151</v>
      </c>
      <c r="D176" s="15" t="s">
        <v>152</v>
      </c>
      <c r="E176" s="15" t="s">
        <v>153</v>
      </c>
      <c r="F176" s="15" t="s">
        <v>154</v>
      </c>
      <c r="G176" s="15" t="s">
        <v>159</v>
      </c>
      <c r="H176" s="15" t="s">
        <v>155</v>
      </c>
      <c r="I176" s="15" t="s">
        <v>156</v>
      </c>
      <c r="J176" s="15" t="s">
        <v>157</v>
      </c>
    </row>
    <row r="177" spans="1:11" x14ac:dyDescent="0.25">
      <c r="A177" s="4" t="s">
        <v>182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183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228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184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185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229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186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187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207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188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189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190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191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208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230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231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232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233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234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192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193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194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195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196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197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198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199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200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201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209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210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211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212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420</v>
      </c>
    </row>
    <row r="212" spans="1:11" x14ac:dyDescent="0.25">
      <c r="A212" s="2" t="s">
        <v>381</v>
      </c>
    </row>
    <row r="213" spans="1:11" x14ac:dyDescent="0.25">
      <c r="A213" s="2" t="s">
        <v>421</v>
      </c>
    </row>
    <row r="214" spans="1:11" x14ac:dyDescent="0.25">
      <c r="A214" s="2" t="s">
        <v>422</v>
      </c>
    </row>
    <row r="215" spans="1:11" x14ac:dyDescent="0.25">
      <c r="A215" s="32" t="s">
        <v>423</v>
      </c>
    </row>
    <row r="216" spans="1:11" x14ac:dyDescent="0.25">
      <c r="A216" s="2" t="s">
        <v>424</v>
      </c>
    </row>
    <row r="218" spans="1:11" x14ac:dyDescent="0.25">
      <c r="B218" s="15" t="s">
        <v>150</v>
      </c>
      <c r="C218" s="15" t="s">
        <v>151</v>
      </c>
      <c r="D218" s="15" t="s">
        <v>152</v>
      </c>
      <c r="E218" s="15" t="s">
        <v>153</v>
      </c>
      <c r="F218" s="15" t="s">
        <v>154</v>
      </c>
      <c r="G218" s="15" t="s">
        <v>159</v>
      </c>
      <c r="H218" s="15" t="s">
        <v>155</v>
      </c>
      <c r="I218" s="15" t="s">
        <v>156</v>
      </c>
      <c r="J218" s="15" t="s">
        <v>157</v>
      </c>
    </row>
    <row r="219" spans="1:11" x14ac:dyDescent="0.25">
      <c r="A219" s="4" t="s">
        <v>182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183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228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184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185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229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186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187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207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188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189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190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191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208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230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231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232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233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234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192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193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194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195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196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197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198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199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200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201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209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210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211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212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425</v>
      </c>
    </row>
    <row r="254" spans="1:11" x14ac:dyDescent="0.25">
      <c r="A254" s="2" t="s">
        <v>381</v>
      </c>
    </row>
    <row r="255" spans="1:11" x14ac:dyDescent="0.25">
      <c r="A255" s="32" t="s">
        <v>426</v>
      </c>
    </row>
    <row r="256" spans="1:11" x14ac:dyDescent="0.25">
      <c r="A256" s="32" t="s">
        <v>427</v>
      </c>
    </row>
    <row r="257" spans="1:11" x14ac:dyDescent="0.25">
      <c r="A257" s="32" t="s">
        <v>428</v>
      </c>
    </row>
    <row r="258" spans="1:11" x14ac:dyDescent="0.25">
      <c r="A258" s="2" t="s">
        <v>429</v>
      </c>
    </row>
    <row r="260" spans="1:11" x14ac:dyDescent="0.25">
      <c r="B260" s="15" t="s">
        <v>150</v>
      </c>
      <c r="C260" s="15" t="s">
        <v>151</v>
      </c>
      <c r="D260" s="15" t="s">
        <v>152</v>
      </c>
      <c r="E260" s="15" t="s">
        <v>153</v>
      </c>
      <c r="F260" s="15" t="s">
        <v>154</v>
      </c>
      <c r="G260" s="15" t="s">
        <v>159</v>
      </c>
      <c r="H260" s="15" t="s">
        <v>155</v>
      </c>
      <c r="I260" s="15" t="s">
        <v>156</v>
      </c>
      <c r="J260" s="15" t="s">
        <v>157</v>
      </c>
    </row>
    <row r="261" spans="1:11" x14ac:dyDescent="0.25">
      <c r="A261" s="4" t="s">
        <v>182</v>
      </c>
      <c r="B261" s="37">
        <f t="shared" ref="B261:J261" si="42">IF(B$83="",B219,B219*$I14/B$83)</f>
        <v>1.0620000000000001</v>
      </c>
      <c r="C261" s="37">
        <f t="shared" si="42"/>
        <v>1.0598802395209581</v>
      </c>
      <c r="D261" s="37">
        <f t="shared" si="42"/>
        <v>1.0556660039761432</v>
      </c>
      <c r="E261" s="37">
        <f t="shared" si="42"/>
        <v>1.0494071146245059</v>
      </c>
      <c r="F261" s="37">
        <f t="shared" si="42"/>
        <v>1.0401567091087172</v>
      </c>
      <c r="G261" s="37">
        <f t="shared" si="42"/>
        <v>0</v>
      </c>
      <c r="H261" s="37">
        <f t="shared" si="42"/>
        <v>1.023121387283237</v>
      </c>
      <c r="I261" s="37">
        <f t="shared" si="42"/>
        <v>1.0123927550047667</v>
      </c>
      <c r="J261" s="37">
        <f t="shared" si="42"/>
        <v>1</v>
      </c>
      <c r="K261" s="17"/>
    </row>
    <row r="262" spans="1:11" x14ac:dyDescent="0.25">
      <c r="A262" s="4" t="s">
        <v>183</v>
      </c>
      <c r="B262" s="37">
        <f t="shared" ref="B262:J262" si="43">IF(B$83="",B220,B220*$I15/B$83)</f>
        <v>1.0620000000000001</v>
      </c>
      <c r="C262" s="37">
        <f t="shared" si="43"/>
        <v>1.0598802395209581</v>
      </c>
      <c r="D262" s="37">
        <f t="shared" si="43"/>
        <v>1.0556660039761432</v>
      </c>
      <c r="E262" s="37">
        <f t="shared" si="43"/>
        <v>1.0494071146245059</v>
      </c>
      <c r="F262" s="37">
        <f t="shared" si="43"/>
        <v>1.0401567091087172</v>
      </c>
      <c r="G262" s="37">
        <f t="shared" si="43"/>
        <v>0</v>
      </c>
      <c r="H262" s="37">
        <f t="shared" si="43"/>
        <v>1.023121387283237</v>
      </c>
      <c r="I262" s="37">
        <f t="shared" si="43"/>
        <v>1.0123927550047667</v>
      </c>
      <c r="J262" s="37">
        <f t="shared" si="43"/>
        <v>1</v>
      </c>
      <c r="K262" s="17"/>
    </row>
    <row r="263" spans="1:11" x14ac:dyDescent="0.25">
      <c r="A263" s="4" t="s">
        <v>228</v>
      </c>
      <c r="B263" s="37">
        <f t="shared" ref="B263:J263" si="44">IF(B$83="",B221,B221*$I16/B$83)</f>
        <v>1.0620000000000001</v>
      </c>
      <c r="C263" s="37">
        <f t="shared" si="44"/>
        <v>1.0598802395209581</v>
      </c>
      <c r="D263" s="37">
        <f t="shared" si="44"/>
        <v>1.0556660039761432</v>
      </c>
      <c r="E263" s="37">
        <f t="shared" si="44"/>
        <v>1.0494071146245059</v>
      </c>
      <c r="F263" s="37">
        <f t="shared" si="44"/>
        <v>1.0401567091087172</v>
      </c>
      <c r="G263" s="37">
        <f t="shared" si="44"/>
        <v>0</v>
      </c>
      <c r="H263" s="37">
        <f t="shared" si="44"/>
        <v>1.023121387283237</v>
      </c>
      <c r="I263" s="37">
        <f t="shared" si="44"/>
        <v>1.0123927550047667</v>
      </c>
      <c r="J263" s="37">
        <f t="shared" si="44"/>
        <v>1</v>
      </c>
      <c r="K263" s="17"/>
    </row>
    <row r="264" spans="1:11" x14ac:dyDescent="0.25">
      <c r="A264" s="4" t="s">
        <v>184</v>
      </c>
      <c r="B264" s="37">
        <f t="shared" ref="B264:J264" si="45">IF(B$83="",B222,B222*$I17/B$83)</f>
        <v>1.0620000000000001</v>
      </c>
      <c r="C264" s="37">
        <f t="shared" si="45"/>
        <v>1.0598802395209581</v>
      </c>
      <c r="D264" s="37">
        <f t="shared" si="45"/>
        <v>1.0556660039761432</v>
      </c>
      <c r="E264" s="37">
        <f t="shared" si="45"/>
        <v>1.0494071146245059</v>
      </c>
      <c r="F264" s="37">
        <f t="shared" si="45"/>
        <v>1.0401567091087172</v>
      </c>
      <c r="G264" s="37">
        <f t="shared" si="45"/>
        <v>0</v>
      </c>
      <c r="H264" s="37">
        <f t="shared" si="45"/>
        <v>1.023121387283237</v>
      </c>
      <c r="I264" s="37">
        <f t="shared" si="45"/>
        <v>1.0123927550047667</v>
      </c>
      <c r="J264" s="37">
        <f t="shared" si="45"/>
        <v>1</v>
      </c>
      <c r="K264" s="17"/>
    </row>
    <row r="265" spans="1:11" x14ac:dyDescent="0.25">
      <c r="A265" s="4" t="s">
        <v>185</v>
      </c>
      <c r="B265" s="37">
        <f t="shared" ref="B265:J265" si="46">IF(B$83="",B223,B223*$I18/B$83)</f>
        <v>1.0620000000000001</v>
      </c>
      <c r="C265" s="37">
        <f t="shared" si="46"/>
        <v>1.0598802395209581</v>
      </c>
      <c r="D265" s="37">
        <f t="shared" si="46"/>
        <v>1.0556660039761432</v>
      </c>
      <c r="E265" s="37">
        <f t="shared" si="46"/>
        <v>1.0494071146245059</v>
      </c>
      <c r="F265" s="37">
        <f t="shared" si="46"/>
        <v>1.0401567091087172</v>
      </c>
      <c r="G265" s="37">
        <f t="shared" si="46"/>
        <v>0</v>
      </c>
      <c r="H265" s="37">
        <f t="shared" si="46"/>
        <v>1.023121387283237</v>
      </c>
      <c r="I265" s="37">
        <f t="shared" si="46"/>
        <v>1.0123927550047667</v>
      </c>
      <c r="J265" s="37">
        <f t="shared" si="46"/>
        <v>1</v>
      </c>
      <c r="K265" s="17"/>
    </row>
    <row r="266" spans="1:11" x14ac:dyDescent="0.25">
      <c r="A266" s="4" t="s">
        <v>229</v>
      </c>
      <c r="B266" s="37">
        <f t="shared" ref="B266:J266" si="47">IF(B$83="",B224,B224*$I19/B$83)</f>
        <v>1.0620000000000001</v>
      </c>
      <c r="C266" s="37">
        <f t="shared" si="47"/>
        <v>1.0598802395209581</v>
      </c>
      <c r="D266" s="37">
        <f t="shared" si="47"/>
        <v>1.0556660039761432</v>
      </c>
      <c r="E266" s="37">
        <f t="shared" si="47"/>
        <v>1.0494071146245059</v>
      </c>
      <c r="F266" s="37">
        <f t="shared" si="47"/>
        <v>1.0401567091087172</v>
      </c>
      <c r="G266" s="37">
        <f t="shared" si="47"/>
        <v>0</v>
      </c>
      <c r="H266" s="37">
        <f t="shared" si="47"/>
        <v>1.023121387283237</v>
      </c>
      <c r="I266" s="37">
        <f t="shared" si="47"/>
        <v>1.0123927550047667</v>
      </c>
      <c r="J266" s="37">
        <f t="shared" si="47"/>
        <v>1</v>
      </c>
      <c r="K266" s="17"/>
    </row>
    <row r="267" spans="1:11" x14ac:dyDescent="0.25">
      <c r="A267" s="4" t="s">
        <v>186</v>
      </c>
      <c r="B267" s="37">
        <f t="shared" ref="B267:J267" si="48">IF(B$83="",B225,B225*$I20/B$83)</f>
        <v>1.0620000000000001</v>
      </c>
      <c r="C267" s="37">
        <f t="shared" si="48"/>
        <v>1.0598802395209581</v>
      </c>
      <c r="D267" s="37">
        <f t="shared" si="48"/>
        <v>1.0556660039761432</v>
      </c>
      <c r="E267" s="37">
        <f t="shared" si="48"/>
        <v>1.0494071146245059</v>
      </c>
      <c r="F267" s="37">
        <f t="shared" si="48"/>
        <v>1.0401567091087172</v>
      </c>
      <c r="G267" s="37">
        <f t="shared" si="48"/>
        <v>0</v>
      </c>
      <c r="H267" s="37">
        <f t="shared" si="48"/>
        <v>1.023121387283237</v>
      </c>
      <c r="I267" s="37">
        <f t="shared" si="48"/>
        <v>1.0123927550047667</v>
      </c>
      <c r="J267" s="37">
        <f t="shared" si="48"/>
        <v>1</v>
      </c>
      <c r="K267" s="17"/>
    </row>
    <row r="268" spans="1:11" x14ac:dyDescent="0.25">
      <c r="A268" s="4" t="s">
        <v>187</v>
      </c>
      <c r="B268" s="37">
        <f t="shared" ref="B268:J268" si="49">IF(B$83="",B226,B226*$I21/B$83)</f>
        <v>1.0489999999999999</v>
      </c>
      <c r="C268" s="37">
        <f t="shared" si="49"/>
        <v>1.0469061876247505</v>
      </c>
      <c r="D268" s="37">
        <f t="shared" si="49"/>
        <v>1.0427435387673956</v>
      </c>
      <c r="E268" s="37">
        <f t="shared" si="49"/>
        <v>1.0365612648221343</v>
      </c>
      <c r="F268" s="37">
        <f t="shared" si="49"/>
        <v>1.0274240940254653</v>
      </c>
      <c r="G268" s="37">
        <f t="shared" si="49"/>
        <v>0</v>
      </c>
      <c r="H268" s="37">
        <f t="shared" si="49"/>
        <v>1.0105973025048169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207</v>
      </c>
      <c r="B269" s="37">
        <f t="shared" ref="B269:J269" si="50">IF(B$83="",B227,B227*$I22/B$83)</f>
        <v>1.038</v>
      </c>
      <c r="C269" s="37">
        <f t="shared" si="50"/>
        <v>1.0359281437125749</v>
      </c>
      <c r="D269" s="37">
        <f t="shared" si="50"/>
        <v>1.0318091451292246</v>
      </c>
      <c r="E269" s="37">
        <f t="shared" si="50"/>
        <v>1.0256916996047432</v>
      </c>
      <c r="F269" s="37">
        <f t="shared" si="50"/>
        <v>1.0166503428011755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188</v>
      </c>
      <c r="B270" s="37">
        <f t="shared" ref="B270:J270" si="51">IF(B$83="",B228,B228*$I23/B$83)</f>
        <v>1.0620000000000001</v>
      </c>
      <c r="C270" s="37">
        <f t="shared" si="51"/>
        <v>1.0598802395209581</v>
      </c>
      <c r="D270" s="37">
        <f t="shared" si="51"/>
        <v>1.0556660039761432</v>
      </c>
      <c r="E270" s="37">
        <f t="shared" si="51"/>
        <v>1.0494071146245059</v>
      </c>
      <c r="F270" s="37">
        <f t="shared" si="51"/>
        <v>1.0401567091087172</v>
      </c>
      <c r="G270" s="37">
        <f t="shared" si="51"/>
        <v>0</v>
      </c>
      <c r="H270" s="37">
        <f t="shared" si="51"/>
        <v>1.023121387283237</v>
      </c>
      <c r="I270" s="37">
        <f t="shared" si="51"/>
        <v>1.0123927550047667</v>
      </c>
      <c r="J270" s="37">
        <f t="shared" si="51"/>
        <v>1</v>
      </c>
      <c r="K270" s="17"/>
    </row>
    <row r="271" spans="1:11" x14ac:dyDescent="0.25">
      <c r="A271" s="4" t="s">
        <v>189</v>
      </c>
      <c r="B271" s="37">
        <f t="shared" ref="B271:J271" si="52">IF(B$83="",B229,B229*$I24/B$83)</f>
        <v>1.0620000000000001</v>
      </c>
      <c r="C271" s="37">
        <f t="shared" si="52"/>
        <v>1.0598802395209581</v>
      </c>
      <c r="D271" s="37">
        <f t="shared" si="52"/>
        <v>1.0556660039761432</v>
      </c>
      <c r="E271" s="37">
        <f t="shared" si="52"/>
        <v>1.0494071146245059</v>
      </c>
      <c r="F271" s="37">
        <f t="shared" si="52"/>
        <v>1.0401567091087172</v>
      </c>
      <c r="G271" s="37">
        <f t="shared" si="52"/>
        <v>0</v>
      </c>
      <c r="H271" s="37">
        <f t="shared" si="52"/>
        <v>1.023121387283237</v>
      </c>
      <c r="I271" s="37">
        <f t="shared" si="52"/>
        <v>1.0123927550047667</v>
      </c>
      <c r="J271" s="37">
        <f t="shared" si="52"/>
        <v>1</v>
      </c>
      <c r="K271" s="17"/>
    </row>
    <row r="272" spans="1:11" x14ac:dyDescent="0.25">
      <c r="A272" s="4" t="s">
        <v>190</v>
      </c>
      <c r="B272" s="37">
        <f t="shared" ref="B272:J272" si="53">IF(B$83="",B230,B230*$I25/B$83)</f>
        <v>1.0620000000000001</v>
      </c>
      <c r="C272" s="37">
        <f t="shared" si="53"/>
        <v>1.0598802395209581</v>
      </c>
      <c r="D272" s="37">
        <f t="shared" si="53"/>
        <v>1.0556660039761432</v>
      </c>
      <c r="E272" s="37">
        <f t="shared" si="53"/>
        <v>1.0494071146245059</v>
      </c>
      <c r="F272" s="37">
        <f t="shared" si="53"/>
        <v>1.0401567091087172</v>
      </c>
      <c r="G272" s="37">
        <f t="shared" si="53"/>
        <v>0</v>
      </c>
      <c r="H272" s="37">
        <f t="shared" si="53"/>
        <v>1.023121387283237</v>
      </c>
      <c r="I272" s="37">
        <f t="shared" si="53"/>
        <v>1.0123927550047667</v>
      </c>
      <c r="J272" s="37">
        <f t="shared" si="53"/>
        <v>1</v>
      </c>
      <c r="K272" s="17"/>
    </row>
    <row r="273" spans="1:11" x14ac:dyDescent="0.25">
      <c r="A273" s="4" t="s">
        <v>191</v>
      </c>
      <c r="B273" s="37">
        <f t="shared" ref="B273:J273" si="54">IF(B$83="",B231,B231*$I26/B$83)</f>
        <v>1.0489999999999999</v>
      </c>
      <c r="C273" s="37">
        <f t="shared" si="54"/>
        <v>1.0469061876247505</v>
      </c>
      <c r="D273" s="37">
        <f t="shared" si="54"/>
        <v>1.0427435387673956</v>
      </c>
      <c r="E273" s="37">
        <f t="shared" si="54"/>
        <v>1.0365612648221343</v>
      </c>
      <c r="F273" s="37">
        <f t="shared" si="54"/>
        <v>1.0274240940254653</v>
      </c>
      <c r="G273" s="37">
        <f t="shared" si="54"/>
        <v>0</v>
      </c>
      <c r="H273" s="37">
        <f t="shared" si="54"/>
        <v>1.0105973025048169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208</v>
      </c>
      <c r="B274" s="37">
        <f t="shared" ref="B274:J274" si="55">IF(B$83="",B232,B232*$I27/B$83)</f>
        <v>1.038</v>
      </c>
      <c r="C274" s="37">
        <f t="shared" si="55"/>
        <v>1.0359281437125749</v>
      </c>
      <c r="D274" s="37">
        <f t="shared" si="55"/>
        <v>1.0318091451292246</v>
      </c>
      <c r="E274" s="37">
        <f t="shared" si="55"/>
        <v>1.0256916996047432</v>
      </c>
      <c r="F274" s="37">
        <f t="shared" si="55"/>
        <v>1.0166503428011755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230</v>
      </c>
      <c r="B275" s="37">
        <f t="shared" ref="B275:J275" si="56">IF(B$83="",B233,B233*$I28/B$83)</f>
        <v>1.0620000000000001</v>
      </c>
      <c r="C275" s="37">
        <f t="shared" si="56"/>
        <v>1.0598802395209581</v>
      </c>
      <c r="D275" s="37">
        <f t="shared" si="56"/>
        <v>1.0556660039761432</v>
      </c>
      <c r="E275" s="37">
        <f t="shared" si="56"/>
        <v>1.0494071146245059</v>
      </c>
      <c r="F275" s="37">
        <f t="shared" si="56"/>
        <v>1.0401567091087172</v>
      </c>
      <c r="G275" s="37">
        <f t="shared" si="56"/>
        <v>0</v>
      </c>
      <c r="H275" s="37">
        <f t="shared" si="56"/>
        <v>1.023121387283237</v>
      </c>
      <c r="I275" s="37">
        <f t="shared" si="56"/>
        <v>1.0123927550047667</v>
      </c>
      <c r="J275" s="37">
        <f t="shared" si="56"/>
        <v>1</v>
      </c>
      <c r="K275" s="17"/>
    </row>
    <row r="276" spans="1:11" x14ac:dyDescent="0.25">
      <c r="A276" s="4" t="s">
        <v>231</v>
      </c>
      <c r="B276" s="37">
        <f t="shared" ref="B276:J276" si="57">IF(B$83="",B234,B234*$I29/B$83)</f>
        <v>1.0620000000000001</v>
      </c>
      <c r="C276" s="37">
        <f t="shared" si="57"/>
        <v>1.0598802395209581</v>
      </c>
      <c r="D276" s="37">
        <f t="shared" si="57"/>
        <v>1.0556660039761432</v>
      </c>
      <c r="E276" s="37">
        <f t="shared" si="57"/>
        <v>1.0494071146245059</v>
      </c>
      <c r="F276" s="37">
        <f t="shared" si="57"/>
        <v>1.0401567091087172</v>
      </c>
      <c r="G276" s="37">
        <f t="shared" si="57"/>
        <v>0</v>
      </c>
      <c r="H276" s="37">
        <f t="shared" si="57"/>
        <v>1.023121387283237</v>
      </c>
      <c r="I276" s="37">
        <f t="shared" si="57"/>
        <v>1.0123927550047667</v>
      </c>
      <c r="J276" s="37">
        <f t="shared" si="57"/>
        <v>1</v>
      </c>
      <c r="K276" s="17"/>
    </row>
    <row r="277" spans="1:11" x14ac:dyDescent="0.25">
      <c r="A277" s="4" t="s">
        <v>232</v>
      </c>
      <c r="B277" s="37">
        <f t="shared" ref="B277:J277" si="58">IF(B$83="",B235,B235*$I30/B$83)</f>
        <v>1.0620000000000001</v>
      </c>
      <c r="C277" s="37">
        <f t="shared" si="58"/>
        <v>1.0598802395209581</v>
      </c>
      <c r="D277" s="37">
        <f t="shared" si="58"/>
        <v>1.0556660039761432</v>
      </c>
      <c r="E277" s="37">
        <f t="shared" si="58"/>
        <v>1.0494071146245059</v>
      </c>
      <c r="F277" s="37">
        <f t="shared" si="58"/>
        <v>1.0401567091087172</v>
      </c>
      <c r="G277" s="37">
        <f t="shared" si="58"/>
        <v>0</v>
      </c>
      <c r="H277" s="37">
        <f t="shared" si="58"/>
        <v>1.023121387283237</v>
      </c>
      <c r="I277" s="37">
        <f t="shared" si="58"/>
        <v>1.0123927550047667</v>
      </c>
      <c r="J277" s="37">
        <f t="shared" si="58"/>
        <v>1</v>
      </c>
      <c r="K277" s="17"/>
    </row>
    <row r="278" spans="1:11" x14ac:dyDescent="0.25">
      <c r="A278" s="4" t="s">
        <v>233</v>
      </c>
      <c r="B278" s="37">
        <f t="shared" ref="B278:J278" si="59">IF(B$83="",B236,B236*$I31/B$83)</f>
        <v>1.0620000000000001</v>
      </c>
      <c r="C278" s="37">
        <f t="shared" si="59"/>
        <v>1.0598802395209581</v>
      </c>
      <c r="D278" s="37">
        <f t="shared" si="59"/>
        <v>1.0556660039761432</v>
      </c>
      <c r="E278" s="37">
        <f t="shared" si="59"/>
        <v>1.0494071146245059</v>
      </c>
      <c r="F278" s="37">
        <f t="shared" si="59"/>
        <v>1.0401567091087172</v>
      </c>
      <c r="G278" s="37">
        <f t="shared" si="59"/>
        <v>0</v>
      </c>
      <c r="H278" s="37">
        <f t="shared" si="59"/>
        <v>1.023121387283237</v>
      </c>
      <c r="I278" s="37">
        <f t="shared" si="59"/>
        <v>1.0123927550047667</v>
      </c>
      <c r="J278" s="37">
        <f t="shared" si="59"/>
        <v>1</v>
      </c>
      <c r="K278" s="17"/>
    </row>
    <row r="279" spans="1:11" x14ac:dyDescent="0.25">
      <c r="A279" s="4" t="s">
        <v>234</v>
      </c>
      <c r="B279" s="37">
        <f t="shared" ref="B279:J279" si="60">IF(B$83="",B237,B237*$I32/B$83)</f>
        <v>1.0620000000000001</v>
      </c>
      <c r="C279" s="37">
        <f t="shared" si="60"/>
        <v>1.0598802395209581</v>
      </c>
      <c r="D279" s="37">
        <f t="shared" si="60"/>
        <v>1.0556660039761432</v>
      </c>
      <c r="E279" s="37">
        <f t="shared" si="60"/>
        <v>1.0494071146245059</v>
      </c>
      <c r="F279" s="37">
        <f t="shared" si="60"/>
        <v>1.0401567091087172</v>
      </c>
      <c r="G279" s="37">
        <f t="shared" si="60"/>
        <v>0</v>
      </c>
      <c r="H279" s="37">
        <f t="shared" si="60"/>
        <v>1.023121387283237</v>
      </c>
      <c r="I279" s="37">
        <f t="shared" si="60"/>
        <v>1.0123927550047667</v>
      </c>
      <c r="J279" s="37">
        <f t="shared" si="60"/>
        <v>1</v>
      </c>
      <c r="K279" s="17"/>
    </row>
    <row r="280" spans="1:11" x14ac:dyDescent="0.25">
      <c r="A280" s="4" t="s">
        <v>192</v>
      </c>
      <c r="B280" s="37">
        <f t="shared" ref="B280:J280" si="61">IF(B$83="",B238,B238*$I33/B$83)</f>
        <v>1.0620000000000001</v>
      </c>
      <c r="C280" s="37">
        <f t="shared" si="61"/>
        <v>1.0598802395209581</v>
      </c>
      <c r="D280" s="37">
        <f t="shared" si="61"/>
        <v>1.0556660039761432</v>
      </c>
      <c r="E280" s="37">
        <f t="shared" si="61"/>
        <v>1.0494071146245059</v>
      </c>
      <c r="F280" s="37">
        <f t="shared" si="61"/>
        <v>1.0401567091087172</v>
      </c>
      <c r="G280" s="37">
        <f t="shared" si="61"/>
        <v>0</v>
      </c>
      <c r="H280" s="37">
        <f t="shared" si="61"/>
        <v>1.023121387283237</v>
      </c>
      <c r="I280" s="37">
        <f t="shared" si="61"/>
        <v>1.0123927550047667</v>
      </c>
      <c r="J280" s="37">
        <f t="shared" si="61"/>
        <v>0</v>
      </c>
      <c r="K280" s="17"/>
    </row>
    <row r="281" spans="1:11" x14ac:dyDescent="0.25">
      <c r="A281" s="4" t="s">
        <v>193</v>
      </c>
      <c r="B281" s="37">
        <f t="shared" ref="B281:J281" si="62">IF(B$83="",B239,B239*$I34/B$83)</f>
        <v>1.0489999999999999</v>
      </c>
      <c r="C281" s="37">
        <f t="shared" si="62"/>
        <v>1.0469061876247505</v>
      </c>
      <c r="D281" s="37">
        <f t="shared" si="62"/>
        <v>1.0427435387673956</v>
      </c>
      <c r="E281" s="37">
        <f t="shared" si="62"/>
        <v>1.0365612648221343</v>
      </c>
      <c r="F281" s="37">
        <f t="shared" si="62"/>
        <v>1.0274240940254653</v>
      </c>
      <c r="G281" s="37">
        <f t="shared" si="62"/>
        <v>0</v>
      </c>
      <c r="H281" s="37">
        <f t="shared" si="62"/>
        <v>1.0105973025048169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194</v>
      </c>
      <c r="B282" s="37">
        <f t="shared" ref="B282:J282" si="63">IF(B$83="",B240,B240*$I35/B$83)</f>
        <v>1.0620000000000001</v>
      </c>
      <c r="C282" s="37">
        <f t="shared" si="63"/>
        <v>1.0598802395209581</v>
      </c>
      <c r="D282" s="37">
        <f t="shared" si="63"/>
        <v>1.0556660039761432</v>
      </c>
      <c r="E282" s="37">
        <f t="shared" si="63"/>
        <v>1.0494071146245059</v>
      </c>
      <c r="F282" s="37">
        <f t="shared" si="63"/>
        <v>1.0401567091087172</v>
      </c>
      <c r="G282" s="37">
        <f t="shared" si="63"/>
        <v>0</v>
      </c>
      <c r="H282" s="37">
        <f t="shared" si="63"/>
        <v>1.023121387283237</v>
      </c>
      <c r="I282" s="37">
        <f t="shared" si="63"/>
        <v>1.0123927550047667</v>
      </c>
      <c r="J282" s="37">
        <f t="shared" si="63"/>
        <v>0</v>
      </c>
      <c r="K282" s="17"/>
    </row>
    <row r="283" spans="1:11" x14ac:dyDescent="0.25">
      <c r="A283" s="4" t="s">
        <v>195</v>
      </c>
      <c r="B283" s="37">
        <f t="shared" ref="B283:J283" si="64">IF(B$83="",B241,B241*$I36/B$83)</f>
        <v>1.0620000000000001</v>
      </c>
      <c r="C283" s="37">
        <f t="shared" si="64"/>
        <v>1.0598802395209581</v>
      </c>
      <c r="D283" s="37">
        <f t="shared" si="64"/>
        <v>1.0556660039761432</v>
      </c>
      <c r="E283" s="37">
        <f t="shared" si="64"/>
        <v>1.0494071146245059</v>
      </c>
      <c r="F283" s="37">
        <f t="shared" si="64"/>
        <v>1.0401567091087172</v>
      </c>
      <c r="G283" s="37">
        <f t="shared" si="64"/>
        <v>0</v>
      </c>
      <c r="H283" s="37">
        <f t="shared" si="64"/>
        <v>1.023121387283237</v>
      </c>
      <c r="I283" s="37">
        <f t="shared" si="64"/>
        <v>1.0123927550047667</v>
      </c>
      <c r="J283" s="37">
        <f t="shared" si="64"/>
        <v>0</v>
      </c>
      <c r="K283" s="17"/>
    </row>
    <row r="284" spans="1:11" x14ac:dyDescent="0.25">
      <c r="A284" s="4" t="s">
        <v>196</v>
      </c>
      <c r="B284" s="37">
        <f t="shared" ref="B284:J284" si="65">IF(B$83="",B242,B242*$I37/B$83)</f>
        <v>1.0620000000000001</v>
      </c>
      <c r="C284" s="37">
        <f t="shared" si="65"/>
        <v>1.0598802395209581</v>
      </c>
      <c r="D284" s="37">
        <f t="shared" si="65"/>
        <v>1.0556660039761432</v>
      </c>
      <c r="E284" s="37">
        <f t="shared" si="65"/>
        <v>1.0494071146245059</v>
      </c>
      <c r="F284" s="37">
        <f t="shared" si="65"/>
        <v>1.0401567091087172</v>
      </c>
      <c r="G284" s="37">
        <f t="shared" si="65"/>
        <v>0</v>
      </c>
      <c r="H284" s="37">
        <f t="shared" si="65"/>
        <v>1.023121387283237</v>
      </c>
      <c r="I284" s="37">
        <f t="shared" si="65"/>
        <v>1.0123927550047667</v>
      </c>
      <c r="J284" s="37">
        <f t="shared" si="65"/>
        <v>0</v>
      </c>
      <c r="K284" s="17"/>
    </row>
    <row r="285" spans="1:11" x14ac:dyDescent="0.25">
      <c r="A285" s="4" t="s">
        <v>197</v>
      </c>
      <c r="B285" s="37">
        <f t="shared" ref="B285:J285" si="66">IF(B$83="",B243,B243*$I38/B$83)</f>
        <v>1.0620000000000001</v>
      </c>
      <c r="C285" s="37">
        <f t="shared" si="66"/>
        <v>1.0598802395209581</v>
      </c>
      <c r="D285" s="37">
        <f t="shared" si="66"/>
        <v>1.0556660039761432</v>
      </c>
      <c r="E285" s="37">
        <f t="shared" si="66"/>
        <v>1.0494071146245059</v>
      </c>
      <c r="F285" s="37">
        <f t="shared" si="66"/>
        <v>1.0401567091087172</v>
      </c>
      <c r="G285" s="37">
        <f t="shared" si="66"/>
        <v>0</v>
      </c>
      <c r="H285" s="37">
        <f t="shared" si="66"/>
        <v>1.023121387283237</v>
      </c>
      <c r="I285" s="37">
        <f t="shared" si="66"/>
        <v>1.0123927550047667</v>
      </c>
      <c r="J285" s="37">
        <f t="shared" si="66"/>
        <v>0</v>
      </c>
      <c r="K285" s="17"/>
    </row>
    <row r="286" spans="1:11" x14ac:dyDescent="0.25">
      <c r="A286" s="4" t="s">
        <v>198</v>
      </c>
      <c r="B286" s="37">
        <f t="shared" ref="B286:J286" si="67">IF(B$83="",B244,B244*$I39/B$83)</f>
        <v>1.0489999999999999</v>
      </c>
      <c r="C286" s="37">
        <f t="shared" si="67"/>
        <v>1.0469061876247505</v>
      </c>
      <c r="D286" s="37">
        <f t="shared" si="67"/>
        <v>1.0427435387673956</v>
      </c>
      <c r="E286" s="37">
        <f t="shared" si="67"/>
        <v>1.0365612648221343</v>
      </c>
      <c r="F286" s="37">
        <f t="shared" si="67"/>
        <v>1.0274240940254653</v>
      </c>
      <c r="G286" s="37">
        <f t="shared" si="67"/>
        <v>0</v>
      </c>
      <c r="H286" s="37">
        <f t="shared" si="67"/>
        <v>1.0105973025048169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199</v>
      </c>
      <c r="B287" s="37">
        <f t="shared" ref="B287:J287" si="68">IF(B$83="",B245,B245*$I40/B$83)</f>
        <v>1.0489999999999999</v>
      </c>
      <c r="C287" s="37">
        <f t="shared" si="68"/>
        <v>1.0469061876247505</v>
      </c>
      <c r="D287" s="37">
        <f t="shared" si="68"/>
        <v>1.0427435387673956</v>
      </c>
      <c r="E287" s="37">
        <f t="shared" si="68"/>
        <v>1.0365612648221343</v>
      </c>
      <c r="F287" s="37">
        <f t="shared" si="68"/>
        <v>1.0274240940254653</v>
      </c>
      <c r="G287" s="37">
        <f t="shared" si="68"/>
        <v>0</v>
      </c>
      <c r="H287" s="37">
        <f t="shared" si="68"/>
        <v>1.0105973025048169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200</v>
      </c>
      <c r="B288" s="37">
        <f t="shared" ref="B288:J288" si="69">IF(B$83="",B246,B246*$I41/B$83)</f>
        <v>1.0489999999999999</v>
      </c>
      <c r="C288" s="37">
        <f t="shared" si="69"/>
        <v>1.0469061876247505</v>
      </c>
      <c r="D288" s="37">
        <f t="shared" si="69"/>
        <v>1.0427435387673956</v>
      </c>
      <c r="E288" s="37">
        <f t="shared" si="69"/>
        <v>1.0365612648221343</v>
      </c>
      <c r="F288" s="37">
        <f t="shared" si="69"/>
        <v>1.0274240940254653</v>
      </c>
      <c r="G288" s="37">
        <f t="shared" si="69"/>
        <v>0</v>
      </c>
      <c r="H288" s="37">
        <f t="shared" si="69"/>
        <v>1.0105973025048169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201</v>
      </c>
      <c r="B289" s="37">
        <f t="shared" ref="B289:J289" si="70">IF(B$83="",B247,B247*$I42/B$83)</f>
        <v>1.0489999999999999</v>
      </c>
      <c r="C289" s="37">
        <f t="shared" si="70"/>
        <v>1.0469061876247505</v>
      </c>
      <c r="D289" s="37">
        <f t="shared" si="70"/>
        <v>1.0427435387673956</v>
      </c>
      <c r="E289" s="37">
        <f t="shared" si="70"/>
        <v>1.0365612648221343</v>
      </c>
      <c r="F289" s="37">
        <f t="shared" si="70"/>
        <v>1.0274240940254653</v>
      </c>
      <c r="G289" s="37">
        <f t="shared" si="70"/>
        <v>0</v>
      </c>
      <c r="H289" s="37">
        <f t="shared" si="70"/>
        <v>1.0105973025048169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209</v>
      </c>
      <c r="B290" s="37">
        <f t="shared" ref="B290:J290" si="71">IF(B$83="",B248,B248*$I43/B$83)</f>
        <v>1.038</v>
      </c>
      <c r="C290" s="37">
        <f t="shared" si="71"/>
        <v>1.0359281437125749</v>
      </c>
      <c r="D290" s="37">
        <f t="shared" si="71"/>
        <v>1.0318091451292246</v>
      </c>
      <c r="E290" s="37">
        <f t="shared" si="71"/>
        <v>1.0256916996047432</v>
      </c>
      <c r="F290" s="37">
        <f t="shared" si="71"/>
        <v>1.0166503428011755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210</v>
      </c>
      <c r="B291" s="37">
        <f t="shared" ref="B291:J291" si="72">IF(B$83="",B249,B249*$I44/B$83)</f>
        <v>1.038</v>
      </c>
      <c r="C291" s="37">
        <f t="shared" si="72"/>
        <v>1.0359281437125749</v>
      </c>
      <c r="D291" s="37">
        <f t="shared" si="72"/>
        <v>1.0318091451292246</v>
      </c>
      <c r="E291" s="37">
        <f t="shared" si="72"/>
        <v>1.0256916996047432</v>
      </c>
      <c r="F291" s="37">
        <f t="shared" si="72"/>
        <v>1.0166503428011755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211</v>
      </c>
      <c r="B292" s="37">
        <f t="shared" ref="B292:J292" si="73">IF(B$83="",B250,B250*$I45/B$83)</f>
        <v>1.038</v>
      </c>
      <c r="C292" s="37">
        <f t="shared" si="73"/>
        <v>1.0359281437125749</v>
      </c>
      <c r="D292" s="37">
        <f t="shared" si="73"/>
        <v>1.0318091451292246</v>
      </c>
      <c r="E292" s="37">
        <f t="shared" si="73"/>
        <v>1.0256916996047432</v>
      </c>
      <c r="F292" s="37">
        <f t="shared" si="73"/>
        <v>1.0166503428011755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212</v>
      </c>
      <c r="B293" s="37">
        <f t="shared" ref="B293:J293" si="74">IF(B$83="",B251,B251*$I46/B$83)</f>
        <v>1.038</v>
      </c>
      <c r="C293" s="37">
        <f t="shared" si="74"/>
        <v>1.0359281437125749</v>
      </c>
      <c r="D293" s="37">
        <f t="shared" si="74"/>
        <v>1.0318091451292246</v>
      </c>
      <c r="E293" s="37">
        <f t="shared" si="74"/>
        <v>1.0256916996047432</v>
      </c>
      <c r="F293" s="37">
        <f t="shared" si="74"/>
        <v>1.0166503428011755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South West in April 19 (no data version)</v>
      </c>
    </row>
    <row r="2" spans="1:3" x14ac:dyDescent="0.25">
      <c r="A2" s="2" t="s">
        <v>430</v>
      </c>
    </row>
    <row r="4" spans="1:3" ht="21" customHeight="1" x14ac:dyDescent="0.3">
      <c r="A4" s="1" t="s">
        <v>431</v>
      </c>
    </row>
    <row r="5" spans="1:3" x14ac:dyDescent="0.25">
      <c r="A5" s="2" t="s">
        <v>381</v>
      </c>
    </row>
    <row r="6" spans="1:3" x14ac:dyDescent="0.25">
      <c r="A6" s="32" t="s">
        <v>432</v>
      </c>
    </row>
    <row r="7" spans="1:3" x14ac:dyDescent="0.25">
      <c r="A7" s="32" t="s">
        <v>433</v>
      </c>
    </row>
    <row r="8" spans="1:3" x14ac:dyDescent="0.25">
      <c r="A8" s="32" t="s">
        <v>434</v>
      </c>
    </row>
    <row r="9" spans="1:3" x14ac:dyDescent="0.25">
      <c r="A9" s="2" t="s">
        <v>435</v>
      </c>
    </row>
    <row r="11" spans="1:3" x14ac:dyDescent="0.25">
      <c r="B11" s="15" t="s">
        <v>436</v>
      </c>
    </row>
    <row r="12" spans="1:3" x14ac:dyDescent="0.25">
      <c r="A12" s="4" t="s">
        <v>436</v>
      </c>
      <c r="B12" s="39">
        <f>PMT(Input!B60,Input!C60,-1)*IF(OR(Input!F60&gt;366,Input!F60&lt;365),Input!F60/365.25,1)</f>
        <v>5.1126546822659963E-2</v>
      </c>
      <c r="C12" s="17"/>
    </row>
    <row r="14" spans="1:3" ht="21" customHeight="1" x14ac:dyDescent="0.3">
      <c r="A14" s="1" t="s">
        <v>437</v>
      </c>
    </row>
    <row r="15" spans="1:3" x14ac:dyDescent="0.25">
      <c r="A15" s="2" t="s">
        <v>381</v>
      </c>
    </row>
    <row r="16" spans="1:3" x14ac:dyDescent="0.25">
      <c r="A16" s="32" t="s">
        <v>438</v>
      </c>
    </row>
    <row r="17" spans="1:10" x14ac:dyDescent="0.25">
      <c r="A17" s="2" t="s">
        <v>398</v>
      </c>
    </row>
    <row r="18" spans="1:10" x14ac:dyDescent="0.25">
      <c r="A18" s="2" t="s">
        <v>399</v>
      </c>
    </row>
    <row r="20" spans="1:10" x14ac:dyDescent="0.25">
      <c r="B20" s="15" t="s">
        <v>150</v>
      </c>
      <c r="C20" s="15" t="s">
        <v>151</v>
      </c>
      <c r="D20" s="15" t="s">
        <v>152</v>
      </c>
      <c r="E20" s="15" t="s">
        <v>153</v>
      </c>
      <c r="F20" s="15" t="s">
        <v>154</v>
      </c>
      <c r="G20" s="15" t="s">
        <v>155</v>
      </c>
      <c r="H20" s="15" t="s">
        <v>156</v>
      </c>
      <c r="I20" s="15" t="s">
        <v>157</v>
      </c>
    </row>
    <row r="21" spans="1:10" ht="30" x14ac:dyDescent="0.25">
      <c r="A21" s="4" t="s">
        <v>439</v>
      </c>
      <c r="B21" s="27">
        <v>1</v>
      </c>
      <c r="C21" s="38">
        <f>Input!$B156</f>
        <v>1.002</v>
      </c>
      <c r="D21" s="38">
        <f>Input!$C156</f>
        <v>1.006</v>
      </c>
      <c r="E21" s="38">
        <f>Input!$D156</f>
        <v>1.012</v>
      </c>
      <c r="F21" s="38">
        <f>Input!$E156</f>
        <v>1.0209999999999999</v>
      </c>
      <c r="G21" s="38">
        <f>Input!$F156</f>
        <v>1.038</v>
      </c>
      <c r="H21" s="38">
        <f>Input!$G156</f>
        <v>1.0489999999999999</v>
      </c>
      <c r="I21" s="38">
        <f>Input!$H156</f>
        <v>1.0620000000000001</v>
      </c>
      <c r="J21" s="17"/>
    </row>
    <row r="23" spans="1:10" ht="21" customHeight="1" x14ac:dyDescent="0.3">
      <c r="A23" s="1" t="s">
        <v>440</v>
      </c>
    </row>
    <row r="24" spans="1:10" x14ac:dyDescent="0.25">
      <c r="A24" s="2" t="s">
        <v>381</v>
      </c>
    </row>
    <row r="25" spans="1:10" x14ac:dyDescent="0.25">
      <c r="A25" s="32" t="s">
        <v>441</v>
      </c>
    </row>
    <row r="26" spans="1:10" x14ac:dyDescent="0.25">
      <c r="A26" s="32" t="s">
        <v>442</v>
      </c>
    </row>
    <row r="27" spans="1:10" x14ac:dyDescent="0.25">
      <c r="A27" s="33" t="s">
        <v>384</v>
      </c>
      <c r="B27" s="33" t="s">
        <v>443</v>
      </c>
      <c r="C27" s="33" t="s">
        <v>444</v>
      </c>
    </row>
    <row r="28" spans="1:10" x14ac:dyDescent="0.25">
      <c r="A28" s="33" t="s">
        <v>387</v>
      </c>
      <c r="B28" s="33" t="s">
        <v>445</v>
      </c>
      <c r="C28" s="33" t="s">
        <v>446</v>
      </c>
    </row>
    <row r="30" spans="1:10" ht="45" x14ac:dyDescent="0.25">
      <c r="B30" s="15" t="s">
        <v>447</v>
      </c>
      <c r="C30" s="15" t="s">
        <v>448</v>
      </c>
    </row>
    <row r="31" spans="1:10" x14ac:dyDescent="0.25">
      <c r="A31" s="4" t="s">
        <v>150</v>
      </c>
      <c r="B31" s="37">
        <f>$B$21</f>
        <v>1</v>
      </c>
      <c r="C31" s="10"/>
      <c r="D31" s="17"/>
    </row>
    <row r="32" spans="1:10" x14ac:dyDescent="0.25">
      <c r="A32" s="4" t="s">
        <v>151</v>
      </c>
      <c r="B32" s="37">
        <f>$C$21</f>
        <v>1.002</v>
      </c>
      <c r="C32" s="37">
        <f t="shared" ref="C32:C38" si="0">B31</f>
        <v>1</v>
      </c>
      <c r="D32" s="17"/>
    </row>
    <row r="33" spans="1:5" x14ac:dyDescent="0.25">
      <c r="A33" s="4" t="s">
        <v>152</v>
      </c>
      <c r="B33" s="37">
        <f>$D$21</f>
        <v>1.006</v>
      </c>
      <c r="C33" s="37">
        <f t="shared" si="0"/>
        <v>1.002</v>
      </c>
      <c r="D33" s="17"/>
    </row>
    <row r="34" spans="1:5" x14ac:dyDescent="0.25">
      <c r="A34" s="4" t="s">
        <v>153</v>
      </c>
      <c r="B34" s="37">
        <f>$E$21</f>
        <v>1.012</v>
      </c>
      <c r="C34" s="37">
        <f t="shared" si="0"/>
        <v>1.006</v>
      </c>
      <c r="D34" s="17"/>
    </row>
    <row r="35" spans="1:5" x14ac:dyDescent="0.25">
      <c r="A35" s="4" t="s">
        <v>154</v>
      </c>
      <c r="B35" s="37">
        <f>$F$21</f>
        <v>1.0209999999999999</v>
      </c>
      <c r="C35" s="37">
        <f t="shared" si="0"/>
        <v>1.012</v>
      </c>
      <c r="D35" s="17"/>
    </row>
    <row r="36" spans="1:5" x14ac:dyDescent="0.25">
      <c r="A36" s="4" t="s">
        <v>155</v>
      </c>
      <c r="B36" s="37">
        <f>$G$21</f>
        <v>1.038</v>
      </c>
      <c r="C36" s="37">
        <f t="shared" si="0"/>
        <v>1.0209999999999999</v>
      </c>
      <c r="D36" s="17"/>
    </row>
    <row r="37" spans="1:5" x14ac:dyDescent="0.25">
      <c r="A37" s="4" t="s">
        <v>156</v>
      </c>
      <c r="B37" s="37">
        <f>$H$21</f>
        <v>1.0489999999999999</v>
      </c>
      <c r="C37" s="37">
        <f t="shared" si="0"/>
        <v>1.038</v>
      </c>
      <c r="D37" s="17"/>
    </row>
    <row r="38" spans="1:5" x14ac:dyDescent="0.25">
      <c r="A38" s="4" t="s">
        <v>157</v>
      </c>
      <c r="B38" s="37">
        <f>$I$21</f>
        <v>1.0620000000000001</v>
      </c>
      <c r="C38" s="37">
        <f t="shared" si="0"/>
        <v>1.0489999999999999</v>
      </c>
      <c r="D38" s="17"/>
    </row>
    <row r="40" spans="1:5" ht="21" customHeight="1" x14ac:dyDescent="0.3">
      <c r="A40" s="1" t="s">
        <v>449</v>
      </c>
    </row>
    <row r="41" spans="1:5" x14ac:dyDescent="0.25">
      <c r="A41" s="2" t="s">
        <v>381</v>
      </c>
    </row>
    <row r="42" spans="1:5" x14ac:dyDescent="0.25">
      <c r="A42" s="32" t="s">
        <v>450</v>
      </c>
    </row>
    <row r="43" spans="1:5" x14ac:dyDescent="0.25">
      <c r="A43" s="32" t="s">
        <v>451</v>
      </c>
    </row>
    <row r="44" spans="1:5" x14ac:dyDescent="0.25">
      <c r="A44" s="33" t="s">
        <v>384</v>
      </c>
      <c r="B44" s="33" t="s">
        <v>452</v>
      </c>
      <c r="C44" s="33" t="s">
        <v>452</v>
      </c>
      <c r="D44" s="33" t="s">
        <v>452</v>
      </c>
    </row>
    <row r="45" spans="1:5" x14ac:dyDescent="0.25">
      <c r="A45" s="33" t="s">
        <v>387</v>
      </c>
      <c r="B45" s="33" t="s">
        <v>453</v>
      </c>
      <c r="C45" s="33" t="s">
        <v>453</v>
      </c>
      <c r="D45" s="33" t="s">
        <v>454</v>
      </c>
    </row>
    <row r="47" spans="1:5" ht="45" x14ac:dyDescent="0.25">
      <c r="B47" s="15" t="s">
        <v>455</v>
      </c>
      <c r="C47" s="15" t="s">
        <v>456</v>
      </c>
      <c r="D47" s="15" t="s">
        <v>457</v>
      </c>
    </row>
    <row r="48" spans="1:5" x14ac:dyDescent="0.25">
      <c r="A48" s="4" t="s">
        <v>150</v>
      </c>
      <c r="B48" s="10"/>
      <c r="C48" s="39">
        <f>1/(1+Input!B70)</f>
        <v>0.97847358121330719</v>
      </c>
      <c r="D48" s="39">
        <f t="shared" ref="D48:D54" si="1">1/C48-1</f>
        <v>2.200000000000002E-2</v>
      </c>
      <c r="E48" s="17"/>
    </row>
    <row r="49" spans="1:5" x14ac:dyDescent="0.25">
      <c r="A49" s="4" t="s">
        <v>151</v>
      </c>
      <c r="B49" s="39">
        <f>1/(1+Input!B71)</f>
        <v>0.96993210475266745</v>
      </c>
      <c r="C49" s="39">
        <f>C48/(1+Input!B71)</f>
        <v>0.94905294007110308</v>
      </c>
      <c r="D49" s="39">
        <f t="shared" si="1"/>
        <v>5.3682000000000007E-2</v>
      </c>
      <c r="E49" s="17"/>
    </row>
    <row r="50" spans="1:5" x14ac:dyDescent="0.25">
      <c r="A50" s="4" t="s">
        <v>152</v>
      </c>
      <c r="B50" s="39">
        <f>B49/(1+Input!B72)</f>
        <v>0.96993210475266745</v>
      </c>
      <c r="C50" s="39">
        <f>C49/(1+Input!B72)</f>
        <v>0.94905294007110308</v>
      </c>
      <c r="D50" s="39">
        <f t="shared" si="1"/>
        <v>5.3682000000000007E-2</v>
      </c>
      <c r="E50" s="17"/>
    </row>
    <row r="51" spans="1:5" x14ac:dyDescent="0.25">
      <c r="A51" s="4" t="s">
        <v>153</v>
      </c>
      <c r="B51" s="39">
        <f>B50/(1+Input!B73)</f>
        <v>0.90226242302573723</v>
      </c>
      <c r="C51" s="39">
        <f>C50/(1+Input!B73)</f>
        <v>0.88283994425218892</v>
      </c>
      <c r="D51" s="39">
        <f t="shared" si="1"/>
        <v>0.13270815000000002</v>
      </c>
      <c r="E51" s="17"/>
    </row>
    <row r="52" spans="1:5" x14ac:dyDescent="0.25">
      <c r="A52" s="4" t="s">
        <v>154</v>
      </c>
      <c r="B52" s="39">
        <f>B51/(1+Input!B74)</f>
        <v>0.90226242302573723</v>
      </c>
      <c r="C52" s="39">
        <f>C51/(1+Input!B74)</f>
        <v>0.88283994425218892</v>
      </c>
      <c r="D52" s="39">
        <f t="shared" si="1"/>
        <v>0.13270815000000002</v>
      </c>
      <c r="E52" s="17"/>
    </row>
    <row r="53" spans="1:5" x14ac:dyDescent="0.25">
      <c r="A53" s="4" t="s">
        <v>155</v>
      </c>
      <c r="B53" s="39">
        <f>B52/(1+Input!B75)</f>
        <v>0.65858571023776435</v>
      </c>
      <c r="C53" s="39">
        <f>C52/(1+Input!B75)</f>
        <v>0.64440871843225467</v>
      </c>
      <c r="D53" s="39">
        <f t="shared" si="1"/>
        <v>0.55181016550000006</v>
      </c>
      <c r="E53" s="17"/>
    </row>
    <row r="54" spans="1:5" x14ac:dyDescent="0.25">
      <c r="A54" s="4" t="s">
        <v>156</v>
      </c>
      <c r="B54" s="39">
        <f>B53/(1+Input!B76)</f>
        <v>0.65858571023776435</v>
      </c>
      <c r="C54" s="39">
        <f>C53/(1+Input!B76)</f>
        <v>0.64440871843225467</v>
      </c>
      <c r="D54" s="39">
        <f t="shared" si="1"/>
        <v>0.55181016550000006</v>
      </c>
      <c r="E54" s="17"/>
    </row>
    <row r="55" spans="1:5" x14ac:dyDescent="0.25">
      <c r="A55" s="4" t="s">
        <v>157</v>
      </c>
      <c r="B55" s="39">
        <f>B54/(1+Input!B77)</f>
        <v>0.65858571023776435</v>
      </c>
      <c r="C55" s="39">
        <f>C54/(1+Input!B77)</f>
        <v>0.64440871843225467</v>
      </c>
      <c r="D55" s="10"/>
      <c r="E55" s="17"/>
    </row>
    <row r="57" spans="1:5" ht="21" customHeight="1" x14ac:dyDescent="0.3">
      <c r="A57" s="1" t="s">
        <v>458</v>
      </c>
    </row>
    <row r="58" spans="1:5" x14ac:dyDescent="0.25">
      <c r="A58" s="2" t="s">
        <v>381</v>
      </c>
    </row>
    <row r="59" spans="1:5" x14ac:dyDescent="0.25">
      <c r="A59" s="32" t="s">
        <v>459</v>
      </c>
    </row>
    <row r="60" spans="1:5" x14ac:dyDescent="0.25">
      <c r="A60" s="32" t="s">
        <v>460</v>
      </c>
    </row>
    <row r="61" spans="1:5" x14ac:dyDescent="0.25">
      <c r="A61" s="2" t="s">
        <v>461</v>
      </c>
    </row>
    <row r="63" spans="1:5" ht="45" x14ac:dyDescent="0.25">
      <c r="B63" s="15" t="s">
        <v>462</v>
      </c>
    </row>
    <row r="64" spans="1:5" x14ac:dyDescent="0.25">
      <c r="A64" s="4" t="s">
        <v>151</v>
      </c>
      <c r="B64" s="37">
        <f>Input!B$87/B$49</f>
        <v>515.49999999999989</v>
      </c>
      <c r="C64" s="17"/>
    </row>
    <row r="65" spans="1:3" x14ac:dyDescent="0.25">
      <c r="A65" s="4" t="s">
        <v>152</v>
      </c>
      <c r="B65" s="37">
        <f>Input!B$87/B$50</f>
        <v>515.49999999999989</v>
      </c>
      <c r="C65" s="17"/>
    </row>
    <row r="66" spans="1:3" x14ac:dyDescent="0.25">
      <c r="A66" s="4" t="s">
        <v>153</v>
      </c>
      <c r="B66" s="37">
        <f>Input!B$87/B$51</f>
        <v>554.16249999999991</v>
      </c>
      <c r="C66" s="17"/>
    </row>
    <row r="67" spans="1:3" x14ac:dyDescent="0.25">
      <c r="A67" s="4" t="s">
        <v>154</v>
      </c>
      <c r="B67" s="37">
        <f>Input!B$87/B$52</f>
        <v>554.16249999999991</v>
      </c>
      <c r="C67" s="17"/>
    </row>
    <row r="68" spans="1:3" x14ac:dyDescent="0.25">
      <c r="A68" s="4" t="s">
        <v>155</v>
      </c>
      <c r="B68" s="37">
        <f>Input!B$87/B$53</f>
        <v>759.2026249999999</v>
      </c>
      <c r="C68" s="17"/>
    </row>
    <row r="69" spans="1:3" x14ac:dyDescent="0.25">
      <c r="A69" s="4" t="s">
        <v>156</v>
      </c>
      <c r="B69" s="37">
        <f>Input!B$87/B$54</f>
        <v>759.2026249999999</v>
      </c>
      <c r="C69" s="17"/>
    </row>
    <row r="70" spans="1:3" x14ac:dyDescent="0.25">
      <c r="A70" s="4" t="s">
        <v>157</v>
      </c>
      <c r="B70" s="37">
        <f>Input!B$87/B$55</f>
        <v>759.2026249999999</v>
      </c>
      <c r="C70" s="17"/>
    </row>
    <row r="72" spans="1:3" ht="21" customHeight="1" x14ac:dyDescent="0.3">
      <c r="A72" s="1" t="s">
        <v>463</v>
      </c>
    </row>
    <row r="73" spans="1:3" x14ac:dyDescent="0.25">
      <c r="A73" s="2" t="s">
        <v>381</v>
      </c>
    </row>
    <row r="74" spans="1:3" x14ac:dyDescent="0.25">
      <c r="A74" s="32" t="s">
        <v>464</v>
      </c>
    </row>
    <row r="75" spans="1:3" x14ac:dyDescent="0.25">
      <c r="A75" s="32" t="s">
        <v>465</v>
      </c>
    </row>
    <row r="76" spans="1:3" x14ac:dyDescent="0.25">
      <c r="A76" s="32" t="s">
        <v>466</v>
      </c>
    </row>
    <row r="77" spans="1:3" x14ac:dyDescent="0.25">
      <c r="A77" s="2" t="s">
        <v>467</v>
      </c>
    </row>
    <row r="79" spans="1:3" ht="75" x14ac:dyDescent="0.25">
      <c r="B79" s="15" t="s">
        <v>468</v>
      </c>
    </row>
    <row r="80" spans="1:3" x14ac:dyDescent="0.25">
      <c r="A80" s="4" t="s">
        <v>151</v>
      </c>
      <c r="B80" s="37">
        <f>B64*C$49/B$32</f>
        <v>488.26027006652049</v>
      </c>
      <c r="C80" s="17"/>
    </row>
    <row r="81" spans="1:3" x14ac:dyDescent="0.25">
      <c r="A81" s="4" t="s">
        <v>152</v>
      </c>
      <c r="B81" s="37">
        <f>B65*C$50/B$33</f>
        <v>486.31887734259794</v>
      </c>
      <c r="C81" s="17"/>
    </row>
    <row r="82" spans="1:3" x14ac:dyDescent="0.25">
      <c r="A82" s="4" t="s">
        <v>153</v>
      </c>
      <c r="B82" s="37">
        <f>B66*C$51/B$34</f>
        <v>483.43556384056677</v>
      </c>
      <c r="C82" s="17"/>
    </row>
    <row r="83" spans="1:3" x14ac:dyDescent="0.25">
      <c r="A83" s="4" t="s">
        <v>154</v>
      </c>
      <c r="B83" s="37">
        <f>B67*C$52/B$35</f>
        <v>479.17413379691834</v>
      </c>
      <c r="C83" s="17"/>
    </row>
    <row r="84" spans="1:3" x14ac:dyDescent="0.25">
      <c r="A84" s="4" t="s">
        <v>155</v>
      </c>
      <c r="B84" s="37">
        <f>B68*C$53/B$36</f>
        <v>471.32638786768166</v>
      </c>
      <c r="C84" s="17"/>
    </row>
    <row r="85" spans="1:3" x14ac:dyDescent="0.25">
      <c r="A85" s="4" t="s">
        <v>156</v>
      </c>
      <c r="B85" s="37">
        <f>B69*C$54/B$37</f>
        <v>466.3839757928061</v>
      </c>
      <c r="C85" s="17"/>
    </row>
    <row r="86" spans="1:3" x14ac:dyDescent="0.25">
      <c r="A86" s="4" t="s">
        <v>157</v>
      </c>
      <c r="B86" s="37">
        <f>B70*C$55/B$38</f>
        <v>460.67494407406173</v>
      </c>
      <c r="C86" s="17"/>
    </row>
    <row r="88" spans="1:3" ht="21" customHeight="1" x14ac:dyDescent="0.3">
      <c r="A88" s="1" t="s">
        <v>469</v>
      </c>
    </row>
    <row r="89" spans="1:3" x14ac:dyDescent="0.25">
      <c r="A89" s="2" t="s">
        <v>381</v>
      </c>
    </row>
    <row r="90" spans="1:3" x14ac:dyDescent="0.25">
      <c r="A90" s="32" t="s">
        <v>406</v>
      </c>
    </row>
    <row r="91" spans="1:3" x14ac:dyDescent="0.25">
      <c r="A91" s="32" t="s">
        <v>411</v>
      </c>
    </row>
    <row r="92" spans="1:3" x14ac:dyDescent="0.25">
      <c r="A92" s="32" t="s">
        <v>412</v>
      </c>
    </row>
    <row r="93" spans="1:3" x14ac:dyDescent="0.25">
      <c r="A93" s="32" t="s">
        <v>413</v>
      </c>
    </row>
    <row r="94" spans="1:3" x14ac:dyDescent="0.25">
      <c r="A94" s="2" t="s">
        <v>414</v>
      </c>
    </row>
    <row r="95" spans="1:3" x14ac:dyDescent="0.25">
      <c r="A95" s="2" t="s">
        <v>470</v>
      </c>
    </row>
    <row r="97" spans="1:10" x14ac:dyDescent="0.25">
      <c r="B97" s="15" t="s">
        <v>151</v>
      </c>
      <c r="C97" s="15" t="s">
        <v>152</v>
      </c>
      <c r="D97" s="15" t="s">
        <v>153</v>
      </c>
      <c r="E97" s="15" t="s">
        <v>154</v>
      </c>
      <c r="F97" s="15" t="s">
        <v>159</v>
      </c>
      <c r="G97" s="15" t="s">
        <v>155</v>
      </c>
      <c r="H97" s="15" t="s">
        <v>156</v>
      </c>
      <c r="I97" s="15" t="s">
        <v>157</v>
      </c>
    </row>
    <row r="98" spans="1:10" x14ac:dyDescent="0.25">
      <c r="A98" s="4" t="s">
        <v>151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152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153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154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155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156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157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471</v>
      </c>
    </row>
    <row r="107" spans="1:10" x14ac:dyDescent="0.25">
      <c r="A107" s="2" t="s">
        <v>381</v>
      </c>
    </row>
    <row r="108" spans="1:10" x14ac:dyDescent="0.25">
      <c r="A108" s="32" t="s">
        <v>472</v>
      </c>
    </row>
    <row r="109" spans="1:10" x14ac:dyDescent="0.25">
      <c r="A109" s="32" t="s">
        <v>473</v>
      </c>
    </row>
    <row r="110" spans="1:10" x14ac:dyDescent="0.25">
      <c r="A110" s="2" t="s">
        <v>394</v>
      </c>
    </row>
    <row r="112" spans="1:10" ht="60" x14ac:dyDescent="0.25">
      <c r="B112" s="15" t="s">
        <v>474</v>
      </c>
    </row>
    <row r="113" spans="1:3" x14ac:dyDescent="0.25">
      <c r="A113" s="4" t="s">
        <v>151</v>
      </c>
      <c r="B113" s="37">
        <f>SUMPRODUCT(B$80:B$86,$B$98:$B$104)</f>
        <v>488.26027006652049</v>
      </c>
      <c r="C113" s="17"/>
    </row>
    <row r="114" spans="1:3" x14ac:dyDescent="0.25">
      <c r="A114" s="4" t="s">
        <v>152</v>
      </c>
      <c r="B114" s="37">
        <f>SUMPRODUCT(B$80:B$86,$C$98:$C$104)</f>
        <v>486.31887734259794</v>
      </c>
      <c r="C114" s="17"/>
    </row>
    <row r="115" spans="1:3" x14ac:dyDescent="0.25">
      <c r="A115" s="4" t="s">
        <v>153</v>
      </c>
      <c r="B115" s="37">
        <f>SUMPRODUCT(B$80:B$86,$D$98:$D$104)</f>
        <v>483.43556384056677</v>
      </c>
      <c r="C115" s="17"/>
    </row>
    <row r="116" spans="1:3" x14ac:dyDescent="0.25">
      <c r="A116" s="4" t="s">
        <v>154</v>
      </c>
      <c r="B116" s="37">
        <f>SUMPRODUCT(B$80:B$86,$E$98:$E$104)</f>
        <v>479.17413379691834</v>
      </c>
      <c r="C116" s="17"/>
    </row>
    <row r="117" spans="1:3" x14ac:dyDescent="0.25">
      <c r="A117" s="4" t="s">
        <v>159</v>
      </c>
      <c r="B117" s="37">
        <f>SUMPRODUCT(B$80:B$86,$F$98:$F$104)</f>
        <v>0</v>
      </c>
      <c r="C117" s="17"/>
    </row>
    <row r="118" spans="1:3" x14ac:dyDescent="0.25">
      <c r="A118" s="4" t="s">
        <v>155</v>
      </c>
      <c r="B118" s="37">
        <f>SUMPRODUCT(B$80:B$86,$G$98:$G$104)</f>
        <v>471.32638786768166</v>
      </c>
      <c r="C118" s="17"/>
    </row>
    <row r="119" spans="1:3" x14ac:dyDescent="0.25">
      <c r="A119" s="4" t="s">
        <v>156</v>
      </c>
      <c r="B119" s="37">
        <f>SUMPRODUCT(B$80:B$86,$H$98:$H$104)</f>
        <v>466.3839757928061</v>
      </c>
      <c r="C119" s="17"/>
    </row>
    <row r="120" spans="1:3" x14ac:dyDescent="0.25">
      <c r="A120" s="4" t="s">
        <v>157</v>
      </c>
      <c r="B120" s="37">
        <f>SUMPRODUCT(B$80:B$86,$I$98:$I$104)</f>
        <v>460.67494407406173</v>
      </c>
      <c r="C120" s="17"/>
    </row>
    <row r="122" spans="1:3" ht="21" customHeight="1" x14ac:dyDescent="0.3">
      <c r="A122" s="1" t="s">
        <v>475</v>
      </c>
    </row>
    <row r="123" spans="1:3" x14ac:dyDescent="0.25">
      <c r="A123" s="2" t="s">
        <v>381</v>
      </c>
    </row>
    <row r="124" spans="1:3" x14ac:dyDescent="0.25">
      <c r="A124" s="32" t="s">
        <v>476</v>
      </c>
    </row>
    <row r="125" spans="1:3" x14ac:dyDescent="0.25">
      <c r="A125" s="32" t="s">
        <v>477</v>
      </c>
    </row>
    <row r="126" spans="1:3" x14ac:dyDescent="0.25">
      <c r="A126" s="32" t="s">
        <v>478</v>
      </c>
    </row>
    <row r="127" spans="1:3" x14ac:dyDescent="0.25">
      <c r="A127" s="2" t="s">
        <v>479</v>
      </c>
    </row>
    <row r="129" spans="1:3" x14ac:dyDescent="0.25">
      <c r="B129" s="15" t="s">
        <v>480</v>
      </c>
    </row>
    <row r="130" spans="1:3" x14ac:dyDescent="0.25">
      <c r="A130" s="4" t="s">
        <v>481</v>
      </c>
      <c r="B130" s="37">
        <f>IF(B113,0.001*Input!B92*B$12/B113,0)</f>
        <v>12.104400946805518</v>
      </c>
      <c r="C130" s="17"/>
    </row>
    <row r="131" spans="1:3" x14ac:dyDescent="0.25">
      <c r="A131" s="4" t="s">
        <v>482</v>
      </c>
      <c r="B131" s="37">
        <f>IF(B114,0.001*Input!B93*B$12/B114,0)</f>
        <v>1.8742695165915775</v>
      </c>
      <c r="C131" s="17"/>
    </row>
    <row r="132" spans="1:3" x14ac:dyDescent="0.25">
      <c r="A132" s="4" t="s">
        <v>483</v>
      </c>
      <c r="B132" s="37">
        <f>IF(B115,0.001*Input!B94*B$12/B115,0)</f>
        <v>4.2078379730758622</v>
      </c>
      <c r="C132" s="17"/>
    </row>
    <row r="133" spans="1:3" x14ac:dyDescent="0.25">
      <c r="A133" s="4" t="s">
        <v>484</v>
      </c>
      <c r="B133" s="37">
        <f>IF(B116,0.001*Input!B95*B$12/B116,0)</f>
        <v>4.2133684673113088</v>
      </c>
      <c r="C133" s="17"/>
    </row>
    <row r="134" spans="1:3" x14ac:dyDescent="0.25">
      <c r="A134" s="4" t="s">
        <v>485</v>
      </c>
      <c r="B134" s="37">
        <f>IF(B117,0.001*Input!B96*B$12/B117,0)</f>
        <v>0</v>
      </c>
      <c r="C134" s="17"/>
    </row>
    <row r="135" spans="1:3" x14ac:dyDescent="0.25">
      <c r="A135" s="4" t="s">
        <v>486</v>
      </c>
      <c r="B135" s="37">
        <f>IF(B118,0.001*Input!B97*B$12/B118,0)</f>
        <v>16.551584633250457</v>
      </c>
      <c r="C135" s="17"/>
    </row>
    <row r="136" spans="1:3" x14ac:dyDescent="0.25">
      <c r="A136" s="4" t="s">
        <v>487</v>
      </c>
      <c r="B136" s="37">
        <f>IF(B119,0.001*Input!B98*B$12/B119,0)</f>
        <v>6.9666667260162516</v>
      </c>
      <c r="C136" s="17"/>
    </row>
    <row r="137" spans="1:3" x14ac:dyDescent="0.25">
      <c r="A137" s="4" t="s">
        <v>488</v>
      </c>
      <c r="B137" s="37">
        <f>IF(B120,0.001*Input!B99*B$12/B120,0)</f>
        <v>16.532763571632564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South West in April 19 (no data version)</v>
      </c>
    </row>
    <row r="2" spans="1:3" x14ac:dyDescent="0.25">
      <c r="A2" s="2" t="s">
        <v>489</v>
      </c>
    </row>
    <row r="4" spans="1:3" ht="21" customHeight="1" x14ac:dyDescent="0.3">
      <c r="A4" s="1" t="s">
        <v>490</v>
      </c>
    </row>
    <row r="5" spans="1:3" x14ac:dyDescent="0.25">
      <c r="A5" s="2" t="s">
        <v>381</v>
      </c>
    </row>
    <row r="6" spans="1:3" x14ac:dyDescent="0.25">
      <c r="A6" s="32" t="s">
        <v>491</v>
      </c>
    </row>
    <row r="7" spans="1:3" x14ac:dyDescent="0.25">
      <c r="A7" s="32" t="s">
        <v>492</v>
      </c>
    </row>
    <row r="8" spans="1:3" x14ac:dyDescent="0.25">
      <c r="A8" s="2" t="s">
        <v>394</v>
      </c>
    </row>
    <row r="10" spans="1:3" ht="30" x14ac:dyDescent="0.25">
      <c r="B10" s="15" t="s">
        <v>493</v>
      </c>
    </row>
    <row r="11" spans="1:3" x14ac:dyDescent="0.25">
      <c r="A11" s="4" t="s">
        <v>182</v>
      </c>
      <c r="B11" s="42">
        <f>SUMPRODUCT(Input!$B114:$I114,Input!$B$104:$I$104)</f>
        <v>217.86641500000007</v>
      </c>
      <c r="C11" s="17"/>
    </row>
    <row r="12" spans="1:3" x14ac:dyDescent="0.25">
      <c r="A12" s="4" t="s">
        <v>183</v>
      </c>
      <c r="B12" s="42">
        <f>SUMPRODUCT(Input!$B115:$I115,Input!$B$104:$I$104)</f>
        <v>217.86641500000007</v>
      </c>
      <c r="C12" s="17"/>
    </row>
    <row r="13" spans="1:3" x14ac:dyDescent="0.25">
      <c r="A13" s="4" t="s">
        <v>184</v>
      </c>
      <c r="B13" s="42">
        <f>SUMPRODUCT(Input!$B116:$I116,Input!$B$104:$I$104)</f>
        <v>664.33208833333356</v>
      </c>
      <c r="C13" s="17"/>
    </row>
    <row r="14" spans="1:3" x14ac:dyDescent="0.25">
      <c r="A14" s="4" t="s">
        <v>185</v>
      </c>
      <c r="B14" s="42">
        <f>SUMPRODUCT(Input!$B117:$I117,Input!$B$104:$I$104)</f>
        <v>664.33208833333356</v>
      </c>
      <c r="C14" s="17"/>
    </row>
    <row r="15" spans="1:3" x14ac:dyDescent="0.25">
      <c r="A15" s="4" t="s">
        <v>186</v>
      </c>
      <c r="B15" s="42">
        <f>SUMPRODUCT(Input!$B118:$I118,Input!$B$104:$I$104)</f>
        <v>768.35503333333349</v>
      </c>
      <c r="C15" s="17"/>
    </row>
    <row r="16" spans="1:3" x14ac:dyDescent="0.25">
      <c r="A16" s="4" t="s">
        <v>187</v>
      </c>
      <c r="B16" s="42">
        <f>SUMPRODUCT(Input!$B119:$I119,Input!$B$104:$I$104)</f>
        <v>557.61393999999996</v>
      </c>
      <c r="C16" s="17"/>
    </row>
    <row r="17" spans="1:3" x14ac:dyDescent="0.25">
      <c r="A17" s="4" t="s">
        <v>188</v>
      </c>
      <c r="B17" s="42">
        <f>SUMPRODUCT(Input!$B120:$I120,Input!$B$104:$I$104)</f>
        <v>217.86641500000007</v>
      </c>
      <c r="C17" s="17"/>
    </row>
    <row r="18" spans="1:3" x14ac:dyDescent="0.25">
      <c r="A18" s="4" t="s">
        <v>189</v>
      </c>
      <c r="B18" s="42">
        <f>SUMPRODUCT(Input!$B121:$I121,Input!$B$104:$I$104)</f>
        <v>664.33208833333356</v>
      </c>
      <c r="C18" s="17"/>
    </row>
    <row r="19" spans="1:3" x14ac:dyDescent="0.25">
      <c r="A19" s="4" t="s">
        <v>190</v>
      </c>
      <c r="B19" s="42">
        <f>SUMPRODUCT(Input!$B122:$I122,Input!$B$104:$I$104)</f>
        <v>1230.2180106666669</v>
      </c>
      <c r="C19" s="17"/>
    </row>
    <row r="20" spans="1:3" x14ac:dyDescent="0.25">
      <c r="A20" s="4" t="s">
        <v>191</v>
      </c>
      <c r="B20" s="42">
        <f>SUMPRODUCT(Input!$B123:$I123,Input!$B$104:$I$104)</f>
        <v>960.35940000000016</v>
      </c>
      <c r="C20" s="17"/>
    </row>
    <row r="21" spans="1:3" x14ac:dyDescent="0.25">
      <c r="A21" s="4" t="s">
        <v>192</v>
      </c>
      <c r="B21" s="42">
        <f>SUMPRODUCT(Input!$B124:$I124,Input!$B$104:$I$104)</f>
        <v>0</v>
      </c>
      <c r="C21" s="17"/>
    </row>
    <row r="22" spans="1:3" x14ac:dyDescent="0.25">
      <c r="A22" s="4" t="s">
        <v>193</v>
      </c>
      <c r="B22" s="42">
        <f>SUMPRODUCT(Input!$B125:$I125,Input!$B$104:$I$104)</f>
        <v>0</v>
      </c>
      <c r="C22" s="17"/>
    </row>
    <row r="23" spans="1:3" x14ac:dyDescent="0.25">
      <c r="A23" s="4" t="s">
        <v>194</v>
      </c>
      <c r="B23" s="42">
        <f>SUMPRODUCT(Input!$B126:$I126,Input!$B$104:$I$104)</f>
        <v>0</v>
      </c>
      <c r="C23" s="17"/>
    </row>
    <row r="24" spans="1:3" x14ac:dyDescent="0.25">
      <c r="A24" s="4" t="s">
        <v>195</v>
      </c>
      <c r="B24" s="42">
        <f>SUMPRODUCT(Input!$B127:$I127,Input!$B$104:$I$104)</f>
        <v>0</v>
      </c>
      <c r="C24" s="17"/>
    </row>
    <row r="25" spans="1:3" x14ac:dyDescent="0.25">
      <c r="A25" s="4" t="s">
        <v>196</v>
      </c>
      <c r="B25" s="42">
        <f>SUMPRODUCT(Input!$B128:$I128,Input!$B$104:$I$104)</f>
        <v>0</v>
      </c>
      <c r="C25" s="17"/>
    </row>
    <row r="26" spans="1:3" x14ac:dyDescent="0.25">
      <c r="A26" s="4" t="s">
        <v>197</v>
      </c>
      <c r="B26" s="42">
        <f>SUMPRODUCT(Input!$B129:$I129,Input!$B$104:$I$104)</f>
        <v>0</v>
      </c>
      <c r="C26" s="17"/>
    </row>
    <row r="27" spans="1:3" x14ac:dyDescent="0.25">
      <c r="A27" s="4" t="s">
        <v>198</v>
      </c>
      <c r="B27" s="42">
        <f>SUMPRODUCT(Input!$B130:$I130,Input!$B$104:$I$104)</f>
        <v>0</v>
      </c>
      <c r="C27" s="17"/>
    </row>
    <row r="28" spans="1:3" x14ac:dyDescent="0.25">
      <c r="A28" s="4" t="s">
        <v>199</v>
      </c>
      <c r="B28" s="42">
        <f>SUMPRODUCT(Input!$B131:$I131,Input!$B$104:$I$104)</f>
        <v>0</v>
      </c>
      <c r="C28" s="17"/>
    </row>
    <row r="29" spans="1:3" x14ac:dyDescent="0.25">
      <c r="A29" s="4" t="s">
        <v>200</v>
      </c>
      <c r="B29" s="42">
        <f>SUMPRODUCT(Input!$B132:$I132,Input!$B$104:$I$104)</f>
        <v>0</v>
      </c>
      <c r="C29" s="17"/>
    </row>
    <row r="30" spans="1:3" x14ac:dyDescent="0.25">
      <c r="A30" s="4" t="s">
        <v>201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494</v>
      </c>
    </row>
    <row r="33" spans="1:3" x14ac:dyDescent="0.25">
      <c r="A33" s="2" t="s">
        <v>381</v>
      </c>
    </row>
    <row r="34" spans="1:3" x14ac:dyDescent="0.25">
      <c r="A34" s="32" t="s">
        <v>495</v>
      </c>
    </row>
    <row r="35" spans="1:3" x14ac:dyDescent="0.25">
      <c r="A35" s="32" t="s">
        <v>492</v>
      </c>
    </row>
    <row r="36" spans="1:3" x14ac:dyDescent="0.25">
      <c r="A36" s="2" t="s">
        <v>394</v>
      </c>
    </row>
    <row r="38" spans="1:3" ht="30" x14ac:dyDescent="0.25">
      <c r="B38" s="15" t="s">
        <v>493</v>
      </c>
    </row>
    <row r="39" spans="1:3" x14ac:dyDescent="0.25">
      <c r="A39" s="4" t="s">
        <v>496</v>
      </c>
      <c r="B39" s="42">
        <f>SUMPRODUCT(Input!$B140:$I140,Input!$B$104:$I$104)</f>
        <v>256.49895856000001</v>
      </c>
      <c r="C39" s="17"/>
    </row>
    <row r="41" spans="1:3" ht="21" customHeight="1" x14ac:dyDescent="0.3">
      <c r="A41" s="1" t="s">
        <v>497</v>
      </c>
    </row>
    <row r="42" spans="1:3" x14ac:dyDescent="0.25">
      <c r="A42" s="2" t="s">
        <v>381</v>
      </c>
    </row>
    <row r="43" spans="1:3" x14ac:dyDescent="0.25">
      <c r="A43" s="32" t="s">
        <v>498</v>
      </c>
    </row>
    <row r="44" spans="1:3" x14ac:dyDescent="0.25">
      <c r="A44" s="32" t="s">
        <v>499</v>
      </c>
    </row>
    <row r="45" spans="1:3" x14ac:dyDescent="0.25">
      <c r="A45" s="32" t="s">
        <v>478</v>
      </c>
    </row>
    <row r="46" spans="1:3" x14ac:dyDescent="0.25">
      <c r="A46" s="2" t="s">
        <v>500</v>
      </c>
    </row>
    <row r="48" spans="1:3" ht="30" x14ac:dyDescent="0.25">
      <c r="B48" s="15" t="s">
        <v>493</v>
      </c>
    </row>
    <row r="49" spans="1:3" x14ac:dyDescent="0.25">
      <c r="A49" s="4" t="s">
        <v>501</v>
      </c>
      <c r="B49" s="37">
        <f>0.1*Input!$D60*B39*DRM!$B12</f>
        <v>0</v>
      </c>
      <c r="C49" s="17"/>
    </row>
    <row r="51" spans="1:3" ht="21" customHeight="1" x14ac:dyDescent="0.3">
      <c r="A51" s="1" t="s">
        <v>502</v>
      </c>
    </row>
    <row r="52" spans="1:3" x14ac:dyDescent="0.25">
      <c r="A52" s="2" t="s">
        <v>381</v>
      </c>
    </row>
    <row r="53" spans="1:3" x14ac:dyDescent="0.25">
      <c r="A53" s="32" t="s">
        <v>503</v>
      </c>
    </row>
    <row r="54" spans="1:3" x14ac:dyDescent="0.25">
      <c r="A54" s="32" t="s">
        <v>504</v>
      </c>
    </row>
    <row r="55" spans="1:3" x14ac:dyDescent="0.25">
      <c r="A55" s="2" t="s">
        <v>394</v>
      </c>
    </row>
    <row r="57" spans="1:3" ht="30" x14ac:dyDescent="0.25">
      <c r="B57" s="15" t="s">
        <v>505</v>
      </c>
    </row>
    <row r="58" spans="1:3" x14ac:dyDescent="0.25">
      <c r="A58" s="4" t="s">
        <v>207</v>
      </c>
      <c r="B58" s="42">
        <f>SUMPRODUCT(Input!$B145:$F145,Input!$B$109:$F$109)</f>
        <v>10371.625680000001</v>
      </c>
      <c r="C58" s="17"/>
    </row>
    <row r="59" spans="1:3" x14ac:dyDescent="0.25">
      <c r="A59" s="4" t="s">
        <v>208</v>
      </c>
      <c r="B59" s="42">
        <f>SUMPRODUCT(Input!$B146:$F146,Input!$B$109:$F$109)</f>
        <v>10371.625680000001</v>
      </c>
      <c r="C59" s="17"/>
    </row>
    <row r="60" spans="1:3" x14ac:dyDescent="0.25">
      <c r="A60" s="4" t="s">
        <v>209</v>
      </c>
      <c r="B60" s="42">
        <f>SUMPRODUCT(Input!$B147:$F147,Input!$B$109:$F$109)</f>
        <v>4264</v>
      </c>
      <c r="C60" s="17"/>
    </row>
    <row r="61" spans="1:3" x14ac:dyDescent="0.25">
      <c r="A61" s="4" t="s">
        <v>210</v>
      </c>
      <c r="B61" s="42">
        <f>SUMPRODUCT(Input!$B148:$F148,Input!$B$109:$F$109)</f>
        <v>4264</v>
      </c>
      <c r="C61" s="17"/>
    </row>
    <row r="62" spans="1:3" x14ac:dyDescent="0.25">
      <c r="A62" s="4" t="s">
        <v>211</v>
      </c>
      <c r="B62" s="42">
        <f>SUMPRODUCT(Input!$B149:$F149,Input!$B$109:$F$109)</f>
        <v>4264</v>
      </c>
      <c r="C62" s="17"/>
    </row>
    <row r="63" spans="1:3" x14ac:dyDescent="0.25">
      <c r="A63" s="4" t="s">
        <v>212</v>
      </c>
      <c r="B63" s="42">
        <f>SUMPRODUCT(Input!$B150:$F150,Input!$B$109:$F$109)</f>
        <v>4264</v>
      </c>
      <c r="C63" s="17"/>
    </row>
    <row r="65" spans="1:4" ht="21" customHeight="1" x14ac:dyDescent="0.3">
      <c r="A65" s="1" t="s">
        <v>506</v>
      </c>
    </row>
    <row r="66" spans="1:4" x14ac:dyDescent="0.25">
      <c r="A66" s="2" t="s">
        <v>381</v>
      </c>
    </row>
    <row r="67" spans="1:4" x14ac:dyDescent="0.25">
      <c r="A67" s="32" t="s">
        <v>507</v>
      </c>
    </row>
    <row r="68" spans="1:4" x14ac:dyDescent="0.25">
      <c r="A68" s="32" t="s">
        <v>508</v>
      </c>
    </row>
    <row r="69" spans="1:4" x14ac:dyDescent="0.25">
      <c r="A69" s="2" t="s">
        <v>399</v>
      </c>
    </row>
    <row r="71" spans="1:4" ht="30" x14ac:dyDescent="0.25">
      <c r="B71" s="15" t="s">
        <v>493</v>
      </c>
      <c r="C71" s="15" t="s">
        <v>505</v>
      </c>
    </row>
    <row r="72" spans="1:4" x14ac:dyDescent="0.25">
      <c r="A72" s="4" t="s">
        <v>182</v>
      </c>
      <c r="B72" s="38">
        <f>$B$11</f>
        <v>217.86641500000007</v>
      </c>
      <c r="C72" s="10"/>
      <c r="D72" s="17"/>
    </row>
    <row r="73" spans="1:4" x14ac:dyDescent="0.25">
      <c r="A73" s="4" t="s">
        <v>183</v>
      </c>
      <c r="B73" s="38">
        <f>$B$12</f>
        <v>217.86641500000007</v>
      </c>
      <c r="C73" s="10"/>
      <c r="D73" s="17"/>
    </row>
    <row r="74" spans="1:4" x14ac:dyDescent="0.25">
      <c r="A74" s="4" t="s">
        <v>228</v>
      </c>
      <c r="B74" s="10"/>
      <c r="C74" s="10"/>
      <c r="D74" s="17"/>
    </row>
    <row r="75" spans="1:4" x14ac:dyDescent="0.25">
      <c r="A75" s="4" t="s">
        <v>184</v>
      </c>
      <c r="B75" s="38">
        <f>$B$13</f>
        <v>664.33208833333356</v>
      </c>
      <c r="C75" s="10"/>
      <c r="D75" s="17"/>
    </row>
    <row r="76" spans="1:4" x14ac:dyDescent="0.25">
      <c r="A76" s="4" t="s">
        <v>185</v>
      </c>
      <c r="B76" s="38">
        <f>$B$14</f>
        <v>664.33208833333356</v>
      </c>
      <c r="C76" s="10"/>
      <c r="D76" s="17"/>
    </row>
    <row r="77" spans="1:4" x14ac:dyDescent="0.25">
      <c r="A77" s="4" t="s">
        <v>229</v>
      </c>
      <c r="B77" s="10"/>
      <c r="C77" s="10"/>
      <c r="D77" s="17"/>
    </row>
    <row r="78" spans="1:4" x14ac:dyDescent="0.25">
      <c r="A78" s="4" t="s">
        <v>186</v>
      </c>
      <c r="B78" s="38">
        <f>$B$15</f>
        <v>768.35503333333349</v>
      </c>
      <c r="C78" s="10"/>
      <c r="D78" s="17"/>
    </row>
    <row r="79" spans="1:4" x14ac:dyDescent="0.25">
      <c r="A79" s="4" t="s">
        <v>187</v>
      </c>
      <c r="B79" s="38">
        <f>$B$16</f>
        <v>557.61393999999996</v>
      </c>
      <c r="C79" s="10"/>
      <c r="D79" s="17"/>
    </row>
    <row r="80" spans="1:4" x14ac:dyDescent="0.25">
      <c r="A80" s="4" t="s">
        <v>207</v>
      </c>
      <c r="B80" s="10"/>
      <c r="C80" s="38">
        <f>$B$58</f>
        <v>10371.625680000001</v>
      </c>
      <c r="D80" s="17"/>
    </row>
    <row r="81" spans="1:4" x14ac:dyDescent="0.25">
      <c r="A81" s="4" t="s">
        <v>188</v>
      </c>
      <c r="B81" s="38">
        <f>$B$17</f>
        <v>217.86641500000007</v>
      </c>
      <c r="C81" s="10"/>
      <c r="D81" s="17"/>
    </row>
    <row r="82" spans="1:4" x14ac:dyDescent="0.25">
      <c r="A82" s="4" t="s">
        <v>189</v>
      </c>
      <c r="B82" s="38">
        <f>$B$18</f>
        <v>664.33208833333356</v>
      </c>
      <c r="C82" s="10"/>
      <c r="D82" s="17"/>
    </row>
    <row r="83" spans="1:4" x14ac:dyDescent="0.25">
      <c r="A83" s="4" t="s">
        <v>190</v>
      </c>
      <c r="B83" s="38">
        <f>$B$19</f>
        <v>1230.2180106666669</v>
      </c>
      <c r="C83" s="10"/>
      <c r="D83" s="17"/>
    </row>
    <row r="84" spans="1:4" x14ac:dyDescent="0.25">
      <c r="A84" s="4" t="s">
        <v>191</v>
      </c>
      <c r="B84" s="38">
        <f>$B$20</f>
        <v>960.35940000000016</v>
      </c>
      <c r="C84" s="10"/>
      <c r="D84" s="17"/>
    </row>
    <row r="85" spans="1:4" x14ac:dyDescent="0.25">
      <c r="A85" s="4" t="s">
        <v>208</v>
      </c>
      <c r="B85" s="10"/>
      <c r="C85" s="38">
        <f>$B$59</f>
        <v>10371.625680000001</v>
      </c>
      <c r="D85" s="17"/>
    </row>
    <row r="86" spans="1:4" x14ac:dyDescent="0.25">
      <c r="A86" s="4" t="s">
        <v>230</v>
      </c>
      <c r="B86" s="10"/>
      <c r="C86" s="10"/>
      <c r="D86" s="17"/>
    </row>
    <row r="87" spans="1:4" x14ac:dyDescent="0.25">
      <c r="A87" s="4" t="s">
        <v>231</v>
      </c>
      <c r="B87" s="10"/>
      <c r="C87" s="10"/>
      <c r="D87" s="17"/>
    </row>
    <row r="88" spans="1:4" x14ac:dyDescent="0.25">
      <c r="A88" s="4" t="s">
        <v>232</v>
      </c>
      <c r="B88" s="10"/>
      <c r="C88" s="10"/>
      <c r="D88" s="17"/>
    </row>
    <row r="89" spans="1:4" x14ac:dyDescent="0.25">
      <c r="A89" s="4" t="s">
        <v>233</v>
      </c>
      <c r="B89" s="10"/>
      <c r="C89" s="10"/>
      <c r="D89" s="17"/>
    </row>
    <row r="90" spans="1:4" x14ac:dyDescent="0.25">
      <c r="A90" s="4" t="s">
        <v>234</v>
      </c>
      <c r="B90" s="10"/>
      <c r="C90" s="10"/>
      <c r="D90" s="17"/>
    </row>
    <row r="91" spans="1:4" x14ac:dyDescent="0.25">
      <c r="A91" s="4" t="s">
        <v>192</v>
      </c>
      <c r="B91" s="38">
        <f>$B$21</f>
        <v>0</v>
      </c>
      <c r="C91" s="10"/>
      <c r="D91" s="17"/>
    </row>
    <row r="92" spans="1:4" x14ac:dyDescent="0.25">
      <c r="A92" s="4" t="s">
        <v>193</v>
      </c>
      <c r="B92" s="38">
        <f>$B$22</f>
        <v>0</v>
      </c>
      <c r="C92" s="10"/>
      <c r="D92" s="17"/>
    </row>
    <row r="93" spans="1:4" x14ac:dyDescent="0.25">
      <c r="A93" s="4" t="s">
        <v>194</v>
      </c>
      <c r="B93" s="38">
        <f>$B$23</f>
        <v>0</v>
      </c>
      <c r="C93" s="10"/>
      <c r="D93" s="17"/>
    </row>
    <row r="94" spans="1:4" x14ac:dyDescent="0.25">
      <c r="A94" s="4" t="s">
        <v>195</v>
      </c>
      <c r="B94" s="38">
        <f>$B$24</f>
        <v>0</v>
      </c>
      <c r="C94" s="10"/>
      <c r="D94" s="17"/>
    </row>
    <row r="95" spans="1:4" x14ac:dyDescent="0.25">
      <c r="A95" s="4" t="s">
        <v>196</v>
      </c>
      <c r="B95" s="38">
        <f>$B$25</f>
        <v>0</v>
      </c>
      <c r="C95" s="10"/>
      <c r="D95" s="17"/>
    </row>
    <row r="96" spans="1:4" x14ac:dyDescent="0.25">
      <c r="A96" s="4" t="s">
        <v>197</v>
      </c>
      <c r="B96" s="38">
        <f>$B$26</f>
        <v>0</v>
      </c>
      <c r="C96" s="10"/>
      <c r="D96" s="17"/>
    </row>
    <row r="97" spans="1:4" x14ac:dyDescent="0.25">
      <c r="A97" s="4" t="s">
        <v>198</v>
      </c>
      <c r="B97" s="38">
        <f>$B$27</f>
        <v>0</v>
      </c>
      <c r="C97" s="10"/>
      <c r="D97" s="17"/>
    </row>
    <row r="98" spans="1:4" x14ac:dyDescent="0.25">
      <c r="A98" s="4" t="s">
        <v>199</v>
      </c>
      <c r="B98" s="38">
        <f>$B$28</f>
        <v>0</v>
      </c>
      <c r="C98" s="10"/>
      <c r="D98" s="17"/>
    </row>
    <row r="99" spans="1:4" x14ac:dyDescent="0.25">
      <c r="A99" s="4" t="s">
        <v>200</v>
      </c>
      <c r="B99" s="38">
        <f>$B$29</f>
        <v>0</v>
      </c>
      <c r="C99" s="10"/>
      <c r="D99" s="17"/>
    </row>
    <row r="100" spans="1:4" x14ac:dyDescent="0.25">
      <c r="A100" s="4" t="s">
        <v>201</v>
      </c>
      <c r="B100" s="38">
        <f>$B$30</f>
        <v>0</v>
      </c>
      <c r="C100" s="10"/>
      <c r="D100" s="17"/>
    </row>
    <row r="101" spans="1:4" x14ac:dyDescent="0.25">
      <c r="A101" s="4" t="s">
        <v>209</v>
      </c>
      <c r="B101" s="10"/>
      <c r="C101" s="38">
        <f>$B$60</f>
        <v>4264</v>
      </c>
      <c r="D101" s="17"/>
    </row>
    <row r="102" spans="1:4" x14ac:dyDescent="0.25">
      <c r="A102" s="4" t="s">
        <v>210</v>
      </c>
      <c r="B102" s="10"/>
      <c r="C102" s="38">
        <f>$B$61</f>
        <v>4264</v>
      </c>
      <c r="D102" s="17"/>
    </row>
    <row r="103" spans="1:4" x14ac:dyDescent="0.25">
      <c r="A103" s="4" t="s">
        <v>211</v>
      </c>
      <c r="B103" s="10"/>
      <c r="C103" s="38">
        <f>$B$62</f>
        <v>4264</v>
      </c>
      <c r="D103" s="17"/>
    </row>
    <row r="104" spans="1:4" x14ac:dyDescent="0.25">
      <c r="A104" s="4" t="s">
        <v>212</v>
      </c>
      <c r="B104" s="10"/>
      <c r="C104" s="38">
        <f>$B$63</f>
        <v>4264</v>
      </c>
      <c r="D104" s="17"/>
    </row>
    <row r="106" spans="1:4" ht="21" customHeight="1" x14ac:dyDescent="0.3">
      <c r="A106" s="1" t="s">
        <v>509</v>
      </c>
    </row>
    <row r="107" spans="1:4" x14ac:dyDescent="0.25">
      <c r="A107" s="2" t="s">
        <v>381</v>
      </c>
    </row>
    <row r="108" spans="1:4" x14ac:dyDescent="0.25">
      <c r="A108" s="32" t="s">
        <v>510</v>
      </c>
    </row>
    <row r="109" spans="1:4" x14ac:dyDescent="0.25">
      <c r="A109" s="32" t="s">
        <v>511</v>
      </c>
    </row>
    <row r="110" spans="1:4" x14ac:dyDescent="0.25">
      <c r="A110" s="32" t="s">
        <v>478</v>
      </c>
    </row>
    <row r="111" spans="1:4" x14ac:dyDescent="0.25">
      <c r="A111" s="32" t="s">
        <v>512</v>
      </c>
    </row>
    <row r="112" spans="1:4" x14ac:dyDescent="0.25">
      <c r="A112" s="32" t="s">
        <v>513</v>
      </c>
    </row>
    <row r="113" spans="1:5" x14ac:dyDescent="0.25">
      <c r="A113" s="33" t="s">
        <v>384</v>
      </c>
      <c r="B113" s="33" t="s">
        <v>514</v>
      </c>
      <c r="C113" s="33"/>
      <c r="D113" s="33" t="s">
        <v>515</v>
      </c>
    </row>
    <row r="114" spans="1:5" x14ac:dyDescent="0.25">
      <c r="A114" s="33" t="s">
        <v>387</v>
      </c>
      <c r="B114" s="33" t="s">
        <v>516</v>
      </c>
      <c r="C114" s="33"/>
      <c r="D114" s="33" t="s">
        <v>517</v>
      </c>
    </row>
    <row r="116" spans="1:5" x14ac:dyDescent="0.25">
      <c r="B116" s="30" t="s">
        <v>518</v>
      </c>
      <c r="C116" s="30"/>
    </row>
    <row r="117" spans="1:5" ht="30" x14ac:dyDescent="0.25">
      <c r="B117" s="15" t="s">
        <v>493</v>
      </c>
      <c r="C117" s="15" t="s">
        <v>505</v>
      </c>
      <c r="D117" s="15" t="s">
        <v>519</v>
      </c>
    </row>
    <row r="118" spans="1:5" x14ac:dyDescent="0.25">
      <c r="A118" s="4" t="s">
        <v>182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183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228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184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185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229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186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187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207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188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189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190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191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208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230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231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232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233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234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192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193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194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195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196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197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198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199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200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201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209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210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211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212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South West in April 19 (no data version)</v>
      </c>
    </row>
    <row r="2" spans="1:1" x14ac:dyDescent="0.25">
      <c r="A2" s="2" t="s">
        <v>520</v>
      </c>
    </row>
    <row r="3" spans="1:1" x14ac:dyDescent="0.25">
      <c r="A3" s="2"/>
    </row>
    <row r="4" spans="1:1" x14ac:dyDescent="0.25">
      <c r="A4" s="2" t="s">
        <v>521</v>
      </c>
    </row>
    <row r="5" spans="1:1" x14ac:dyDescent="0.25">
      <c r="A5" s="2" t="s">
        <v>522</v>
      </c>
    </row>
    <row r="6" spans="1:1" x14ac:dyDescent="0.25">
      <c r="A6" s="2"/>
    </row>
    <row r="7" spans="1:1" x14ac:dyDescent="0.25">
      <c r="A7" s="2" t="s">
        <v>523</v>
      </c>
    </row>
    <row r="8" spans="1:1" x14ac:dyDescent="0.25">
      <c r="A8" s="2" t="s">
        <v>524</v>
      </c>
    </row>
    <row r="9" spans="1:1" x14ac:dyDescent="0.25">
      <c r="A9" s="2" t="s">
        <v>525</v>
      </c>
    </row>
    <row r="10" spans="1:1" x14ac:dyDescent="0.25">
      <c r="A10" s="2" t="s">
        <v>526</v>
      </c>
    </row>
    <row r="12" spans="1:1" ht="21" customHeight="1" x14ac:dyDescent="0.3">
      <c r="A12" s="1" t="s">
        <v>527</v>
      </c>
    </row>
    <row r="13" spans="1:1" x14ac:dyDescent="0.25">
      <c r="A13" s="2" t="s">
        <v>381</v>
      </c>
    </row>
    <row r="14" spans="1:1" x14ac:dyDescent="0.25">
      <c r="A14" s="32" t="s">
        <v>528</v>
      </c>
    </row>
    <row r="15" spans="1:1" x14ac:dyDescent="0.25">
      <c r="A15" s="32" t="s">
        <v>529</v>
      </c>
    </row>
    <row r="16" spans="1:1" x14ac:dyDescent="0.25">
      <c r="A16" s="2" t="s">
        <v>461</v>
      </c>
    </row>
    <row r="18" spans="1:3" x14ac:dyDescent="0.25">
      <c r="B18" s="15" t="s">
        <v>530</v>
      </c>
    </row>
    <row r="19" spans="1:3" x14ac:dyDescent="0.25">
      <c r="A19" s="4" t="s">
        <v>182</v>
      </c>
      <c r="B19" s="37">
        <f>Input!B168/Input!C168</f>
        <v>2.2031675644648527</v>
      </c>
      <c r="C19" s="17"/>
    </row>
    <row r="20" spans="1:3" x14ac:dyDescent="0.25">
      <c r="A20" s="4" t="s">
        <v>183</v>
      </c>
      <c r="B20" s="37">
        <f>Input!B169/Input!C169</f>
        <v>1.3514539207802303</v>
      </c>
      <c r="C20" s="17"/>
    </row>
    <row r="21" spans="1:3" x14ac:dyDescent="0.25">
      <c r="A21" s="4" t="s">
        <v>228</v>
      </c>
      <c r="B21" s="37">
        <f>Input!B170/Input!C170</f>
        <v>0</v>
      </c>
      <c r="C21" s="17"/>
    </row>
    <row r="22" spans="1:3" x14ac:dyDescent="0.25">
      <c r="A22" s="4" t="s">
        <v>184</v>
      </c>
      <c r="B22" s="37">
        <f>Input!B171/Input!C171</f>
        <v>1.688482474455532</v>
      </c>
      <c r="C22" s="17"/>
    </row>
    <row r="23" spans="1:3" x14ac:dyDescent="0.25">
      <c r="A23" s="4" t="s">
        <v>185</v>
      </c>
      <c r="B23" s="37">
        <f>Input!B172/Input!C172</f>
        <v>1.4309320373072012</v>
      </c>
      <c r="C23" s="17"/>
    </row>
    <row r="24" spans="1:3" x14ac:dyDescent="0.25">
      <c r="A24" s="4" t="s">
        <v>229</v>
      </c>
      <c r="B24" s="37">
        <f>Input!B173/Input!C173</f>
        <v>0</v>
      </c>
      <c r="C24" s="17"/>
    </row>
    <row r="25" spans="1:3" x14ac:dyDescent="0.25">
      <c r="A25" s="4" t="s">
        <v>186</v>
      </c>
      <c r="B25" s="37">
        <f>Input!B174/Input!C174</f>
        <v>1.4463428899017581</v>
      </c>
      <c r="C25" s="17"/>
    </row>
    <row r="26" spans="1:3" x14ac:dyDescent="0.25">
      <c r="A26" s="4" t="s">
        <v>187</v>
      </c>
      <c r="B26" s="37">
        <f>Input!B175/Input!C175</f>
        <v>1.3968427058558737</v>
      </c>
      <c r="C26" s="17"/>
    </row>
    <row r="27" spans="1:3" x14ac:dyDescent="0.25">
      <c r="A27" s="4" t="s">
        <v>207</v>
      </c>
      <c r="B27" s="37">
        <f>Input!B176/Input!C176</f>
        <v>1.4579215283687421</v>
      </c>
      <c r="C27" s="17"/>
    </row>
    <row r="28" spans="1:3" x14ac:dyDescent="0.25">
      <c r="A28" s="4" t="s">
        <v>188</v>
      </c>
      <c r="B28" s="37">
        <f>Input!B177/Input!C177</f>
        <v>2.1289294593246071</v>
      </c>
      <c r="C28" s="17"/>
    </row>
    <row r="29" spans="1:3" x14ac:dyDescent="0.25">
      <c r="A29" s="4" t="s">
        <v>189</v>
      </c>
      <c r="B29" s="37">
        <f>Input!B178/Input!C178</f>
        <v>1.6562758043612162</v>
      </c>
      <c r="C29" s="17"/>
    </row>
    <row r="30" spans="1:3" x14ac:dyDescent="0.25">
      <c r="A30" s="4" t="s">
        <v>190</v>
      </c>
      <c r="B30" s="37">
        <f>Input!B179/Input!C179</f>
        <v>1.3671116295242181</v>
      </c>
      <c r="C30" s="17"/>
    </row>
    <row r="31" spans="1:3" x14ac:dyDescent="0.25">
      <c r="A31" s="4" t="s">
        <v>191</v>
      </c>
      <c r="B31" s="37">
        <f>Input!B180/Input!C180</f>
        <v>1.2523268596638797</v>
      </c>
      <c r="C31" s="17"/>
    </row>
    <row r="32" spans="1:3" x14ac:dyDescent="0.25">
      <c r="A32" s="4" t="s">
        <v>208</v>
      </c>
      <c r="B32" s="37">
        <f>Input!B181/Input!C181</f>
        <v>1.1192683378638977</v>
      </c>
      <c r="C32" s="17"/>
    </row>
    <row r="33" spans="1:3" x14ac:dyDescent="0.25">
      <c r="A33" s="4" t="s">
        <v>230</v>
      </c>
      <c r="B33" s="37">
        <f>Input!B182/Input!C182</f>
        <v>1</v>
      </c>
      <c r="C33" s="17"/>
    </row>
    <row r="34" spans="1:3" x14ac:dyDescent="0.25">
      <c r="A34" s="4" t="s">
        <v>231</v>
      </c>
      <c r="B34" s="37">
        <f>Input!B183/Input!C183</f>
        <v>2.0683528705980696</v>
      </c>
      <c r="C34" s="17"/>
    </row>
    <row r="35" spans="1:3" x14ac:dyDescent="0.25">
      <c r="A35" s="4" t="s">
        <v>232</v>
      </c>
      <c r="B35" s="37">
        <f>Input!B184/Input!C184</f>
        <v>3.4357714343474575</v>
      </c>
      <c r="C35" s="17"/>
    </row>
    <row r="36" spans="1:3" x14ac:dyDescent="0.25">
      <c r="A36" s="4" t="s">
        <v>233</v>
      </c>
      <c r="B36" s="37">
        <f>Input!B185/Input!C185</f>
        <v>0</v>
      </c>
      <c r="C36" s="17"/>
    </row>
    <row r="37" spans="1:3" x14ac:dyDescent="0.25">
      <c r="A37" s="4" t="s">
        <v>234</v>
      </c>
      <c r="B37" s="37">
        <f>Input!B186/Input!C186</f>
        <v>2.1032359311185185</v>
      </c>
      <c r="C37" s="17"/>
    </row>
    <row r="39" spans="1:3" ht="21" customHeight="1" x14ac:dyDescent="0.3">
      <c r="A39" s="1" t="s">
        <v>531</v>
      </c>
    </row>
    <row r="40" spans="1:3" x14ac:dyDescent="0.25">
      <c r="A40" s="2" t="s">
        <v>381</v>
      </c>
    </row>
    <row r="41" spans="1:3" x14ac:dyDescent="0.25">
      <c r="A41" s="32" t="s">
        <v>532</v>
      </c>
    </row>
    <row r="42" spans="1:3" x14ac:dyDescent="0.25">
      <c r="A42" s="2" t="s">
        <v>533</v>
      </c>
    </row>
    <row r="43" spans="1:3" x14ac:dyDescent="0.25">
      <c r="A43" s="2" t="s">
        <v>399</v>
      </c>
    </row>
    <row r="45" spans="1:3" x14ac:dyDescent="0.25">
      <c r="B45" s="15" t="s">
        <v>534</v>
      </c>
    </row>
    <row r="46" spans="1:3" x14ac:dyDescent="0.25">
      <c r="A46" s="4" t="s">
        <v>182</v>
      </c>
      <c r="B46" s="38">
        <f>B$19</f>
        <v>2.2031675644648527</v>
      </c>
      <c r="C46" s="17"/>
    </row>
    <row r="47" spans="1:3" x14ac:dyDescent="0.25">
      <c r="A47" s="4" t="s">
        <v>183</v>
      </c>
      <c r="B47" s="38">
        <f>B$20</f>
        <v>1.3514539207802303</v>
      </c>
      <c r="C47" s="17"/>
    </row>
    <row r="48" spans="1:3" x14ac:dyDescent="0.25">
      <c r="A48" s="4" t="s">
        <v>228</v>
      </c>
      <c r="B48" s="38">
        <f>B$21</f>
        <v>0</v>
      </c>
      <c r="C48" s="17"/>
    </row>
    <row r="49" spans="1:3" x14ac:dyDescent="0.25">
      <c r="A49" s="4" t="s">
        <v>184</v>
      </c>
      <c r="B49" s="38">
        <f>B$22</f>
        <v>1.688482474455532</v>
      </c>
      <c r="C49" s="17"/>
    </row>
    <row r="50" spans="1:3" x14ac:dyDescent="0.25">
      <c r="A50" s="4" t="s">
        <v>185</v>
      </c>
      <c r="B50" s="38">
        <f>B$23</f>
        <v>1.4309320373072012</v>
      </c>
      <c r="C50" s="17"/>
    </row>
    <row r="51" spans="1:3" x14ac:dyDescent="0.25">
      <c r="A51" s="4" t="s">
        <v>229</v>
      </c>
      <c r="B51" s="38">
        <f>B$24</f>
        <v>0</v>
      </c>
      <c r="C51" s="17"/>
    </row>
    <row r="52" spans="1:3" x14ac:dyDescent="0.25">
      <c r="A52" s="4" t="s">
        <v>186</v>
      </c>
      <c r="B52" s="38">
        <f>B$25</f>
        <v>1.4463428899017581</v>
      </c>
      <c r="C52" s="17"/>
    </row>
    <row r="53" spans="1:3" x14ac:dyDescent="0.25">
      <c r="A53" s="4" t="s">
        <v>187</v>
      </c>
      <c r="B53" s="38">
        <f>B$26</f>
        <v>1.3968427058558737</v>
      </c>
      <c r="C53" s="17"/>
    </row>
    <row r="54" spans="1:3" x14ac:dyDescent="0.25">
      <c r="A54" s="4" t="s">
        <v>207</v>
      </c>
      <c r="B54" s="38">
        <f>B$27</f>
        <v>1.4579215283687421</v>
      </c>
      <c r="C54" s="17"/>
    </row>
    <row r="55" spans="1:3" x14ac:dyDescent="0.25">
      <c r="A55" s="4" t="s">
        <v>188</v>
      </c>
      <c r="B55" s="38">
        <f>B$28</f>
        <v>2.1289294593246071</v>
      </c>
      <c r="C55" s="17"/>
    </row>
    <row r="56" spans="1:3" x14ac:dyDescent="0.25">
      <c r="A56" s="4" t="s">
        <v>189</v>
      </c>
      <c r="B56" s="38">
        <f>B$29</f>
        <v>1.6562758043612162</v>
      </c>
      <c r="C56" s="17"/>
    </row>
    <row r="57" spans="1:3" x14ac:dyDescent="0.25">
      <c r="A57" s="4" t="s">
        <v>190</v>
      </c>
      <c r="B57" s="38">
        <f>B$30</f>
        <v>1.3671116295242181</v>
      </c>
      <c r="C57" s="17"/>
    </row>
    <row r="58" spans="1:3" x14ac:dyDescent="0.25">
      <c r="A58" s="4" t="s">
        <v>191</v>
      </c>
      <c r="B58" s="38">
        <f>B$31</f>
        <v>1.2523268596638797</v>
      </c>
      <c r="C58" s="17"/>
    </row>
    <row r="59" spans="1:3" x14ac:dyDescent="0.25">
      <c r="A59" s="4" t="s">
        <v>208</v>
      </c>
      <c r="B59" s="38">
        <f>B$32</f>
        <v>1.1192683378638977</v>
      </c>
      <c r="C59" s="17"/>
    </row>
    <row r="60" spans="1:3" x14ac:dyDescent="0.25">
      <c r="A60" s="4" t="s">
        <v>230</v>
      </c>
      <c r="B60" s="38">
        <f>B$33</f>
        <v>1</v>
      </c>
      <c r="C60" s="17"/>
    </row>
    <row r="61" spans="1:3" x14ac:dyDescent="0.25">
      <c r="A61" s="4" t="s">
        <v>231</v>
      </c>
      <c r="B61" s="38">
        <f>B$34</f>
        <v>2.0683528705980696</v>
      </c>
      <c r="C61" s="17"/>
    </row>
    <row r="62" spans="1:3" x14ac:dyDescent="0.25">
      <c r="A62" s="4" t="s">
        <v>232</v>
      </c>
      <c r="B62" s="38">
        <f>B$35</f>
        <v>3.4357714343474575</v>
      </c>
      <c r="C62" s="17"/>
    </row>
    <row r="63" spans="1:3" x14ac:dyDescent="0.25">
      <c r="A63" s="4" t="s">
        <v>233</v>
      </c>
      <c r="B63" s="38">
        <f>B$36</f>
        <v>0</v>
      </c>
      <c r="C63" s="17"/>
    </row>
    <row r="64" spans="1:3" x14ac:dyDescent="0.25">
      <c r="A64" s="4" t="s">
        <v>234</v>
      </c>
      <c r="B64" s="38">
        <f>B$37</f>
        <v>2.1032359311185185</v>
      </c>
      <c r="C64" s="17"/>
    </row>
    <row r="65" spans="1:3" x14ac:dyDescent="0.25">
      <c r="A65" s="4" t="s">
        <v>192</v>
      </c>
      <c r="B65" s="27">
        <v>-1</v>
      </c>
      <c r="C65" s="17"/>
    </row>
    <row r="66" spans="1:3" x14ac:dyDescent="0.25">
      <c r="A66" s="4" t="s">
        <v>193</v>
      </c>
      <c r="B66" s="27">
        <v>-1</v>
      </c>
      <c r="C66" s="17"/>
    </row>
    <row r="67" spans="1:3" x14ac:dyDescent="0.25">
      <c r="A67" s="4" t="s">
        <v>194</v>
      </c>
      <c r="B67" s="27">
        <v>-1</v>
      </c>
      <c r="C67" s="17"/>
    </row>
    <row r="68" spans="1:3" x14ac:dyDescent="0.25">
      <c r="A68" s="4" t="s">
        <v>195</v>
      </c>
      <c r="B68" s="27">
        <v>-1</v>
      </c>
      <c r="C68" s="17"/>
    </row>
    <row r="69" spans="1:3" x14ac:dyDescent="0.25">
      <c r="A69" s="4" t="s">
        <v>196</v>
      </c>
      <c r="B69" s="27">
        <v>-1</v>
      </c>
      <c r="C69" s="17"/>
    </row>
    <row r="70" spans="1:3" x14ac:dyDescent="0.25">
      <c r="A70" s="4" t="s">
        <v>197</v>
      </c>
      <c r="B70" s="27">
        <v>-1</v>
      </c>
      <c r="C70" s="17"/>
    </row>
    <row r="71" spans="1:3" x14ac:dyDescent="0.25">
      <c r="A71" s="4" t="s">
        <v>198</v>
      </c>
      <c r="B71" s="27">
        <v>-1</v>
      </c>
      <c r="C71" s="17"/>
    </row>
    <row r="72" spans="1:3" x14ac:dyDescent="0.25">
      <c r="A72" s="4" t="s">
        <v>199</v>
      </c>
      <c r="B72" s="27">
        <v>-1</v>
      </c>
      <c r="C72" s="17"/>
    </row>
    <row r="73" spans="1:3" x14ac:dyDescent="0.25">
      <c r="A73" s="4" t="s">
        <v>200</v>
      </c>
      <c r="B73" s="27">
        <v>-1</v>
      </c>
      <c r="C73" s="17"/>
    </row>
    <row r="74" spans="1:3" x14ac:dyDescent="0.25">
      <c r="A74" s="4" t="s">
        <v>201</v>
      </c>
      <c r="B74" s="27">
        <v>-1</v>
      </c>
      <c r="C74" s="17"/>
    </row>
    <row r="75" spans="1:3" x14ac:dyDescent="0.25">
      <c r="A75" s="4" t="s">
        <v>209</v>
      </c>
      <c r="B75" s="27">
        <v>-1</v>
      </c>
      <c r="C75" s="17"/>
    </row>
    <row r="76" spans="1:3" x14ac:dyDescent="0.25">
      <c r="A76" s="4" t="s">
        <v>210</v>
      </c>
      <c r="B76" s="27">
        <v>-1</v>
      </c>
      <c r="C76" s="17"/>
    </row>
    <row r="77" spans="1:3" x14ac:dyDescent="0.25">
      <c r="A77" s="4" t="s">
        <v>211</v>
      </c>
      <c r="B77" s="27">
        <v>-1</v>
      </c>
      <c r="C77" s="17"/>
    </row>
    <row r="78" spans="1:3" x14ac:dyDescent="0.25">
      <c r="A78" s="4" t="s">
        <v>212</v>
      </c>
      <c r="B78" s="27">
        <v>-1</v>
      </c>
      <c r="C78" s="17"/>
    </row>
    <row r="80" spans="1:3" ht="21" customHeight="1" x14ac:dyDescent="0.3">
      <c r="A80" s="1" t="s">
        <v>535</v>
      </c>
    </row>
    <row r="82" spans="1:7" x14ac:dyDescent="0.25">
      <c r="B82" s="15" t="s">
        <v>218</v>
      </c>
      <c r="C82" s="15" t="s">
        <v>219</v>
      </c>
      <c r="D82" s="15" t="s">
        <v>220</v>
      </c>
      <c r="E82" s="15" t="s">
        <v>221</v>
      </c>
      <c r="F82" s="15" t="s">
        <v>222</v>
      </c>
    </row>
    <row r="83" spans="1:7" x14ac:dyDescent="0.25">
      <c r="A83" s="28" t="s">
        <v>246</v>
      </c>
      <c r="G83" s="17"/>
    </row>
    <row r="84" spans="1:7" x14ac:dyDescent="0.25">
      <c r="A84" s="4" t="s">
        <v>182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247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248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249</v>
      </c>
      <c r="G87" s="17"/>
    </row>
    <row r="88" spans="1:7" x14ac:dyDescent="0.25">
      <c r="A88" s="4" t="s">
        <v>183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250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251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252</v>
      </c>
      <c r="G91" s="17"/>
    </row>
    <row r="92" spans="1:7" x14ac:dyDescent="0.25">
      <c r="A92" s="4" t="s">
        <v>228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253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254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255</v>
      </c>
      <c r="G95" s="17"/>
    </row>
    <row r="96" spans="1:7" x14ac:dyDescent="0.25">
      <c r="A96" s="4" t="s">
        <v>184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256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257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258</v>
      </c>
      <c r="G99" s="17"/>
    </row>
    <row r="100" spans="1:7" x14ac:dyDescent="0.25">
      <c r="A100" s="4" t="s">
        <v>185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259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260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261</v>
      </c>
      <c r="G103" s="17"/>
    </row>
    <row r="104" spans="1:7" x14ac:dyDescent="0.25">
      <c r="A104" s="4" t="s">
        <v>229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262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263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264</v>
      </c>
      <c r="G107" s="17"/>
    </row>
    <row r="108" spans="1:7" x14ac:dyDescent="0.25">
      <c r="A108" s="4" t="s">
        <v>186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265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266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267</v>
      </c>
      <c r="G111" s="17"/>
    </row>
    <row r="112" spans="1:7" x14ac:dyDescent="0.25">
      <c r="A112" s="4" t="s">
        <v>187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268</v>
      </c>
      <c r="G113" s="17"/>
    </row>
    <row r="114" spans="1:7" x14ac:dyDescent="0.25">
      <c r="A114" s="4" t="s">
        <v>207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269</v>
      </c>
      <c r="G115" s="17"/>
    </row>
    <row r="116" spans="1:7" x14ac:dyDescent="0.25">
      <c r="A116" s="4" t="s">
        <v>188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270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271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272</v>
      </c>
      <c r="G119" s="17"/>
    </row>
    <row r="120" spans="1:7" x14ac:dyDescent="0.25">
      <c r="A120" s="4" t="s">
        <v>189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273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274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275</v>
      </c>
      <c r="G123" s="17"/>
    </row>
    <row r="124" spans="1:7" x14ac:dyDescent="0.25">
      <c r="A124" s="4" t="s">
        <v>190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276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277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278</v>
      </c>
      <c r="G127" s="17"/>
    </row>
    <row r="128" spans="1:7" x14ac:dyDescent="0.25">
      <c r="A128" s="4" t="s">
        <v>191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279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280</v>
      </c>
      <c r="G130" s="17"/>
    </row>
    <row r="131" spans="1:7" x14ac:dyDescent="0.25">
      <c r="A131" s="4" t="s">
        <v>208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281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282</v>
      </c>
      <c r="G133" s="17"/>
    </row>
    <row r="134" spans="1:7" x14ac:dyDescent="0.25">
      <c r="A134" s="4" t="s">
        <v>230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283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284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285</v>
      </c>
      <c r="G137" s="17"/>
    </row>
    <row r="138" spans="1:7" x14ac:dyDescent="0.25">
      <c r="A138" s="4" t="s">
        <v>231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286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287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288</v>
      </c>
      <c r="G141" s="17"/>
    </row>
    <row r="142" spans="1:7" x14ac:dyDescent="0.25">
      <c r="A142" s="4" t="s">
        <v>232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289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290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291</v>
      </c>
      <c r="G145" s="17"/>
    </row>
    <row r="146" spans="1:7" x14ac:dyDescent="0.25">
      <c r="A146" s="4" t="s">
        <v>233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292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293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294</v>
      </c>
      <c r="G149" s="17"/>
    </row>
    <row r="150" spans="1:7" x14ac:dyDescent="0.25">
      <c r="A150" s="4" t="s">
        <v>234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295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296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297</v>
      </c>
      <c r="G153" s="17"/>
    </row>
    <row r="154" spans="1:7" x14ac:dyDescent="0.25">
      <c r="A154" s="4" t="s">
        <v>192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298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299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300</v>
      </c>
      <c r="G157" s="17"/>
    </row>
    <row r="158" spans="1:7" x14ac:dyDescent="0.25">
      <c r="A158" s="4" t="s">
        <v>193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301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302</v>
      </c>
      <c r="G160" s="17"/>
    </row>
    <row r="161" spans="1:7" x14ac:dyDescent="0.25">
      <c r="A161" s="4" t="s">
        <v>194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303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304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305</v>
      </c>
      <c r="G164" s="17"/>
    </row>
    <row r="165" spans="1:7" x14ac:dyDescent="0.25">
      <c r="A165" s="4" t="s">
        <v>195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306</v>
      </c>
      <c r="G166" s="17"/>
    </row>
    <row r="167" spans="1:7" x14ac:dyDescent="0.25">
      <c r="A167" s="4" t="s">
        <v>196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307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308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309</v>
      </c>
      <c r="G170" s="17"/>
    </row>
    <row r="171" spans="1:7" x14ac:dyDescent="0.25">
      <c r="A171" s="4" t="s">
        <v>197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310</v>
      </c>
      <c r="G172" s="17"/>
    </row>
    <row r="173" spans="1:7" x14ac:dyDescent="0.25">
      <c r="A173" s="4" t="s">
        <v>198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311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312</v>
      </c>
      <c r="G175" s="17"/>
    </row>
    <row r="176" spans="1:7" x14ac:dyDescent="0.25">
      <c r="A176" s="4" t="s">
        <v>199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313</v>
      </c>
      <c r="G177" s="17"/>
    </row>
    <row r="178" spans="1:7" x14ac:dyDescent="0.25">
      <c r="A178" s="4" t="s">
        <v>200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314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315</v>
      </c>
      <c r="G180" s="17"/>
    </row>
    <row r="181" spans="1:7" x14ac:dyDescent="0.25">
      <c r="A181" s="4" t="s">
        <v>201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316</v>
      </c>
      <c r="G182" s="17"/>
    </row>
    <row r="183" spans="1:7" x14ac:dyDescent="0.25">
      <c r="A183" s="4" t="s">
        <v>209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317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318</v>
      </c>
      <c r="G185" s="17"/>
    </row>
    <row r="186" spans="1:7" x14ac:dyDescent="0.25">
      <c r="A186" s="4" t="s">
        <v>210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319</v>
      </c>
      <c r="G187" s="17"/>
    </row>
    <row r="188" spans="1:7" x14ac:dyDescent="0.25">
      <c r="A188" s="4" t="s">
        <v>211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320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321</v>
      </c>
      <c r="G190" s="17"/>
    </row>
    <row r="191" spans="1:7" x14ac:dyDescent="0.25">
      <c r="A191" s="4" t="s">
        <v>212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536</v>
      </c>
    </row>
    <row r="194" spans="1:10" x14ac:dyDescent="0.25">
      <c r="A194" s="2" t="s">
        <v>381</v>
      </c>
    </row>
    <row r="195" spans="1:10" x14ac:dyDescent="0.25">
      <c r="A195" s="32" t="s">
        <v>537</v>
      </c>
    </row>
    <row r="196" spans="1:10" x14ac:dyDescent="0.25">
      <c r="A196" s="32" t="s">
        <v>538</v>
      </c>
    </row>
    <row r="197" spans="1:10" x14ac:dyDescent="0.25">
      <c r="A197" s="2" t="s">
        <v>539</v>
      </c>
    </row>
    <row r="198" spans="1:10" x14ac:dyDescent="0.25">
      <c r="A198" s="32" t="s">
        <v>540</v>
      </c>
    </row>
    <row r="199" spans="1:10" x14ac:dyDescent="0.25">
      <c r="A199" s="32" t="s">
        <v>541</v>
      </c>
    </row>
    <row r="200" spans="1:10" x14ac:dyDescent="0.25">
      <c r="A200" s="32" t="s">
        <v>542</v>
      </c>
    </row>
    <row r="201" spans="1:10" x14ac:dyDescent="0.25">
      <c r="A201" s="32" t="s">
        <v>543</v>
      </c>
    </row>
    <row r="202" spans="1:10" x14ac:dyDescent="0.25">
      <c r="A202" s="32" t="s">
        <v>544</v>
      </c>
    </row>
    <row r="203" spans="1:10" x14ac:dyDescent="0.25">
      <c r="A203" s="32" t="s">
        <v>545</v>
      </c>
    </row>
    <row r="204" spans="1:10" x14ac:dyDescent="0.25">
      <c r="A204" s="32" t="s">
        <v>546</v>
      </c>
    </row>
    <row r="205" spans="1:10" x14ac:dyDescent="0.25">
      <c r="A205" s="32" t="s">
        <v>547</v>
      </c>
    </row>
    <row r="206" spans="1:10" x14ac:dyDescent="0.25">
      <c r="A206" s="32" t="s">
        <v>548</v>
      </c>
    </row>
    <row r="207" spans="1:10" ht="30" x14ac:dyDescent="0.25">
      <c r="A207" s="33" t="s">
        <v>384</v>
      </c>
      <c r="B207" s="33" t="s">
        <v>386</v>
      </c>
      <c r="C207" s="33" t="s">
        <v>549</v>
      </c>
      <c r="D207" s="33" t="s">
        <v>514</v>
      </c>
      <c r="E207" s="33" t="s">
        <v>514</v>
      </c>
      <c r="F207" s="33" t="s">
        <v>514</v>
      </c>
      <c r="G207" s="33" t="s">
        <v>514</v>
      </c>
      <c r="H207" s="33" t="s">
        <v>514</v>
      </c>
      <c r="I207" s="33" t="s">
        <v>514</v>
      </c>
      <c r="J207" s="33" t="s">
        <v>514</v>
      </c>
    </row>
    <row r="208" spans="1:10" ht="30" x14ac:dyDescent="0.25">
      <c r="A208" s="33" t="s">
        <v>387</v>
      </c>
      <c r="B208" s="33" t="s">
        <v>389</v>
      </c>
      <c r="C208" s="33" t="s">
        <v>550</v>
      </c>
      <c r="D208" s="33" t="s">
        <v>551</v>
      </c>
      <c r="E208" s="33" t="s">
        <v>552</v>
      </c>
      <c r="F208" s="33" t="s">
        <v>553</v>
      </c>
      <c r="G208" s="33" t="s">
        <v>554</v>
      </c>
      <c r="H208" s="33" t="s">
        <v>555</v>
      </c>
      <c r="I208" s="33" t="s">
        <v>556</v>
      </c>
      <c r="J208" s="33" t="s">
        <v>557</v>
      </c>
    </row>
    <row r="210" spans="1:11" ht="45" x14ac:dyDescent="0.25">
      <c r="B210" s="15" t="s">
        <v>558</v>
      </c>
      <c r="C210" s="15" t="s">
        <v>559</v>
      </c>
      <c r="D210" s="15" t="s">
        <v>239</v>
      </c>
      <c r="E210" s="15" t="s">
        <v>240</v>
      </c>
      <c r="F210" s="15" t="s">
        <v>241</v>
      </c>
      <c r="G210" s="15" t="s">
        <v>242</v>
      </c>
      <c r="H210" s="15" t="s">
        <v>243</v>
      </c>
      <c r="I210" s="15" t="s">
        <v>244</v>
      </c>
      <c r="J210" s="15" t="s">
        <v>245</v>
      </c>
    </row>
    <row r="211" spans="1:11" x14ac:dyDescent="0.25">
      <c r="A211" s="28" t="s">
        <v>246</v>
      </c>
      <c r="K211" s="17"/>
    </row>
    <row r="212" spans="1:11" x14ac:dyDescent="0.25">
      <c r="A212" s="4" t="s">
        <v>182</v>
      </c>
      <c r="B212" s="39">
        <f>SUMPRODUCT($B84:$F84,Input!$B$162:$F$162)</f>
        <v>0</v>
      </c>
      <c r="C212" s="41">
        <f>B212</f>
        <v>0</v>
      </c>
      <c r="D212" s="37">
        <f>Input!B195*(1-B212)</f>
        <v>4325611.9207158107</v>
      </c>
      <c r="E212" s="37">
        <f>Input!C195*(1-B212)</f>
        <v>0</v>
      </c>
      <c r="F212" s="37">
        <f>Input!D195*(1-B212)</f>
        <v>0</v>
      </c>
      <c r="G212" s="37">
        <f>Input!E195*(1-C212)</f>
        <v>1265207.2271374017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247</v>
      </c>
      <c r="B213" s="39">
        <f>SUMPRODUCT($B85:$F85,Input!$B$162:$F$162)</f>
        <v>0.37526615197487823</v>
      </c>
      <c r="C213" s="41">
        <f>B213</f>
        <v>0.37526615197487823</v>
      </c>
      <c r="D213" s="37">
        <f>Input!B196*(1-B213)</f>
        <v>16806.118448845235</v>
      </c>
      <c r="E213" s="37">
        <f>Input!C196*(1-B213)</f>
        <v>0</v>
      </c>
      <c r="F213" s="37">
        <f>Input!D196*(1-B213)</f>
        <v>0</v>
      </c>
      <c r="G213" s="37">
        <f>Input!E196*(1-C213)</f>
        <v>6704.1359599683074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248</v>
      </c>
      <c r="B214" s="39">
        <f>SUMPRODUCT($B86:$F86,Input!$B$162:$F$162)</f>
        <v>0.61583543189508039</v>
      </c>
      <c r="C214" s="41">
        <f>B214</f>
        <v>0.61583543189508039</v>
      </c>
      <c r="D214" s="37">
        <f>Input!B197*(1-B214)</f>
        <v>21134.112241964627</v>
      </c>
      <c r="E214" s="37">
        <f>Input!C197*(1-B214)</f>
        <v>0</v>
      </c>
      <c r="F214" s="37">
        <f>Input!D197*(1-B214)</f>
        <v>0</v>
      </c>
      <c r="G214" s="37">
        <f>Input!E197*(1-C214)</f>
        <v>8913.9789783983979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249</v>
      </c>
      <c r="K215" s="17"/>
    </row>
    <row r="216" spans="1:11" x14ac:dyDescent="0.25">
      <c r="A216" s="4" t="s">
        <v>183</v>
      </c>
      <c r="B216" s="39">
        <f>SUMPRODUCT($B88:$F88,Input!$B$162:$F$162)</f>
        <v>0</v>
      </c>
      <c r="C216" s="41">
        <f>B216</f>
        <v>0</v>
      </c>
      <c r="D216" s="37">
        <f>Input!B199*(1-B216)</f>
        <v>631896.20650682866</v>
      </c>
      <c r="E216" s="37">
        <f>Input!C199*(1-B216)</f>
        <v>608756.1368600768</v>
      </c>
      <c r="F216" s="37">
        <f>Input!D199*(1-B216)</f>
        <v>0</v>
      </c>
      <c r="G216" s="37">
        <f>Input!E199*(1-C216)</f>
        <v>204084.58149972049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250</v>
      </c>
      <c r="B217" s="39">
        <f>SUMPRODUCT($B89:$F89,Input!$B$162:$F$162)</f>
        <v>0.37526615197487823</v>
      </c>
      <c r="C217" s="41">
        <f>B217</f>
        <v>0.37526615197487823</v>
      </c>
      <c r="D217" s="37">
        <f>Input!B200*(1-B217)</f>
        <v>1003.582768346452</v>
      </c>
      <c r="E217" s="37">
        <f>Input!C200*(1-B217)</f>
        <v>381.8915528469575</v>
      </c>
      <c r="F217" s="37">
        <f>Input!D200*(1-B217)</f>
        <v>0</v>
      </c>
      <c r="G217" s="37">
        <f>Input!E200*(1-C217)</f>
        <v>453.59811480780559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251</v>
      </c>
      <c r="B218" s="39">
        <f>SUMPRODUCT($B90:$F90,Input!$B$162:$F$162)</f>
        <v>0.61583543189508039</v>
      </c>
      <c r="C218" s="41">
        <f>B218</f>
        <v>0.61583543189508039</v>
      </c>
      <c r="D218" s="37">
        <f>Input!B201*(1-B218)</f>
        <v>761.33860921489952</v>
      </c>
      <c r="E218" s="37">
        <f>Input!C201*(1-B218)</f>
        <v>268.87147632763049</v>
      </c>
      <c r="F218" s="37">
        <f>Input!D201*(1-B218)</f>
        <v>0</v>
      </c>
      <c r="G218" s="37">
        <f>Input!E201*(1-C218)</f>
        <v>292.14060993888393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252</v>
      </c>
      <c r="K219" s="17"/>
    </row>
    <row r="220" spans="1:11" x14ac:dyDescent="0.25">
      <c r="A220" s="4" t="s">
        <v>228</v>
      </c>
      <c r="B220" s="39">
        <f>SUMPRODUCT($B92:$F92,Input!$B$162:$F$162)</f>
        <v>0</v>
      </c>
      <c r="C220" s="41">
        <f>B220</f>
        <v>0</v>
      </c>
      <c r="D220" s="37">
        <f>Input!B203*(1-B220)</f>
        <v>49584.948626394573</v>
      </c>
      <c r="E220" s="37">
        <f>Input!C203*(1-B220)</f>
        <v>0</v>
      </c>
      <c r="F220" s="37">
        <f>Input!D203*(1-B220)</f>
        <v>0</v>
      </c>
      <c r="G220" s="37">
        <f>Input!E203*(1-C220)</f>
        <v>14616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253</v>
      </c>
      <c r="B221" s="39">
        <f>SUMPRODUCT($B93:$F93,Input!$B$162:$F$162)</f>
        <v>0.37526615197487823</v>
      </c>
      <c r="C221" s="41">
        <f>B221</f>
        <v>0.37526615197487823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254</v>
      </c>
      <c r="B222" s="39">
        <f>SUMPRODUCT($B94:$F94,Input!$B$162:$F$162)</f>
        <v>0.61583543189508039</v>
      </c>
      <c r="C222" s="41">
        <f>B222</f>
        <v>0.61583543189508039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255</v>
      </c>
      <c r="K223" s="17"/>
    </row>
    <row r="224" spans="1:11" x14ac:dyDescent="0.25">
      <c r="A224" s="4" t="s">
        <v>184</v>
      </c>
      <c r="B224" s="39">
        <f>SUMPRODUCT($B96:$F96,Input!$B$162:$F$162)</f>
        <v>0</v>
      </c>
      <c r="C224" s="41">
        <f>B224</f>
        <v>0</v>
      </c>
      <c r="D224" s="37">
        <f>Input!B207*(1-B224)</f>
        <v>1188673.8633673929</v>
      </c>
      <c r="E224" s="37">
        <f>Input!C207*(1-B224)</f>
        <v>0</v>
      </c>
      <c r="F224" s="37">
        <f>Input!D207*(1-B224)</f>
        <v>0</v>
      </c>
      <c r="G224" s="37">
        <f>Input!E207*(1-C224)</f>
        <v>109551.18214801565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256</v>
      </c>
      <c r="B225" s="39">
        <f>SUMPRODUCT($B97:$F97,Input!$B$162:$F$162)</f>
        <v>0.37526615197487823</v>
      </c>
      <c r="C225" s="41">
        <f>B225</f>
        <v>0.37526615197487823</v>
      </c>
      <c r="D225" s="37">
        <f>Input!B208*(1-B225)</f>
        <v>813.67973790648887</v>
      </c>
      <c r="E225" s="37">
        <f>Input!C208*(1-B225)</f>
        <v>0</v>
      </c>
      <c r="F225" s="37">
        <f>Input!D208*(1-B225)</f>
        <v>0</v>
      </c>
      <c r="G225" s="37">
        <f>Input!E208*(1-C225)</f>
        <v>138.76444505571357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257</v>
      </c>
      <c r="B226" s="39">
        <f>SUMPRODUCT($B98:$F98,Input!$B$162:$F$162)</f>
        <v>0.61583543189508039</v>
      </c>
      <c r="C226" s="41">
        <f>B226</f>
        <v>0.61583543189508039</v>
      </c>
      <c r="D226" s="37">
        <f>Input!B209*(1-B226)</f>
        <v>4164.9295845845054</v>
      </c>
      <c r="E226" s="37">
        <f>Input!C209*(1-B226)</f>
        <v>0</v>
      </c>
      <c r="F226" s="37">
        <f>Input!D209*(1-B226)</f>
        <v>0</v>
      </c>
      <c r="G226" s="37">
        <f>Input!E209*(1-C226)</f>
        <v>322.495511179549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258</v>
      </c>
      <c r="K227" s="17"/>
    </row>
    <row r="228" spans="1:11" x14ac:dyDescent="0.25">
      <c r="A228" s="4" t="s">
        <v>185</v>
      </c>
      <c r="B228" s="39">
        <f>SUMPRODUCT($B100:$F100,Input!$B$162:$F$162)</f>
        <v>0</v>
      </c>
      <c r="C228" s="41">
        <f>B228</f>
        <v>0</v>
      </c>
      <c r="D228" s="37">
        <f>Input!B211*(1-B228)</f>
        <v>408779.30805433629</v>
      </c>
      <c r="E228" s="37">
        <f>Input!C211*(1-B228)</f>
        <v>170833.89818291247</v>
      </c>
      <c r="F228" s="37">
        <f>Input!D211*(1-B228)</f>
        <v>0</v>
      </c>
      <c r="G228" s="37">
        <f>Input!E211*(1-C228)</f>
        <v>30180.331007155499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259</v>
      </c>
      <c r="B229" s="39">
        <f>SUMPRODUCT($B101:$F101,Input!$B$162:$F$162)</f>
        <v>0.37526615197487823</v>
      </c>
      <c r="C229" s="41">
        <f>B229</f>
        <v>0.37526615197487823</v>
      </c>
      <c r="D229" s="37">
        <f>Input!B212*(1-B229)</f>
        <v>38.623282553880102</v>
      </c>
      <c r="E229" s="37">
        <f>Input!C212*(1-B229)</f>
        <v>15.53919194499051</v>
      </c>
      <c r="F229" s="37">
        <f>Input!D212*(1-B229)</f>
        <v>0</v>
      </c>
      <c r="G229" s="37">
        <f>Input!E212*(1-C229)</f>
        <v>2.1164140716161164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260</v>
      </c>
      <c r="B230" s="39">
        <f>SUMPRODUCT($B102:$F102,Input!$B$162:$F$162)</f>
        <v>0.61583543189508039</v>
      </c>
      <c r="C230" s="41">
        <f>B230</f>
        <v>0.61583543189508039</v>
      </c>
      <c r="D230" s="37">
        <f>Input!B213*(1-B230)</f>
        <v>418.51879709868183</v>
      </c>
      <c r="E230" s="37">
        <f>Input!C213*(1-B230)</f>
        <v>122.81642252474983</v>
      </c>
      <c r="F230" s="37">
        <f>Input!D213*(1-B230)</f>
        <v>0</v>
      </c>
      <c r="G230" s="37">
        <f>Input!E213*(1-C230)</f>
        <v>12.56332716203436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261</v>
      </c>
      <c r="K231" s="17"/>
    </row>
    <row r="232" spans="1:11" x14ac:dyDescent="0.25">
      <c r="A232" s="4" t="s">
        <v>229</v>
      </c>
      <c r="B232" s="39">
        <f>SUMPRODUCT($B104:$F104,Input!$B$162:$F$162)</f>
        <v>0</v>
      </c>
      <c r="C232" s="41">
        <f>B232</f>
        <v>0</v>
      </c>
      <c r="D232" s="37">
        <f>Input!B215*(1-B232)</f>
        <v>18696.270931315648</v>
      </c>
      <c r="E232" s="37">
        <f>Input!C215*(1-B232)</f>
        <v>0</v>
      </c>
      <c r="F232" s="37">
        <f>Input!D215*(1-B232)</f>
        <v>0</v>
      </c>
      <c r="G232" s="37">
        <f>Input!E215*(1-C232)</f>
        <v>3163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262</v>
      </c>
      <c r="B233" s="39">
        <f>SUMPRODUCT($B105:$F105,Input!$B$162:$F$162)</f>
        <v>0.37526615197487823</v>
      </c>
      <c r="C233" s="41">
        <f>B233</f>
        <v>0.37526615197487823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263</v>
      </c>
      <c r="B234" s="39">
        <f>SUMPRODUCT($B106:$F106,Input!$B$162:$F$162)</f>
        <v>0.61583543189508039</v>
      </c>
      <c r="C234" s="41">
        <f>B234</f>
        <v>0.61583543189508039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264</v>
      </c>
      <c r="K235" s="17"/>
    </row>
    <row r="236" spans="1:11" x14ac:dyDescent="0.25">
      <c r="A236" s="4" t="s">
        <v>186</v>
      </c>
      <c r="B236" s="39">
        <f>SUMPRODUCT($B108:$F108,Input!$B$162:$F$162)</f>
        <v>0</v>
      </c>
      <c r="C236" s="41">
        <f>B236</f>
        <v>0</v>
      </c>
      <c r="D236" s="37">
        <f>Input!B219*(1-B236)</f>
        <v>61016.900719428624</v>
      </c>
      <c r="E236" s="37">
        <f>Input!C219*(1-B236)</f>
        <v>15363.298917763981</v>
      </c>
      <c r="F236" s="37">
        <f>Input!D219*(1-B236)</f>
        <v>0</v>
      </c>
      <c r="G236" s="37">
        <f>Input!E219*(1-C236)</f>
        <v>1833.471677508197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265</v>
      </c>
      <c r="B237" s="39">
        <f>SUMPRODUCT($B109:$F109,Input!$B$162:$F$162)</f>
        <v>0.37526615197487823</v>
      </c>
      <c r="C237" s="41">
        <f>B237</f>
        <v>0.37526615197487823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266</v>
      </c>
      <c r="B238" s="39">
        <f>SUMPRODUCT($B110:$F110,Input!$B$162:$F$162)</f>
        <v>0.61583543189508039</v>
      </c>
      <c r="C238" s="41">
        <f>B238</f>
        <v>0.61583543189508039</v>
      </c>
      <c r="D238" s="37">
        <f>Input!B221*(1-B238)</f>
        <v>0</v>
      </c>
      <c r="E238" s="37">
        <f>Input!C221*(1-B238)</f>
        <v>-6.9879127860061945E-16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267</v>
      </c>
      <c r="K239" s="17"/>
    </row>
    <row r="240" spans="1:11" x14ac:dyDescent="0.25">
      <c r="A240" s="4" t="s">
        <v>187</v>
      </c>
      <c r="B240" s="39">
        <f>SUMPRODUCT($B112:$F112,Input!$B$162:$F$162)</f>
        <v>0</v>
      </c>
      <c r="C240" s="41">
        <f>B240</f>
        <v>0</v>
      </c>
      <c r="D240" s="37">
        <f>Input!B223*(1-B240)</f>
        <v>11011.490224251203</v>
      </c>
      <c r="E240" s="37">
        <f>Input!C223*(1-B240)</f>
        <v>2877.3369030231497</v>
      </c>
      <c r="F240" s="37">
        <f>Input!D223*(1-B240)</f>
        <v>0</v>
      </c>
      <c r="G240" s="37">
        <f>Input!E223*(1-C240)</f>
        <v>151.42512767842624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268</v>
      </c>
      <c r="K241" s="17"/>
    </row>
    <row r="242" spans="1:11" x14ac:dyDescent="0.25">
      <c r="A242" s="4" t="s">
        <v>207</v>
      </c>
      <c r="B242" s="39">
        <f>SUMPRODUCT($B114:$F114,Input!$B$162:$F$162)</f>
        <v>0</v>
      </c>
      <c r="C242" s="41">
        <f>B242</f>
        <v>0</v>
      </c>
      <c r="D242" s="37">
        <f>Input!B225*(1-B242)</f>
        <v>475.14555881688426</v>
      </c>
      <c r="E242" s="37">
        <f>Input!C225*(1-B242)</f>
        <v>185.19683477307066</v>
      </c>
      <c r="F242" s="37">
        <f>Input!D225*(1-B242)</f>
        <v>0</v>
      </c>
      <c r="G242" s="37">
        <f>Input!E225*(1-C242)</f>
        <v>11.577605311475409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269</v>
      </c>
      <c r="K243" s="17"/>
    </row>
    <row r="244" spans="1:11" x14ac:dyDescent="0.25">
      <c r="A244" s="4" t="s">
        <v>188</v>
      </c>
      <c r="B244" s="39">
        <f>SUMPRODUCT($B116:$F116,Input!$B$162:$F$162)</f>
        <v>0</v>
      </c>
      <c r="C244" s="41">
        <f>B244</f>
        <v>0</v>
      </c>
      <c r="D244" s="37">
        <f>Input!B227*(1-B244)</f>
        <v>17.914500587704929</v>
      </c>
      <c r="E244" s="37">
        <f>Input!C227*(1-B244)</f>
        <v>148.90616151495541</v>
      </c>
      <c r="F244" s="37">
        <f>Input!D227*(1-B244)</f>
        <v>132.14980473460798</v>
      </c>
      <c r="G244" s="37">
        <f>Input!E227*(1-C244)</f>
        <v>90.262264219672147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270</v>
      </c>
      <c r="B245" s="39">
        <f>SUMPRODUCT($B117:$F117,Input!$B$162:$F$162)</f>
        <v>0.37526615197487823</v>
      </c>
      <c r="C245" s="41">
        <f>B245</f>
        <v>0.37526615197487823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271</v>
      </c>
      <c r="B246" s="39">
        <f>SUMPRODUCT($B118:$F118,Input!$B$162:$F$162)</f>
        <v>0.61583543189508039</v>
      </c>
      <c r="C246" s="41">
        <f>B246</f>
        <v>0.61583543189508039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272</v>
      </c>
      <c r="K247" s="17"/>
    </row>
    <row r="248" spans="1:11" x14ac:dyDescent="0.25">
      <c r="A248" s="4" t="s">
        <v>189</v>
      </c>
      <c r="B248" s="39">
        <f>SUMPRODUCT($B120:$F120,Input!$B$162:$F$162)</f>
        <v>0</v>
      </c>
      <c r="C248" s="41">
        <f>B248</f>
        <v>0</v>
      </c>
      <c r="D248" s="37">
        <f>Input!B231*(1-B248)</f>
        <v>25120.809003475933</v>
      </c>
      <c r="E248" s="37">
        <f>Input!C231*(1-B248)</f>
        <v>181265.33625380608</v>
      </c>
      <c r="F248" s="37">
        <f>Input!D231*(1-B248)</f>
        <v>162228.45888345866</v>
      </c>
      <c r="G248" s="37">
        <f>Input!E231*(1-C248)</f>
        <v>5017.1258968839948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273</v>
      </c>
      <c r="B249" s="39">
        <f>SUMPRODUCT($B121:$F121,Input!$B$162:$F$162)</f>
        <v>0.37526615197487823</v>
      </c>
      <c r="C249" s="41">
        <f>B249</f>
        <v>0.37526615197487823</v>
      </c>
      <c r="D249" s="37">
        <f>Input!B232*(1-B249)</f>
        <v>3.5330382565537723</v>
      </c>
      <c r="E249" s="37">
        <f>Input!C232*(1-B249)</f>
        <v>26.217874218124738</v>
      </c>
      <c r="F249" s="37">
        <f>Input!D232*(1-B249)</f>
        <v>25.171406488180178</v>
      </c>
      <c r="G249" s="37">
        <f>Input!E232*(1-C249)</f>
        <v>1.4280056333539979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274</v>
      </c>
      <c r="B250" s="39">
        <f>SUMPRODUCT($B122:$F122,Input!$B$162:$F$162)</f>
        <v>0.61583543189508039</v>
      </c>
      <c r="C250" s="41">
        <f>B250</f>
        <v>0.61583543189508039</v>
      </c>
      <c r="D250" s="37">
        <f>Input!B233*(1-B250)</f>
        <v>75.630906101362598</v>
      </c>
      <c r="E250" s="37">
        <f>Input!C233*(1-B250)</f>
        <v>306.59614325523262</v>
      </c>
      <c r="F250" s="37">
        <f>Input!D233*(1-B250)</f>
        <v>247.42450150296534</v>
      </c>
      <c r="G250" s="37">
        <f>Input!E233*(1-C250)</f>
        <v>15.393469895926669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275</v>
      </c>
      <c r="K251" s="17"/>
    </row>
    <row r="252" spans="1:11" x14ac:dyDescent="0.25">
      <c r="A252" s="4" t="s">
        <v>190</v>
      </c>
      <c r="B252" s="39">
        <f>SUMPRODUCT($B124:$F124,Input!$B$162:$F$162)</f>
        <v>0</v>
      </c>
      <c r="C252" s="41">
        <f>B252</f>
        <v>0</v>
      </c>
      <c r="D252" s="37">
        <f>Input!B235*(1-B252)</f>
        <v>88440.190183722385</v>
      </c>
      <c r="E252" s="37">
        <f>Input!C235*(1-B252)</f>
        <v>636664.91641531512</v>
      </c>
      <c r="F252" s="37">
        <f>Input!D235*(1-B252)</f>
        <v>540985.31643077033</v>
      </c>
      <c r="G252" s="37">
        <f>Input!E235*(1-C252)</f>
        <v>7358.8733919028909</v>
      </c>
      <c r="H252" s="37">
        <f>Input!F235*(1-B252)</f>
        <v>669999.84133468312</v>
      </c>
      <c r="I252" s="37">
        <f>Input!G235*(1-B252)</f>
        <v>26935.335739672133</v>
      </c>
      <c r="J252" s="37">
        <f>Input!H235*(1-B252)</f>
        <v>103729.98517731513</v>
      </c>
      <c r="K252" s="17"/>
    </row>
    <row r="253" spans="1:11" x14ac:dyDescent="0.25">
      <c r="A253" s="4" t="s">
        <v>276</v>
      </c>
      <c r="B253" s="39">
        <f>SUMPRODUCT($B125:$F125,Input!$B$162:$F$162)</f>
        <v>0.37526615197487823</v>
      </c>
      <c r="C253" s="41">
        <f>B253</f>
        <v>0.37526615197487823</v>
      </c>
      <c r="D253" s="37">
        <f>Input!B236*(1-B253)</f>
        <v>53.830327045813895</v>
      </c>
      <c r="E253" s="37">
        <f>Input!C236*(1-B253)</f>
        <v>336.48901686556019</v>
      </c>
      <c r="F253" s="37">
        <f>Input!D236*(1-B253)</f>
        <v>320.51892263190354</v>
      </c>
      <c r="G253" s="37">
        <f>Input!E236*(1-C253)</f>
        <v>8.2251519399637196</v>
      </c>
      <c r="H253" s="37">
        <f>Input!F236*(1-B253)</f>
        <v>1010.3305765315396</v>
      </c>
      <c r="I253" s="37">
        <f>Input!G236*(1-B253)</f>
        <v>0</v>
      </c>
      <c r="J253" s="37">
        <f>Input!H236*(1-B253)</f>
        <v>66.421964126846817</v>
      </c>
      <c r="K253" s="17"/>
    </row>
    <row r="254" spans="1:11" x14ac:dyDescent="0.25">
      <c r="A254" s="4" t="s">
        <v>277</v>
      </c>
      <c r="B254" s="39">
        <f>SUMPRODUCT($B126:$F126,Input!$B$162:$F$162)</f>
        <v>0.61583543189508039</v>
      </c>
      <c r="C254" s="41">
        <f>B254</f>
        <v>0.61583543189508039</v>
      </c>
      <c r="D254" s="37">
        <f>Input!B237*(1-B254)</f>
        <v>1637.6463436419776</v>
      </c>
      <c r="E254" s="37">
        <f>Input!C237*(1-B254)</f>
        <v>9307.258479949136</v>
      </c>
      <c r="F254" s="37">
        <f>Input!D237*(1-B254)</f>
        <v>7782.2302220724023</v>
      </c>
      <c r="G254" s="37">
        <f>Input!E237*(1-C254)</f>
        <v>73.536898321652515</v>
      </c>
      <c r="H254" s="37">
        <f>Input!F237*(1-B254)</f>
        <v>11489.957895521538</v>
      </c>
      <c r="I254" s="37">
        <f>Input!G237*(1-B254)</f>
        <v>223.49207770288507</v>
      </c>
      <c r="J254" s="37">
        <f>Input!H237*(1-B254)</f>
        <v>1043.4630293755783</v>
      </c>
      <c r="K254" s="17"/>
    </row>
    <row r="255" spans="1:11" x14ac:dyDescent="0.25">
      <c r="A255" s="28" t="s">
        <v>278</v>
      </c>
      <c r="K255" s="17"/>
    </row>
    <row r="256" spans="1:11" x14ac:dyDescent="0.25">
      <c r="A256" s="4" t="s">
        <v>191</v>
      </c>
      <c r="B256" s="39">
        <f>SUMPRODUCT($B128:$F128,Input!$B$162:$F$162)</f>
        <v>0</v>
      </c>
      <c r="C256" s="41">
        <f>B256</f>
        <v>0</v>
      </c>
      <c r="D256" s="37">
        <f>Input!B239*(1-B256)</f>
        <v>48977.516398784363</v>
      </c>
      <c r="E256" s="37">
        <f>Input!C239*(1-B256)</f>
        <v>361536.83277795935</v>
      </c>
      <c r="F256" s="37">
        <f>Input!D239*(1-B256)</f>
        <v>330106.10018419294</v>
      </c>
      <c r="G256" s="37">
        <f>Input!E239*(1-C256)</f>
        <v>1767.9314622358031</v>
      </c>
      <c r="H256" s="37">
        <f>Input!F239*(1-B256)</f>
        <v>352078.74316939892</v>
      </c>
      <c r="I256" s="37">
        <f>Input!G239*(1-B256)</f>
        <v>5897.3699357838677</v>
      </c>
      <c r="J256" s="37">
        <f>Input!H239*(1-B256)</f>
        <v>68974.534841827452</v>
      </c>
      <c r="K256" s="17"/>
    </row>
    <row r="257" spans="1:11" x14ac:dyDescent="0.25">
      <c r="A257" s="4" t="s">
        <v>279</v>
      </c>
      <c r="B257" s="39">
        <f>SUMPRODUCT($B129:$F129,Input!$B$162:$F$162)</f>
        <v>0.36977418050056232</v>
      </c>
      <c r="C257" s="41">
        <f>B257</f>
        <v>0.36977418050056232</v>
      </c>
      <c r="D257" s="37">
        <f>Input!B240*(1-B257)</f>
        <v>258.26113613420608</v>
      </c>
      <c r="E257" s="37">
        <f>Input!C240*(1-B257)</f>
        <v>1326.3518731661543</v>
      </c>
      <c r="F257" s="37">
        <f>Input!D240*(1-B257)</f>
        <v>1509.8340706780207</v>
      </c>
      <c r="G257" s="37">
        <f>Input!E240*(1-C257)</f>
        <v>2.7423294153037538</v>
      </c>
      <c r="H257" s="37">
        <f>Input!F240*(1-B257)</f>
        <v>1524.0232776405896</v>
      </c>
      <c r="I257" s="37">
        <f>Input!G240*(1-B257)</f>
        <v>0</v>
      </c>
      <c r="J257" s="37">
        <f>Input!H240*(1-B257)</f>
        <v>255.17451603460287</v>
      </c>
      <c r="K257" s="17"/>
    </row>
    <row r="258" spans="1:11" x14ac:dyDescent="0.25">
      <c r="A258" s="28" t="s">
        <v>280</v>
      </c>
      <c r="K258" s="17"/>
    </row>
    <row r="259" spans="1:11" x14ac:dyDescent="0.25">
      <c r="A259" s="4" t="s">
        <v>208</v>
      </c>
      <c r="B259" s="39">
        <f>SUMPRODUCT($B131:$F131,Input!$B$162:$F$162)</f>
        <v>0</v>
      </c>
      <c r="C259" s="41">
        <f>B259</f>
        <v>0</v>
      </c>
      <c r="D259" s="37">
        <f>Input!B242*(1-B259)</f>
        <v>158180.58004964184</v>
      </c>
      <c r="E259" s="37">
        <f>Input!C242*(1-B259)</f>
        <v>1114577.6735039044</v>
      </c>
      <c r="F259" s="37">
        <f>Input!D242*(1-B259)</f>
        <v>1231512.8474357603</v>
      </c>
      <c r="G259" s="37">
        <f>Input!E242*(1-C259)</f>
        <v>1242.4271059445377</v>
      </c>
      <c r="H259" s="37">
        <f>Input!F242*(1-B259)</f>
        <v>888545.72431230394</v>
      </c>
      <c r="I259" s="37">
        <f>Input!G242*(1-B259)</f>
        <v>12932.011190754718</v>
      </c>
      <c r="J259" s="37">
        <f>Input!H242*(1-B259)</f>
        <v>171554.1733979971</v>
      </c>
      <c r="K259" s="17"/>
    </row>
    <row r="260" spans="1:11" x14ac:dyDescent="0.25">
      <c r="A260" s="4" t="s">
        <v>281</v>
      </c>
      <c r="B260" s="39">
        <f>SUMPRODUCT($B132:$F132,Input!$B$162:$F$162)</f>
        <v>0.25230988020032274</v>
      </c>
      <c r="C260" s="41">
        <f>B260</f>
        <v>0.25230988020032274</v>
      </c>
      <c r="D260" s="37">
        <f>Input!B243*(1-B260)</f>
        <v>1106.0832899171294</v>
      </c>
      <c r="E260" s="37">
        <f>Input!C243*(1-B260)</f>
        <v>6188.8139115754802</v>
      </c>
      <c r="F260" s="37">
        <f>Input!D243*(1-B260)</f>
        <v>8383.8988534494529</v>
      </c>
      <c r="G260" s="37">
        <f>Input!E243*(1-C260)</f>
        <v>8.3560220970662744</v>
      </c>
      <c r="H260" s="37">
        <f>Input!F243*(1-B260)</f>
        <v>12309.872363114719</v>
      </c>
      <c r="I260" s="37">
        <f>Input!G243*(1-B260)</f>
        <v>0</v>
      </c>
      <c r="J260" s="37">
        <f>Input!H243*(1-B260)</f>
        <v>460.72839367054928</v>
      </c>
      <c r="K260" s="17"/>
    </row>
    <row r="261" spans="1:11" x14ac:dyDescent="0.25">
      <c r="A261" s="28" t="s">
        <v>282</v>
      </c>
      <c r="K261" s="17"/>
    </row>
    <row r="262" spans="1:11" x14ac:dyDescent="0.25">
      <c r="A262" s="4" t="s">
        <v>230</v>
      </c>
      <c r="B262" s="39">
        <f>SUMPRODUCT($B134:$F134,Input!$B$162:$F$162)</f>
        <v>0</v>
      </c>
      <c r="C262" s="41">
        <f>B262</f>
        <v>0</v>
      </c>
      <c r="D262" s="37">
        <f>Input!B245*(1-B262)</f>
        <v>4068.4293231218739</v>
      </c>
      <c r="E262" s="37">
        <f>Input!C245*(1-B262)</f>
        <v>0</v>
      </c>
      <c r="F262" s="37">
        <f>Input!D245*(1-B262)</f>
        <v>0</v>
      </c>
      <c r="G262" s="37">
        <f>Input!E245*(1-C262)</f>
        <v>818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283</v>
      </c>
      <c r="B263" s="39">
        <f>SUMPRODUCT($B135:$F135,Input!$B$162:$F$162)</f>
        <v>0.37526615197487823</v>
      </c>
      <c r="C263" s="41">
        <f>B263</f>
        <v>0.37526615197487823</v>
      </c>
      <c r="D263" s="37">
        <f>Input!B246*(1-B263)</f>
        <v>0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284</v>
      </c>
      <c r="B264" s="39">
        <f>SUMPRODUCT($B136:$F136,Input!$B$162:$F$162)</f>
        <v>0.61583543189508039</v>
      </c>
      <c r="C264" s="41">
        <f>B264</f>
        <v>0.61583543189508039</v>
      </c>
      <c r="D264" s="37">
        <f>Input!B247*(1-B264)</f>
        <v>79.789234517177618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285</v>
      </c>
      <c r="K265" s="17"/>
    </row>
    <row r="266" spans="1:11" x14ac:dyDescent="0.25">
      <c r="A266" s="4" t="s">
        <v>231</v>
      </c>
      <c r="B266" s="39">
        <f>SUMPRODUCT($B138:$F138,Input!$B$162:$F$162)</f>
        <v>0</v>
      </c>
      <c r="C266" s="41">
        <f>B266</f>
        <v>0</v>
      </c>
      <c r="D266" s="37">
        <f>Input!B249*(1-B266)</f>
        <v>4958.8517885686515</v>
      </c>
      <c r="E266" s="37">
        <f>Input!C249*(1-B266)</f>
        <v>0</v>
      </c>
      <c r="F266" s="37">
        <f>Input!D249*(1-B266)</f>
        <v>0</v>
      </c>
      <c r="G266" s="37">
        <f>Input!E249*(1-C266)</f>
        <v>759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286</v>
      </c>
      <c r="B267" s="39">
        <f>SUMPRODUCT($B139:$F139,Input!$B$162:$F$162)</f>
        <v>0.37526615197487823</v>
      </c>
      <c r="C267" s="41">
        <f>B267</f>
        <v>0.37526615197487823</v>
      </c>
      <c r="D267" s="37">
        <f>Input!B250*(1-B267)</f>
        <v>83.703060573636805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287</v>
      </c>
      <c r="B268" s="39">
        <f>SUMPRODUCT($B140:$F140,Input!$B$162:$F$162)</f>
        <v>0.61583543189508039</v>
      </c>
      <c r="C268" s="41">
        <f>B268</f>
        <v>0.61583543189508039</v>
      </c>
      <c r="D268" s="37">
        <f>Input!B251*(1-B268)</f>
        <v>174.67911169282345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288</v>
      </c>
      <c r="K269" s="17"/>
    </row>
    <row r="270" spans="1:11" x14ac:dyDescent="0.25">
      <c r="A270" s="4" t="s">
        <v>232</v>
      </c>
      <c r="B270" s="39">
        <f>SUMPRODUCT($B142:$F142,Input!$B$162:$F$162)</f>
        <v>0</v>
      </c>
      <c r="C270" s="41">
        <f>B270</f>
        <v>0</v>
      </c>
      <c r="D270" s="37">
        <f>Input!B253*(1-B270)</f>
        <v>593.78396396084736</v>
      </c>
      <c r="E270" s="37">
        <f>Input!C253*(1-B270)</f>
        <v>0</v>
      </c>
      <c r="F270" s="37">
        <f>Input!D253*(1-B270)</f>
        <v>0</v>
      </c>
      <c r="G270" s="37">
        <f>Input!E253*(1-C270)</f>
        <v>191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289</v>
      </c>
      <c r="B271" s="39">
        <f>SUMPRODUCT($B143:$F143,Input!$B$162:$F$162)</f>
        <v>0.37526615197487823</v>
      </c>
      <c r="C271" s="41">
        <f>B271</f>
        <v>0.37526615197487823</v>
      </c>
      <c r="D271" s="37">
        <f>Input!B254*(1-B271)</f>
        <v>1.1995548600611411E-2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290</v>
      </c>
      <c r="B272" s="39">
        <f>SUMPRODUCT($B144:$F144,Input!$B$162:$F$162)</f>
        <v>0.61583543189508039</v>
      </c>
      <c r="C272" s="41">
        <f>B272</f>
        <v>0.61583543189508039</v>
      </c>
      <c r="D272" s="37">
        <f>Input!B255*(1-B272)</f>
        <v>1.5212126810830136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291</v>
      </c>
      <c r="K273" s="17"/>
    </row>
    <row r="274" spans="1:11" x14ac:dyDescent="0.25">
      <c r="A274" s="4" t="s">
        <v>233</v>
      </c>
      <c r="B274" s="39">
        <f>SUMPRODUCT($B146:$F146,Input!$B$162:$F$162)</f>
        <v>0</v>
      </c>
      <c r="C274" s="41">
        <f>B274</f>
        <v>0</v>
      </c>
      <c r="D274" s="37">
        <f>Input!B257*(1-B274)</f>
        <v>0</v>
      </c>
      <c r="E274" s="37">
        <f>Input!C257*(1-B274)</f>
        <v>0</v>
      </c>
      <c r="F274" s="37">
        <f>Input!D257*(1-B274)</f>
        <v>0</v>
      </c>
      <c r="G274" s="37">
        <f>Input!E257*(1-C274)</f>
        <v>0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292</v>
      </c>
      <c r="B275" s="39">
        <f>SUMPRODUCT($B147:$F147,Input!$B$162:$F$162)</f>
        <v>0.37526615197487823</v>
      </c>
      <c r="C275" s="41">
        <f>B275</f>
        <v>0.37526615197487823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293</v>
      </c>
      <c r="B276" s="39">
        <f>SUMPRODUCT($B148:$F148,Input!$B$162:$F$162)</f>
        <v>0.61583543189508039</v>
      </c>
      <c r="C276" s="41">
        <f>B276</f>
        <v>0.61583543189508039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294</v>
      </c>
      <c r="K277" s="17"/>
    </row>
    <row r="278" spans="1:11" x14ac:dyDescent="0.25">
      <c r="A278" s="4" t="s">
        <v>234</v>
      </c>
      <c r="B278" s="39">
        <f>SUMPRODUCT($B150:$F150,Input!$B$162:$F$162)</f>
        <v>0</v>
      </c>
      <c r="C278" s="41">
        <f>B278</f>
        <v>0</v>
      </c>
      <c r="D278" s="37">
        <f>Input!B261*(1-B278)</f>
        <v>4025.4263653814442</v>
      </c>
      <c r="E278" s="37">
        <f>Input!C261*(1-B278)</f>
        <v>30461.379965672324</v>
      </c>
      <c r="F278" s="37">
        <f>Input!D261*(1-B278)</f>
        <v>87397.559442457263</v>
      </c>
      <c r="G278" s="37">
        <f>Input!E261*(1-C278)</f>
        <v>22.330601092896174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295</v>
      </c>
      <c r="B279" s="39">
        <f>SUMPRODUCT($B151:$F151,Input!$B$162:$F$162)</f>
        <v>0.37526615197487823</v>
      </c>
      <c r="C279" s="41">
        <f>B279</f>
        <v>0.37526615197487823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296</v>
      </c>
      <c r="B280" s="39">
        <f>SUMPRODUCT($B152:$F152,Input!$B$162:$F$162)</f>
        <v>0.61583543189508039</v>
      </c>
      <c r="C280" s="41">
        <f>B280</f>
        <v>0.61583543189508039</v>
      </c>
      <c r="D280" s="37">
        <f>Input!B263*(1-B280)</f>
        <v>0.79255894494272461</v>
      </c>
      <c r="E280" s="37">
        <f>Input!C263*(1-B280)</f>
        <v>2.8015923126520526</v>
      </c>
      <c r="F280" s="37">
        <f>Input!D263*(1-B280)</f>
        <v>15.810997628123461</v>
      </c>
      <c r="G280" s="37">
        <f>Input!E263*(1-C280)</f>
        <v>0.65071814207262635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297</v>
      </c>
      <c r="K281" s="17"/>
    </row>
    <row r="282" spans="1:11" x14ac:dyDescent="0.25">
      <c r="A282" s="4" t="s">
        <v>192</v>
      </c>
      <c r="B282" s="39">
        <f>SUMPRODUCT($B154:$F154,Input!$B$162:$F$162)</f>
        <v>0</v>
      </c>
      <c r="C282" s="41">
        <f>B282</f>
        <v>0</v>
      </c>
      <c r="D282" s="37">
        <f>Input!B265*(1-B282)</f>
        <v>3884.1452388750013</v>
      </c>
      <c r="E282" s="37">
        <f>Input!C265*(1-B282)</f>
        <v>0</v>
      </c>
      <c r="F282" s="37">
        <f>Input!D265*(1-B282)</f>
        <v>0</v>
      </c>
      <c r="G282" s="37">
        <f>Input!E265*(1-C282)</f>
        <v>332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298</v>
      </c>
      <c r="B283" s="39">
        <f>SUMPRODUCT($B155:$F155,Input!$B$162:$F$162)</f>
        <v>0</v>
      </c>
      <c r="C283" s="40">
        <v>1</v>
      </c>
      <c r="D283" s="37">
        <f>Input!B266*(1-B283)</f>
        <v>78.224294571428587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299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300</v>
      </c>
      <c r="K285" s="17"/>
    </row>
    <row r="286" spans="1:11" x14ac:dyDescent="0.25">
      <c r="A286" s="4" t="s">
        <v>193</v>
      </c>
      <c r="B286" s="39">
        <f>SUMPRODUCT($B158:$F158,Input!$B$162:$F$162)</f>
        <v>0</v>
      </c>
      <c r="C286" s="41">
        <f>B286</f>
        <v>0</v>
      </c>
      <c r="D286" s="37">
        <f>Input!B269*(1-B286)</f>
        <v>0</v>
      </c>
      <c r="E286" s="37">
        <f>Input!C269*(1-B286)</f>
        <v>0</v>
      </c>
      <c r="F286" s="37">
        <f>Input!D269*(1-B286)</f>
        <v>0</v>
      </c>
      <c r="G286" s="37">
        <f>Input!E269*(1-C286)</f>
        <v>0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301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302</v>
      </c>
      <c r="K288" s="17"/>
    </row>
    <row r="289" spans="1:11" x14ac:dyDescent="0.25">
      <c r="A289" s="4" t="s">
        <v>194</v>
      </c>
      <c r="B289" s="39">
        <f>SUMPRODUCT($B161:$F161,Input!$B$162:$F$162)</f>
        <v>0</v>
      </c>
      <c r="C289" s="41">
        <f>B289</f>
        <v>0</v>
      </c>
      <c r="D289" s="37">
        <f>Input!B272*(1-B289)</f>
        <v>70648.168057500021</v>
      </c>
      <c r="E289" s="37">
        <f>Input!C272*(1-B289)</f>
        <v>0</v>
      </c>
      <c r="F289" s="37">
        <f>Input!D272*(1-B289)</f>
        <v>0</v>
      </c>
      <c r="G289" s="37">
        <f>Input!E272*(1-C289)</f>
        <v>949.89529234972701</v>
      </c>
      <c r="H289" s="37">
        <f>Input!F272*(1-B289)</f>
        <v>0</v>
      </c>
      <c r="I289" s="37">
        <f>Input!G272*(1-B289)</f>
        <v>0</v>
      </c>
      <c r="J289" s="37">
        <f>Input!H272*(1-B289)</f>
        <v>6652.6217298750016</v>
      </c>
      <c r="K289" s="17"/>
    </row>
    <row r="290" spans="1:11" x14ac:dyDescent="0.25">
      <c r="A290" s="4" t="s">
        <v>303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304</v>
      </c>
      <c r="B291" s="39">
        <f>SUMPRODUCT($B163:$F163,Input!$B$162:$F$162)</f>
        <v>0</v>
      </c>
      <c r="C291" s="40">
        <v>1</v>
      </c>
      <c r="D291" s="37">
        <f>Input!B274*(1-B291)</f>
        <v>1073.9632738714286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0.64182124285714293</v>
      </c>
      <c r="K291" s="17"/>
    </row>
    <row r="292" spans="1:11" x14ac:dyDescent="0.25">
      <c r="A292" s="28" t="s">
        <v>305</v>
      </c>
      <c r="K292" s="17"/>
    </row>
    <row r="293" spans="1:11" x14ac:dyDescent="0.25">
      <c r="A293" s="4" t="s">
        <v>195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306</v>
      </c>
      <c r="K294" s="17"/>
    </row>
    <row r="295" spans="1:11" x14ac:dyDescent="0.25">
      <c r="A295" s="4" t="s">
        <v>196</v>
      </c>
      <c r="B295" s="39">
        <f>SUMPRODUCT($B167:$F167,Input!$B$162:$F$162)</f>
        <v>0</v>
      </c>
      <c r="C295" s="41">
        <f>B295</f>
        <v>0</v>
      </c>
      <c r="D295" s="37">
        <f>Input!B278*(1-B295)</f>
        <v>227.88778782102625</v>
      </c>
      <c r="E295" s="37">
        <f>Input!C278*(1-B295)</f>
        <v>1445.7893020327999</v>
      </c>
      <c r="F295" s="37">
        <f>Input!D278*(1-B295)</f>
        <v>2003.0391402098578</v>
      </c>
      <c r="G295" s="37">
        <f>Input!E278*(1-C295)</f>
        <v>18.34156352459016</v>
      </c>
      <c r="H295" s="37">
        <f>Input!F278*(1-B295)</f>
        <v>0</v>
      </c>
      <c r="I295" s="37">
        <f>Input!G278*(1-B295)</f>
        <v>0</v>
      </c>
      <c r="J295" s="37">
        <f>Input!H278*(1-B295)</f>
        <v>646.0717252500001</v>
      </c>
      <c r="K295" s="17"/>
    </row>
    <row r="296" spans="1:11" x14ac:dyDescent="0.25">
      <c r="A296" s="4" t="s">
        <v>307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308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309</v>
      </c>
      <c r="K298" s="17"/>
    </row>
    <row r="299" spans="1:11" x14ac:dyDescent="0.25">
      <c r="A299" s="4" t="s">
        <v>197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310</v>
      </c>
      <c r="K300" s="17"/>
    </row>
    <row r="301" spans="1:11" x14ac:dyDescent="0.25">
      <c r="A301" s="4" t="s">
        <v>198</v>
      </c>
      <c r="B301" s="39">
        <f>SUMPRODUCT($B173:$F173,Input!$B$162:$F$162)</f>
        <v>0</v>
      </c>
      <c r="C301" s="41">
        <f>B301</f>
        <v>0</v>
      </c>
      <c r="D301" s="37">
        <f>Input!B284*(1-B301)</f>
        <v>11531.789399625</v>
      </c>
      <c r="E301" s="37">
        <f>Input!C284*(1-B301)</f>
        <v>0</v>
      </c>
      <c r="F301" s="37">
        <f>Input!D284*(1-B301)</f>
        <v>0</v>
      </c>
      <c r="G301" s="37">
        <f>Input!E284*(1-C301)</f>
        <v>129.04964071038253</v>
      </c>
      <c r="H301" s="37">
        <f>Input!F284*(1-B301)</f>
        <v>0</v>
      </c>
      <c r="I301" s="37">
        <f>Input!G284*(1-B301)</f>
        <v>0</v>
      </c>
      <c r="J301" s="37">
        <f>Input!H284*(1-B301)</f>
        <v>1450.8045805000004</v>
      </c>
      <c r="K301" s="17"/>
    </row>
    <row r="302" spans="1:11" x14ac:dyDescent="0.25">
      <c r="A302" s="4" t="s">
        <v>311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312</v>
      </c>
      <c r="K303" s="17"/>
    </row>
    <row r="304" spans="1:11" x14ac:dyDescent="0.25">
      <c r="A304" s="4" t="s">
        <v>199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313</v>
      </c>
      <c r="K305" s="17"/>
    </row>
    <row r="306" spans="1:11" x14ac:dyDescent="0.25">
      <c r="A306" s="4" t="s">
        <v>200</v>
      </c>
      <c r="B306" s="39">
        <f>SUMPRODUCT($B178:$F178,Input!$B$162:$F$162)</f>
        <v>0</v>
      </c>
      <c r="C306" s="41">
        <f>B306</f>
        <v>0</v>
      </c>
      <c r="D306" s="37">
        <f>Input!B289*(1-B306)</f>
        <v>264.21772129895868</v>
      </c>
      <c r="E306" s="37">
        <f>Input!C289*(1-B306)</f>
        <v>1475.7031393722757</v>
      </c>
      <c r="F306" s="37">
        <f>Input!D289*(1-B306)</f>
        <v>2402.1096696522009</v>
      </c>
      <c r="G306" s="37">
        <f>Input!E289*(1-C306)</f>
        <v>13.129690573770491</v>
      </c>
      <c r="H306" s="37">
        <f>Input!F289*(1-B306)</f>
        <v>0</v>
      </c>
      <c r="I306" s="37">
        <f>Input!G289*(1-B306)</f>
        <v>0</v>
      </c>
      <c r="J306" s="37">
        <f>Input!H289*(1-B306)</f>
        <v>631.49050125000008</v>
      </c>
      <c r="K306" s="17"/>
    </row>
    <row r="307" spans="1:11" x14ac:dyDescent="0.25">
      <c r="A307" s="4" t="s">
        <v>314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315</v>
      </c>
      <c r="K308" s="17"/>
    </row>
    <row r="309" spans="1:11" x14ac:dyDescent="0.25">
      <c r="A309" s="4" t="s">
        <v>201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316</v>
      </c>
      <c r="K310" s="17"/>
    </row>
    <row r="311" spans="1:11" x14ac:dyDescent="0.25">
      <c r="A311" s="4" t="s">
        <v>209</v>
      </c>
      <c r="B311" s="39">
        <f>SUMPRODUCT($B183:$F183,Input!$B$162:$F$162)</f>
        <v>0</v>
      </c>
      <c r="C311" s="41">
        <f>B311</f>
        <v>0</v>
      </c>
      <c r="D311" s="37">
        <f>Input!B294*(1-B311)</f>
        <v>407729.87522025005</v>
      </c>
      <c r="E311" s="37">
        <f>Input!C294*(1-B311)</f>
        <v>0</v>
      </c>
      <c r="F311" s="37">
        <f>Input!D294*(1-B311)</f>
        <v>0</v>
      </c>
      <c r="G311" s="37">
        <f>Input!E294*(1-C311)</f>
        <v>252.79925000000006</v>
      </c>
      <c r="H311" s="37">
        <f>Input!F294*(1-B311)</f>
        <v>0</v>
      </c>
      <c r="I311" s="37">
        <f>Input!G294*(1-B311)</f>
        <v>0</v>
      </c>
      <c r="J311" s="37">
        <f>Input!H294*(1-B311)</f>
        <v>4529.0778706250021</v>
      </c>
      <c r="K311" s="17"/>
    </row>
    <row r="312" spans="1:11" x14ac:dyDescent="0.25">
      <c r="A312" s="4" t="s">
        <v>317</v>
      </c>
      <c r="B312" s="39">
        <f>SUMPRODUCT($B184:$F184,Input!$B$162:$F$162)</f>
        <v>0</v>
      </c>
      <c r="C312" s="40">
        <v>1</v>
      </c>
      <c r="D312" s="37">
        <f>Input!B295*(1-B312)</f>
        <v>10.9835856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318</v>
      </c>
      <c r="K313" s="17"/>
    </row>
    <row r="314" spans="1:11" x14ac:dyDescent="0.25">
      <c r="A314" s="4" t="s">
        <v>210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319</v>
      </c>
      <c r="K315" s="17"/>
    </row>
    <row r="316" spans="1:11" x14ac:dyDescent="0.25">
      <c r="A316" s="4" t="s">
        <v>211</v>
      </c>
      <c r="B316" s="39">
        <f>SUMPRODUCT($B188:$F188,Input!$B$162:$F$162)</f>
        <v>0</v>
      </c>
      <c r="C316" s="41">
        <f>B316</f>
        <v>0</v>
      </c>
      <c r="D316" s="37">
        <f>Input!B299*(1-B316)</f>
        <v>17033.165909074287</v>
      </c>
      <c r="E316" s="37">
        <f>Input!C299*(1-B316)</f>
        <v>85342.190722432511</v>
      </c>
      <c r="F316" s="37">
        <f>Input!D299*(1-B316)</f>
        <v>115386.59062718594</v>
      </c>
      <c r="G316" s="37">
        <f>Input!E299*(1-C316)</f>
        <v>68.906400614754091</v>
      </c>
      <c r="H316" s="37">
        <f>Input!F299*(1-B316)</f>
        <v>0</v>
      </c>
      <c r="I316" s="37">
        <f>Input!G299*(1-B316)</f>
        <v>0</v>
      </c>
      <c r="J316" s="37">
        <f>Input!H299*(1-B316)</f>
        <v>3896.5228627500005</v>
      </c>
      <c r="K316" s="17"/>
    </row>
    <row r="317" spans="1:11" x14ac:dyDescent="0.25">
      <c r="A317" s="4" t="s">
        <v>320</v>
      </c>
      <c r="B317" s="39">
        <f>SUMPRODUCT($B189:$F189,Input!$B$162:$F$162)</f>
        <v>0</v>
      </c>
      <c r="C317" s="40">
        <v>1</v>
      </c>
      <c r="D317" s="37">
        <f>Input!B300*(1-B317)</f>
        <v>1.8587345454545455E-2</v>
      </c>
      <c r="E317" s="37">
        <f>Input!C300*(1-B317)</f>
        <v>0.59297825911461732</v>
      </c>
      <c r="F317" s="37">
        <f>Input!D300*(1-B317)</f>
        <v>2.3098569413853509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0.37434915000000002</v>
      </c>
      <c r="K317" s="17"/>
    </row>
    <row r="318" spans="1:11" x14ac:dyDescent="0.25">
      <c r="A318" s="28" t="s">
        <v>321</v>
      </c>
      <c r="K318" s="17"/>
    </row>
    <row r="319" spans="1:11" x14ac:dyDescent="0.25">
      <c r="A319" s="4" t="s">
        <v>212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560</v>
      </c>
    </row>
    <row r="322" spans="1:9" x14ac:dyDescent="0.25">
      <c r="A322" s="2" t="s">
        <v>381</v>
      </c>
    </row>
    <row r="323" spans="1:9" x14ac:dyDescent="0.25">
      <c r="A323" s="32" t="s">
        <v>561</v>
      </c>
    </row>
    <row r="324" spans="1:9" x14ac:dyDescent="0.25">
      <c r="A324" s="32" t="s">
        <v>562</v>
      </c>
    </row>
    <row r="325" spans="1:9" x14ac:dyDescent="0.25">
      <c r="A325" s="32" t="s">
        <v>563</v>
      </c>
    </row>
    <row r="326" spans="1:9" x14ac:dyDescent="0.25">
      <c r="A326" s="32" t="s">
        <v>564</v>
      </c>
    </row>
    <row r="327" spans="1:9" x14ac:dyDescent="0.25">
      <c r="A327" s="32" t="s">
        <v>565</v>
      </c>
    </row>
    <row r="328" spans="1:9" x14ac:dyDescent="0.25">
      <c r="A328" s="32" t="s">
        <v>566</v>
      </c>
    </row>
    <row r="329" spans="1:9" x14ac:dyDescent="0.25">
      <c r="A329" s="32" t="s">
        <v>567</v>
      </c>
    </row>
    <row r="330" spans="1:9" x14ac:dyDescent="0.25">
      <c r="A330" s="33" t="s">
        <v>384</v>
      </c>
      <c r="B330" s="33" t="s">
        <v>515</v>
      </c>
      <c r="C330" s="33" t="s">
        <v>515</v>
      </c>
      <c r="D330" s="33" t="s">
        <v>515</v>
      </c>
      <c r="E330" s="33" t="s">
        <v>515</v>
      </c>
      <c r="F330" s="33" t="s">
        <v>515</v>
      </c>
      <c r="G330" s="33" t="s">
        <v>515</v>
      </c>
      <c r="H330" s="33" t="s">
        <v>515</v>
      </c>
    </row>
    <row r="331" spans="1:9" x14ac:dyDescent="0.25">
      <c r="A331" s="33" t="s">
        <v>387</v>
      </c>
      <c r="B331" s="33" t="s">
        <v>568</v>
      </c>
      <c r="C331" s="33" t="s">
        <v>569</v>
      </c>
      <c r="D331" s="33" t="s">
        <v>570</v>
      </c>
      <c r="E331" s="33" t="s">
        <v>571</v>
      </c>
      <c r="F331" s="33" t="s">
        <v>517</v>
      </c>
      <c r="G331" s="33" t="s">
        <v>572</v>
      </c>
      <c r="H331" s="33" t="s">
        <v>573</v>
      </c>
    </row>
    <row r="333" spans="1:9" ht="30" x14ac:dyDescent="0.25">
      <c r="B333" s="15" t="s">
        <v>239</v>
      </c>
      <c r="C333" s="15" t="s">
        <v>240</v>
      </c>
      <c r="D333" s="15" t="s">
        <v>241</v>
      </c>
      <c r="E333" s="15" t="s">
        <v>242</v>
      </c>
      <c r="F333" s="15" t="s">
        <v>243</v>
      </c>
      <c r="G333" s="15" t="s">
        <v>244</v>
      </c>
      <c r="H333" s="15" t="s">
        <v>245</v>
      </c>
    </row>
    <row r="334" spans="1:9" x14ac:dyDescent="0.25">
      <c r="A334" s="4" t="s">
        <v>182</v>
      </c>
      <c r="B334" s="42">
        <f t="shared" ref="B334:H334" si="0">SUM(D$212:D$214)</f>
        <v>4363552.1514066206</v>
      </c>
      <c r="C334" s="42">
        <f t="shared" si="0"/>
        <v>0</v>
      </c>
      <c r="D334" s="42">
        <f t="shared" si="0"/>
        <v>0</v>
      </c>
      <c r="E334" s="42">
        <f t="shared" si="0"/>
        <v>1280825.3420757684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183</v>
      </c>
      <c r="B335" s="42">
        <f t="shared" ref="B335:H335" si="1">SUM(D$216:D$218)</f>
        <v>633661.12788438995</v>
      </c>
      <c r="C335" s="42">
        <f t="shared" si="1"/>
        <v>609406.89988925145</v>
      </c>
      <c r="D335" s="42">
        <f t="shared" si="1"/>
        <v>0</v>
      </c>
      <c r="E335" s="42">
        <f t="shared" si="1"/>
        <v>204830.32022446717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228</v>
      </c>
      <c r="B336" s="42">
        <f t="shared" ref="B336:H336" si="2">SUM(D$220:D$222)</f>
        <v>49584.948626394573</v>
      </c>
      <c r="C336" s="42">
        <f t="shared" si="2"/>
        <v>0</v>
      </c>
      <c r="D336" s="42">
        <f t="shared" si="2"/>
        <v>0</v>
      </c>
      <c r="E336" s="42">
        <f t="shared" si="2"/>
        <v>14616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184</v>
      </c>
      <c r="B337" s="42">
        <f t="shared" ref="B337:H337" si="3">SUM(D$224:D$226)</f>
        <v>1193652.4726898838</v>
      </c>
      <c r="C337" s="42">
        <f t="shared" si="3"/>
        <v>0</v>
      </c>
      <c r="D337" s="42">
        <f t="shared" si="3"/>
        <v>0</v>
      </c>
      <c r="E337" s="42">
        <f t="shared" si="3"/>
        <v>110012.44210425091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185</v>
      </c>
      <c r="B338" s="42">
        <f t="shared" ref="B338:H338" si="4">SUM(D$228:D$230)</f>
        <v>409236.45013398881</v>
      </c>
      <c r="C338" s="42">
        <f t="shared" si="4"/>
        <v>170972.2537973822</v>
      </c>
      <c r="D338" s="42">
        <f t="shared" si="4"/>
        <v>0</v>
      </c>
      <c r="E338" s="42">
        <f t="shared" si="4"/>
        <v>30195.010748389152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229</v>
      </c>
      <c r="B339" s="42">
        <f t="shared" ref="B339:H339" si="5">SUM(D$232:D$234)</f>
        <v>18696.270931315648</v>
      </c>
      <c r="C339" s="42">
        <f t="shared" si="5"/>
        <v>0</v>
      </c>
      <c r="D339" s="42">
        <f t="shared" si="5"/>
        <v>0</v>
      </c>
      <c r="E339" s="42">
        <f t="shared" si="5"/>
        <v>3163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186</v>
      </c>
      <c r="B340" s="42">
        <f t="shared" ref="B340:H340" si="6">SUM(D$236:D$238)</f>
        <v>61016.900719428624</v>
      </c>
      <c r="C340" s="42">
        <f t="shared" si="6"/>
        <v>15363.298917763981</v>
      </c>
      <c r="D340" s="42">
        <f t="shared" si="6"/>
        <v>0</v>
      </c>
      <c r="E340" s="42">
        <f t="shared" si="6"/>
        <v>1833.471677508197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187</v>
      </c>
      <c r="B341" s="42">
        <f t="shared" ref="B341:H341" si="7">SUM(D$240:D$240)</f>
        <v>11011.490224251203</v>
      </c>
      <c r="C341" s="42">
        <f t="shared" si="7"/>
        <v>2877.3369030231497</v>
      </c>
      <c r="D341" s="42">
        <f t="shared" si="7"/>
        <v>0</v>
      </c>
      <c r="E341" s="42">
        <f t="shared" si="7"/>
        <v>151.42512767842624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207</v>
      </c>
      <c r="B342" s="42">
        <f t="shared" ref="B342:H342" si="8">SUM(D$242:D$242)</f>
        <v>475.14555881688426</v>
      </c>
      <c r="C342" s="42">
        <f t="shared" si="8"/>
        <v>185.19683477307066</v>
      </c>
      <c r="D342" s="42">
        <f t="shared" si="8"/>
        <v>0</v>
      </c>
      <c r="E342" s="42">
        <f t="shared" si="8"/>
        <v>11.577605311475409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188</v>
      </c>
      <c r="B343" s="42">
        <f t="shared" ref="B343:H343" si="9">SUM(D$244:D$246)</f>
        <v>17.914500587704929</v>
      </c>
      <c r="C343" s="42">
        <f t="shared" si="9"/>
        <v>148.90616151495541</v>
      </c>
      <c r="D343" s="42">
        <f t="shared" si="9"/>
        <v>132.14980473460798</v>
      </c>
      <c r="E343" s="42">
        <f t="shared" si="9"/>
        <v>90.262264219672147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189</v>
      </c>
      <c r="B344" s="42">
        <f t="shared" ref="B344:H344" si="10">SUM(D$248:D$250)</f>
        <v>25199.972947833852</v>
      </c>
      <c r="C344" s="42">
        <f t="shared" si="10"/>
        <v>181598.15027127945</v>
      </c>
      <c r="D344" s="42">
        <f t="shared" si="10"/>
        <v>162501.0547914498</v>
      </c>
      <c r="E344" s="42">
        <f t="shared" si="10"/>
        <v>5033.9473724132749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190</v>
      </c>
      <c r="B345" s="42">
        <f t="shared" ref="B345:H345" si="11">SUM(D$252:D$254)</f>
        <v>90131.66685441017</v>
      </c>
      <c r="C345" s="42">
        <f t="shared" si="11"/>
        <v>646308.66391212982</v>
      </c>
      <c r="D345" s="42">
        <f t="shared" si="11"/>
        <v>549088.06557547464</v>
      </c>
      <c r="E345" s="42">
        <f t="shared" si="11"/>
        <v>7440.6354421645065</v>
      </c>
      <c r="F345" s="42">
        <f t="shared" si="11"/>
        <v>682500.12980673625</v>
      </c>
      <c r="G345" s="42">
        <f t="shared" si="11"/>
        <v>27158.827817375019</v>
      </c>
      <c r="H345" s="42">
        <f t="shared" si="11"/>
        <v>104839.87017081755</v>
      </c>
      <c r="I345" s="17"/>
    </row>
    <row r="346" spans="1:9" x14ac:dyDescent="0.25">
      <c r="A346" s="4" t="s">
        <v>191</v>
      </c>
      <c r="B346" s="42">
        <f t="shared" ref="B346:H346" si="12">SUM(D$256:D$257)</f>
        <v>49235.777534918569</v>
      </c>
      <c r="C346" s="42">
        <f t="shared" si="12"/>
        <v>362863.18465112551</v>
      </c>
      <c r="D346" s="42">
        <f t="shared" si="12"/>
        <v>331615.93425487098</v>
      </c>
      <c r="E346" s="42">
        <f t="shared" si="12"/>
        <v>1770.673791651107</v>
      </c>
      <c r="F346" s="42">
        <f t="shared" si="12"/>
        <v>353602.7664470395</v>
      </c>
      <c r="G346" s="42">
        <f t="shared" si="12"/>
        <v>5897.3699357838677</v>
      </c>
      <c r="H346" s="42">
        <f t="shared" si="12"/>
        <v>69229.709357862055</v>
      </c>
      <c r="I346" s="17"/>
    </row>
    <row r="347" spans="1:9" x14ac:dyDescent="0.25">
      <c r="A347" s="4" t="s">
        <v>208</v>
      </c>
      <c r="B347" s="42">
        <f t="shared" ref="B347:H347" si="13">SUM(D$259:D$260)</f>
        <v>159286.66333955896</v>
      </c>
      <c r="C347" s="42">
        <f t="shared" si="13"/>
        <v>1120766.48741548</v>
      </c>
      <c r="D347" s="42">
        <f t="shared" si="13"/>
        <v>1239896.7462892097</v>
      </c>
      <c r="E347" s="42">
        <f t="shared" si="13"/>
        <v>1250.783128041604</v>
      </c>
      <c r="F347" s="42">
        <f t="shared" si="13"/>
        <v>900855.59667541867</v>
      </c>
      <c r="G347" s="42">
        <f t="shared" si="13"/>
        <v>12932.011190754718</v>
      </c>
      <c r="H347" s="42">
        <f t="shared" si="13"/>
        <v>172014.90179166765</v>
      </c>
      <c r="I347" s="17"/>
    </row>
    <row r="348" spans="1:9" x14ac:dyDescent="0.25">
      <c r="A348" s="4" t="s">
        <v>230</v>
      </c>
      <c r="B348" s="42">
        <f t="shared" ref="B348:H348" si="14">SUM(D$262:D$264)</f>
        <v>4148.2185576390511</v>
      </c>
      <c r="C348" s="42">
        <f t="shared" si="14"/>
        <v>0</v>
      </c>
      <c r="D348" s="42">
        <f t="shared" si="14"/>
        <v>0</v>
      </c>
      <c r="E348" s="42">
        <f t="shared" si="14"/>
        <v>818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231</v>
      </c>
      <c r="B349" s="42">
        <f t="shared" ref="B349:H349" si="15">SUM(D$266:D$268)</f>
        <v>5217.2339608351122</v>
      </c>
      <c r="C349" s="42">
        <f t="shared" si="15"/>
        <v>0</v>
      </c>
      <c r="D349" s="42">
        <f t="shared" si="15"/>
        <v>0</v>
      </c>
      <c r="E349" s="42">
        <f t="shared" si="15"/>
        <v>759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232</v>
      </c>
      <c r="B350" s="42">
        <f t="shared" ref="B350:H350" si="16">SUM(D$270:D$272)</f>
        <v>595.31717219053098</v>
      </c>
      <c r="C350" s="42">
        <f t="shared" si="16"/>
        <v>0</v>
      </c>
      <c r="D350" s="42">
        <f t="shared" si="16"/>
        <v>0</v>
      </c>
      <c r="E350" s="42">
        <f t="shared" si="16"/>
        <v>191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233</v>
      </c>
      <c r="B351" s="42">
        <f t="shared" ref="B351:H351" si="17">SUM(D$274:D$276)</f>
        <v>0</v>
      </c>
      <c r="C351" s="42">
        <f t="shared" si="17"/>
        <v>0</v>
      </c>
      <c r="D351" s="42">
        <f t="shared" si="17"/>
        <v>0</v>
      </c>
      <c r="E351" s="42">
        <f t="shared" si="17"/>
        <v>0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234</v>
      </c>
      <c r="B352" s="42">
        <f t="shared" ref="B352:H352" si="18">SUM(D$278:D$280)</f>
        <v>4026.218924326387</v>
      </c>
      <c r="C352" s="42">
        <f t="shared" si="18"/>
        <v>30464.181557984975</v>
      </c>
      <c r="D352" s="42">
        <f t="shared" si="18"/>
        <v>87413.370440085389</v>
      </c>
      <c r="E352" s="42">
        <f t="shared" si="18"/>
        <v>22.981319234968801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192</v>
      </c>
      <c r="B353" s="42">
        <f t="shared" ref="B353:H353" si="19">SUM(D$282:D$284)</f>
        <v>3962.3695334464301</v>
      </c>
      <c r="C353" s="42">
        <f t="shared" si="19"/>
        <v>0</v>
      </c>
      <c r="D353" s="42">
        <f t="shared" si="19"/>
        <v>0</v>
      </c>
      <c r="E353" s="42">
        <f t="shared" si="19"/>
        <v>332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193</v>
      </c>
      <c r="B354" s="42">
        <f t="shared" ref="B354:H354" si="20">SUM(D$286:D$287)</f>
        <v>0</v>
      </c>
      <c r="C354" s="42">
        <f t="shared" si="20"/>
        <v>0</v>
      </c>
      <c r="D354" s="42">
        <f t="shared" si="20"/>
        <v>0</v>
      </c>
      <c r="E354" s="42">
        <f t="shared" si="20"/>
        <v>0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194</v>
      </c>
      <c r="B355" s="42">
        <f t="shared" ref="B355:H355" si="21">SUM(D$289:D$291)</f>
        <v>71722.131331371449</v>
      </c>
      <c r="C355" s="42">
        <f t="shared" si="21"/>
        <v>0</v>
      </c>
      <c r="D355" s="42">
        <f t="shared" si="21"/>
        <v>0</v>
      </c>
      <c r="E355" s="42">
        <f t="shared" si="21"/>
        <v>949.89529234972701</v>
      </c>
      <c r="F355" s="42">
        <f t="shared" si="21"/>
        <v>0</v>
      </c>
      <c r="G355" s="42">
        <f t="shared" si="21"/>
        <v>0</v>
      </c>
      <c r="H355" s="42">
        <f t="shared" si="21"/>
        <v>6653.2635511178587</v>
      </c>
      <c r="I355" s="17"/>
    </row>
    <row r="356" spans="1:9" x14ac:dyDescent="0.25">
      <c r="A356" s="4" t="s">
        <v>195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196</v>
      </c>
      <c r="B357" s="42">
        <f t="shared" ref="B357:H357" si="23">SUM(D$295:D$297)</f>
        <v>227.88778782102625</v>
      </c>
      <c r="C357" s="42">
        <f t="shared" si="23"/>
        <v>1445.7893020327999</v>
      </c>
      <c r="D357" s="42">
        <f t="shared" si="23"/>
        <v>2003.0391402098578</v>
      </c>
      <c r="E357" s="42">
        <f t="shared" si="23"/>
        <v>18.34156352459016</v>
      </c>
      <c r="F357" s="42">
        <f t="shared" si="23"/>
        <v>0</v>
      </c>
      <c r="G357" s="42">
        <f t="shared" si="23"/>
        <v>0</v>
      </c>
      <c r="H357" s="42">
        <f t="shared" si="23"/>
        <v>646.0717252500001</v>
      </c>
      <c r="I357" s="17"/>
    </row>
    <row r="358" spans="1:9" x14ac:dyDescent="0.25">
      <c r="A358" s="4" t="s">
        <v>197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198</v>
      </c>
      <c r="B359" s="42">
        <f t="shared" ref="B359:H359" si="25">SUM(D$301:D$302)</f>
        <v>11531.789399625</v>
      </c>
      <c r="C359" s="42">
        <f t="shared" si="25"/>
        <v>0</v>
      </c>
      <c r="D359" s="42">
        <f t="shared" si="25"/>
        <v>0</v>
      </c>
      <c r="E359" s="42">
        <f t="shared" si="25"/>
        <v>129.04964071038253</v>
      </c>
      <c r="F359" s="42">
        <f t="shared" si="25"/>
        <v>0</v>
      </c>
      <c r="G359" s="42">
        <f t="shared" si="25"/>
        <v>0</v>
      </c>
      <c r="H359" s="42">
        <f t="shared" si="25"/>
        <v>1450.8045805000004</v>
      </c>
      <c r="I359" s="17"/>
    </row>
    <row r="360" spans="1:9" x14ac:dyDescent="0.25">
      <c r="A360" s="4" t="s">
        <v>199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200</v>
      </c>
      <c r="B361" s="42">
        <f t="shared" ref="B361:H361" si="27">SUM(D$306:D$307)</f>
        <v>264.21772129895868</v>
      </c>
      <c r="C361" s="42">
        <f t="shared" si="27"/>
        <v>1475.7031393722757</v>
      </c>
      <c r="D361" s="42">
        <f t="shared" si="27"/>
        <v>2402.1096696522009</v>
      </c>
      <c r="E361" s="42">
        <f t="shared" si="27"/>
        <v>13.129690573770491</v>
      </c>
      <c r="F361" s="42">
        <f t="shared" si="27"/>
        <v>0</v>
      </c>
      <c r="G361" s="42">
        <f t="shared" si="27"/>
        <v>0</v>
      </c>
      <c r="H361" s="42">
        <f t="shared" si="27"/>
        <v>631.49050125000008</v>
      </c>
      <c r="I361" s="17"/>
    </row>
    <row r="362" spans="1:9" x14ac:dyDescent="0.25">
      <c r="A362" s="4" t="s">
        <v>201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209</v>
      </c>
      <c r="B363" s="42">
        <f t="shared" ref="B363:H363" si="29">SUM(D$311:D$312)</f>
        <v>407740.85880585003</v>
      </c>
      <c r="C363" s="42">
        <f t="shared" si="29"/>
        <v>0</v>
      </c>
      <c r="D363" s="42">
        <f t="shared" si="29"/>
        <v>0</v>
      </c>
      <c r="E363" s="42">
        <f t="shared" si="29"/>
        <v>252.79925000000006</v>
      </c>
      <c r="F363" s="42">
        <f t="shared" si="29"/>
        <v>0</v>
      </c>
      <c r="G363" s="42">
        <f t="shared" si="29"/>
        <v>0</v>
      </c>
      <c r="H363" s="42">
        <f t="shared" si="29"/>
        <v>4529.0778706250021</v>
      </c>
      <c r="I363" s="17"/>
    </row>
    <row r="364" spans="1:9" x14ac:dyDescent="0.25">
      <c r="A364" s="4" t="s">
        <v>210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211</v>
      </c>
      <c r="B365" s="42">
        <f t="shared" ref="B365:H365" si="31">SUM(D$316:D$317)</f>
        <v>17033.184496419741</v>
      </c>
      <c r="C365" s="42">
        <f t="shared" si="31"/>
        <v>85342.783700691623</v>
      </c>
      <c r="D365" s="42">
        <f t="shared" si="31"/>
        <v>115388.90048412733</v>
      </c>
      <c r="E365" s="42">
        <f t="shared" si="31"/>
        <v>68.906400614754091</v>
      </c>
      <c r="F365" s="42">
        <f t="shared" si="31"/>
        <v>0</v>
      </c>
      <c r="G365" s="42">
        <f t="shared" si="31"/>
        <v>0</v>
      </c>
      <c r="H365" s="42">
        <f t="shared" si="31"/>
        <v>3896.8972119000005</v>
      </c>
      <c r="I365" s="17"/>
    </row>
    <row r="366" spans="1:9" x14ac:dyDescent="0.25">
      <c r="A366" s="4" t="s">
        <v>212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South West in April 19 (no data version)</v>
      </c>
    </row>
    <row r="3" spans="1:6" ht="21" customHeight="1" x14ac:dyDescent="0.3">
      <c r="A3" s="1" t="s">
        <v>574</v>
      </c>
    </row>
    <row r="4" spans="1:6" x14ac:dyDescent="0.25">
      <c r="A4" s="2" t="s">
        <v>381</v>
      </c>
    </row>
    <row r="5" spans="1:6" x14ac:dyDescent="0.25">
      <c r="A5" s="32" t="s">
        <v>575</v>
      </c>
    </row>
    <row r="6" spans="1:6" x14ac:dyDescent="0.25">
      <c r="A6" s="32" t="s">
        <v>576</v>
      </c>
    </row>
    <row r="7" spans="1:6" x14ac:dyDescent="0.25">
      <c r="A7" s="32" t="s">
        <v>577</v>
      </c>
    </row>
    <row r="8" spans="1:6" x14ac:dyDescent="0.25">
      <c r="A8" s="33" t="s">
        <v>384</v>
      </c>
      <c r="B8" s="33" t="s">
        <v>515</v>
      </c>
      <c r="C8" s="33" t="s">
        <v>514</v>
      </c>
      <c r="D8" s="33"/>
      <c r="E8" s="33"/>
    </row>
    <row r="9" spans="1:6" x14ac:dyDescent="0.25">
      <c r="A9" s="33" t="s">
        <v>387</v>
      </c>
      <c r="B9" s="33" t="s">
        <v>568</v>
      </c>
      <c r="C9" s="33" t="s">
        <v>578</v>
      </c>
      <c r="D9" s="33"/>
      <c r="E9" s="33"/>
    </row>
    <row r="11" spans="1:6" ht="30" x14ac:dyDescent="0.25">
      <c r="C11" s="30" t="s">
        <v>580</v>
      </c>
      <c r="D11" s="30"/>
      <c r="E11" s="30"/>
    </row>
    <row r="12" spans="1:6" x14ac:dyDescent="0.25">
      <c r="B12" s="15" t="s">
        <v>579</v>
      </c>
      <c r="C12" s="15" t="s">
        <v>348</v>
      </c>
      <c r="D12" s="15" t="s">
        <v>349</v>
      </c>
      <c r="E12" s="15" t="s">
        <v>350</v>
      </c>
    </row>
    <row r="13" spans="1:6" ht="30" x14ac:dyDescent="0.25">
      <c r="A13" s="4" t="s">
        <v>581</v>
      </c>
      <c r="B13" s="43">
        <f>SUM(Input!$B368:$D368)</f>
        <v>8784</v>
      </c>
      <c r="C13" s="43">
        <f>Input!B368*24*Input!$F60/$B13</f>
        <v>524</v>
      </c>
      <c r="D13" s="43">
        <f>Input!C368*24*Input!$F60/$B13</f>
        <v>3456</v>
      </c>
      <c r="E13" s="43">
        <f>Input!D368*24*Input!$F60/$B13</f>
        <v>4804</v>
      </c>
      <c r="F13" s="17"/>
    </row>
    <row r="15" spans="1:6" ht="21" customHeight="1" x14ac:dyDescent="0.3">
      <c r="A15" s="1" t="s">
        <v>582</v>
      </c>
    </row>
    <row r="16" spans="1:6" x14ac:dyDescent="0.25">
      <c r="A16" s="2" t="s">
        <v>381</v>
      </c>
    </row>
    <row r="17" spans="1:6" x14ac:dyDescent="0.25">
      <c r="A17" s="32" t="s">
        <v>583</v>
      </c>
    </row>
    <row r="18" spans="1:6" x14ac:dyDescent="0.25">
      <c r="A18" s="32" t="s">
        <v>584</v>
      </c>
    </row>
    <row r="19" spans="1:6" x14ac:dyDescent="0.25">
      <c r="A19" s="32" t="s">
        <v>585</v>
      </c>
    </row>
    <row r="20" spans="1:6" x14ac:dyDescent="0.25">
      <c r="A20" s="32" t="s">
        <v>586</v>
      </c>
    </row>
    <row r="21" spans="1:6" x14ac:dyDescent="0.25">
      <c r="A21" s="33" t="s">
        <v>384</v>
      </c>
      <c r="B21" s="33" t="s">
        <v>515</v>
      </c>
      <c r="C21" s="33" t="s">
        <v>514</v>
      </c>
      <c r="D21" s="33"/>
      <c r="E21" s="33"/>
    </row>
    <row r="22" spans="1:6" x14ac:dyDescent="0.25">
      <c r="A22" s="33" t="s">
        <v>387</v>
      </c>
      <c r="B22" s="33" t="s">
        <v>568</v>
      </c>
      <c r="C22" s="33" t="s">
        <v>587</v>
      </c>
      <c r="D22" s="33"/>
      <c r="E22" s="33"/>
    </row>
    <row r="24" spans="1:6" ht="30" x14ac:dyDescent="0.25">
      <c r="C24" s="30" t="s">
        <v>589</v>
      </c>
      <c r="D24" s="30"/>
      <c r="E24" s="30"/>
    </row>
    <row r="25" spans="1:6" x14ac:dyDescent="0.25">
      <c r="B25" s="15" t="s">
        <v>588</v>
      </c>
      <c r="C25" s="15" t="s">
        <v>348</v>
      </c>
      <c r="D25" s="15" t="s">
        <v>349</v>
      </c>
      <c r="E25" s="15" t="s">
        <v>350</v>
      </c>
    </row>
    <row r="26" spans="1:6" x14ac:dyDescent="0.25">
      <c r="A26" s="4" t="s">
        <v>182</v>
      </c>
      <c r="B26" s="39">
        <f>SUM(Input!$B329:$D329)</f>
        <v>1</v>
      </c>
      <c r="C26" s="39">
        <f>IF($B26,Input!B329/$B26,C$13/Input!$F$60/24)</f>
        <v>8.8555072718469185E-2</v>
      </c>
      <c r="D26" s="39">
        <f>IF($B26,Input!C329/$B26,D$13/Input!$F$60/24)</f>
        <v>0.46128307931440848</v>
      </c>
      <c r="E26" s="39">
        <f>IF($B26,Input!D329/$B26,E$13/Input!$F$60/24)</f>
        <v>0.45016184796712233</v>
      </c>
      <c r="F26" s="17"/>
    </row>
    <row r="27" spans="1:6" x14ac:dyDescent="0.25">
      <c r="A27" s="4" t="s">
        <v>183</v>
      </c>
      <c r="B27" s="39">
        <f>SUM(Input!$B330:$D330)</f>
        <v>1</v>
      </c>
      <c r="C27" s="39">
        <f>IF($B27,Input!B330/$B27,C$13/Input!$F$60/24)</f>
        <v>0.10744117220636502</v>
      </c>
      <c r="D27" s="39">
        <f>IF($B27,Input!C330/$B27,D$13/Input!$F$60/24)</f>
        <v>0.54134732277130881</v>
      </c>
      <c r="E27" s="39">
        <f>IF($B27,Input!D330/$B27,E$13/Input!$F$60/24)</f>
        <v>0.35121150502232618</v>
      </c>
      <c r="F27" s="17"/>
    </row>
    <row r="28" spans="1:6" x14ac:dyDescent="0.25">
      <c r="A28" s="4" t="s">
        <v>228</v>
      </c>
      <c r="B28" s="39">
        <f>SUM(Input!$B331:$D331)</f>
        <v>1</v>
      </c>
      <c r="C28" s="39">
        <f>IF($B28,Input!B331/$B28,C$13/Input!$F$60/24)</f>
        <v>1.3457800006096276E-3</v>
      </c>
      <c r="D28" s="39">
        <f>IF($B28,Input!C331/$B28,D$13/Input!$F$60/24)</f>
        <v>0.10887875607294449</v>
      </c>
      <c r="E28" s="39">
        <f>IF($B28,Input!D331/$B28,E$13/Input!$F$60/24)</f>
        <v>0.88977546392644591</v>
      </c>
      <c r="F28" s="17"/>
    </row>
    <row r="29" spans="1:6" x14ac:dyDescent="0.25">
      <c r="A29" s="4" t="s">
        <v>184</v>
      </c>
      <c r="B29" s="39">
        <f>SUM(Input!$B332:$D332)</f>
        <v>1</v>
      </c>
      <c r="C29" s="39">
        <f>IF($B29,Input!B332/$B29,C$13/Input!$F$60/24)</f>
        <v>6.2829392495848249E-2</v>
      </c>
      <c r="D29" s="39">
        <f>IF($B29,Input!C332/$B29,D$13/Input!$F$60/24)</f>
        <v>0.56398179418562744</v>
      </c>
      <c r="E29" s="39">
        <f>IF($B29,Input!D332/$B29,E$13/Input!$F$60/24)</f>
        <v>0.37318881331852438</v>
      </c>
      <c r="F29" s="17"/>
    </row>
    <row r="30" spans="1:6" x14ac:dyDescent="0.25">
      <c r="A30" s="4" t="s">
        <v>185</v>
      </c>
      <c r="B30" s="39">
        <f>SUM(Input!$B333:$D333)</f>
        <v>1</v>
      </c>
      <c r="C30" s="39">
        <f>IF($B30,Input!B333/$B30,C$13/Input!$F$60/24)</f>
        <v>8.2466725996328746E-2</v>
      </c>
      <c r="D30" s="39">
        <f>IF($B30,Input!C333/$B30,D$13/Input!$F$60/24)</f>
        <v>0.62794207930830326</v>
      </c>
      <c r="E30" s="39">
        <f>IF($B30,Input!D333/$B30,E$13/Input!$F$60/24)</f>
        <v>0.28959119469536798</v>
      </c>
      <c r="F30" s="17"/>
    </row>
    <row r="31" spans="1:6" x14ac:dyDescent="0.25">
      <c r="A31" s="4" t="s">
        <v>229</v>
      </c>
      <c r="B31" s="39">
        <f>SUM(Input!$B334:$D334)</f>
        <v>1</v>
      </c>
      <c r="C31" s="39">
        <f>IF($B31,Input!B334/$B31,C$13/Input!$F$60/24)</f>
        <v>2.1694223164720138E-3</v>
      </c>
      <c r="D31" s="39">
        <f>IF($B31,Input!C334/$B31,D$13/Input!$F$60/24)</f>
        <v>0.1191021685284787</v>
      </c>
      <c r="E31" s="39">
        <f>IF($B31,Input!D334/$B31,E$13/Input!$F$60/24)</f>
        <v>0.87872840915504924</v>
      </c>
      <c r="F31" s="17"/>
    </row>
    <row r="32" spans="1:6" x14ac:dyDescent="0.25">
      <c r="A32" s="4" t="s">
        <v>186</v>
      </c>
      <c r="B32" s="39">
        <f>SUM(Input!$B335:$D335)</f>
        <v>1</v>
      </c>
      <c r="C32" s="39">
        <f>IF($B32,Input!B335/$B32,C$13/Input!$F$60/24)</f>
        <v>8.3002155127092456E-2</v>
      </c>
      <c r="D32" s="39">
        <f>IF($B32,Input!C335/$B32,D$13/Input!$F$60/24)</f>
        <v>0.62055720983857132</v>
      </c>
      <c r="E32" s="39">
        <f>IF($B32,Input!D335/$B32,E$13/Input!$F$60/24)</f>
        <v>0.29644063503433621</v>
      </c>
      <c r="F32" s="17"/>
    </row>
    <row r="33" spans="1:6" x14ac:dyDescent="0.25">
      <c r="A33" s="4" t="s">
        <v>187</v>
      </c>
      <c r="B33" s="39">
        <f>SUM(Input!$B336:$D336)</f>
        <v>1</v>
      </c>
      <c r="C33" s="39">
        <f>IF($B33,Input!B336/$B33,C$13/Input!$F$60/24)</f>
        <v>8.2365949677054684E-2</v>
      </c>
      <c r="D33" s="39">
        <f>IF($B33,Input!C336/$B33,D$13/Input!$F$60/24)</f>
        <v>0.6189862425729733</v>
      </c>
      <c r="E33" s="39">
        <f>IF($B33,Input!D336/$B33,E$13/Input!$F$60/24)</f>
        <v>0.29864780774997207</v>
      </c>
      <c r="F33" s="17"/>
    </row>
    <row r="34" spans="1:6" x14ac:dyDescent="0.25">
      <c r="A34" s="4" t="s">
        <v>207</v>
      </c>
      <c r="B34" s="39">
        <f>SUM(Input!$B337:$D337)</f>
        <v>1</v>
      </c>
      <c r="C34" s="39">
        <f>IF($B34,Input!B337/$B34,C$13/Input!$F$60/24)</f>
        <v>8.0236419125790145E-2</v>
      </c>
      <c r="D34" s="39">
        <f>IF($B34,Input!C337/$B34,D$13/Input!$F$60/24)</f>
        <v>0.64682409747803271</v>
      </c>
      <c r="E34" s="39">
        <f>IF($B34,Input!D337/$B34,E$13/Input!$F$60/24)</f>
        <v>0.27293948339617713</v>
      </c>
      <c r="F34" s="17"/>
    </row>
    <row r="36" spans="1:6" ht="21" customHeight="1" x14ac:dyDescent="0.3">
      <c r="A36" s="1" t="s">
        <v>590</v>
      </c>
    </row>
    <row r="37" spans="1:6" x14ac:dyDescent="0.25">
      <c r="A37" s="2" t="s">
        <v>381</v>
      </c>
    </row>
    <row r="38" spans="1:6" x14ac:dyDescent="0.25">
      <c r="A38" s="32" t="s">
        <v>591</v>
      </c>
    </row>
    <row r="39" spans="1:6" x14ac:dyDescent="0.25">
      <c r="A39" s="2" t="s">
        <v>592</v>
      </c>
    </row>
    <row r="40" spans="1:6" x14ac:dyDescent="0.25">
      <c r="A40" s="2" t="s">
        <v>399</v>
      </c>
    </row>
    <row r="42" spans="1:6" x14ac:dyDescent="0.25">
      <c r="B42" s="15" t="s">
        <v>348</v>
      </c>
      <c r="C42" s="15" t="s">
        <v>349</v>
      </c>
      <c r="D42" s="15" t="s">
        <v>350</v>
      </c>
    </row>
    <row r="43" spans="1:6" x14ac:dyDescent="0.25">
      <c r="A43" s="4" t="s">
        <v>182</v>
      </c>
      <c r="B43" s="41">
        <f>C$26</f>
        <v>8.8555072718469185E-2</v>
      </c>
      <c r="C43" s="41">
        <f>D$26</f>
        <v>0.46128307931440848</v>
      </c>
      <c r="D43" s="41">
        <f>E$26</f>
        <v>0.45016184796712233</v>
      </c>
      <c r="E43" s="17"/>
    </row>
    <row r="44" spans="1:6" x14ac:dyDescent="0.25">
      <c r="A44" s="4" t="s">
        <v>183</v>
      </c>
      <c r="B44" s="41">
        <f>C$27</f>
        <v>0.10744117220636502</v>
      </c>
      <c r="C44" s="41">
        <f>D$27</f>
        <v>0.54134732277130881</v>
      </c>
      <c r="D44" s="41">
        <f>E$27</f>
        <v>0.35121150502232618</v>
      </c>
      <c r="E44" s="17"/>
    </row>
    <row r="45" spans="1:6" x14ac:dyDescent="0.25">
      <c r="A45" s="4" t="s">
        <v>228</v>
      </c>
      <c r="B45" s="41">
        <f>C$28</f>
        <v>1.3457800006096276E-3</v>
      </c>
      <c r="C45" s="41">
        <f>D$28</f>
        <v>0.10887875607294449</v>
      </c>
      <c r="D45" s="41">
        <f>E$28</f>
        <v>0.88977546392644591</v>
      </c>
      <c r="E45" s="17"/>
    </row>
    <row r="46" spans="1:6" x14ac:dyDescent="0.25">
      <c r="A46" s="4" t="s">
        <v>184</v>
      </c>
      <c r="B46" s="41">
        <f>C$29</f>
        <v>6.2829392495848249E-2</v>
      </c>
      <c r="C46" s="41">
        <f>D$29</f>
        <v>0.56398179418562744</v>
      </c>
      <c r="D46" s="41">
        <f>E$29</f>
        <v>0.37318881331852438</v>
      </c>
      <c r="E46" s="17"/>
    </row>
    <row r="47" spans="1:6" x14ac:dyDescent="0.25">
      <c r="A47" s="4" t="s">
        <v>185</v>
      </c>
      <c r="B47" s="41">
        <f>C$30</f>
        <v>8.2466725996328746E-2</v>
      </c>
      <c r="C47" s="41">
        <f>D$30</f>
        <v>0.62794207930830326</v>
      </c>
      <c r="D47" s="41">
        <f>E$30</f>
        <v>0.28959119469536798</v>
      </c>
      <c r="E47" s="17"/>
    </row>
    <row r="48" spans="1:6" x14ac:dyDescent="0.25">
      <c r="A48" s="4" t="s">
        <v>229</v>
      </c>
      <c r="B48" s="41">
        <f>C$31</f>
        <v>2.1694223164720138E-3</v>
      </c>
      <c r="C48" s="41">
        <f>D$31</f>
        <v>0.1191021685284787</v>
      </c>
      <c r="D48" s="41">
        <f>E$31</f>
        <v>0.87872840915504924</v>
      </c>
      <c r="E48" s="17"/>
    </row>
    <row r="49" spans="1:5" x14ac:dyDescent="0.25">
      <c r="A49" s="4" t="s">
        <v>186</v>
      </c>
      <c r="B49" s="41">
        <f>C$32</f>
        <v>8.3002155127092456E-2</v>
      </c>
      <c r="C49" s="41">
        <f>D$32</f>
        <v>0.62055720983857132</v>
      </c>
      <c r="D49" s="41">
        <f>E$32</f>
        <v>0.29644063503433621</v>
      </c>
      <c r="E49" s="17"/>
    </row>
    <row r="50" spans="1:5" x14ac:dyDescent="0.25">
      <c r="A50" s="4" t="s">
        <v>187</v>
      </c>
      <c r="B50" s="41">
        <f>C$33</f>
        <v>8.2365949677054684E-2</v>
      </c>
      <c r="C50" s="41">
        <f>D$33</f>
        <v>0.6189862425729733</v>
      </c>
      <c r="D50" s="41">
        <f>E$33</f>
        <v>0.29864780774997207</v>
      </c>
      <c r="E50" s="17"/>
    </row>
    <row r="51" spans="1:5" x14ac:dyDescent="0.25">
      <c r="A51" s="4" t="s">
        <v>207</v>
      </c>
      <c r="B51" s="41">
        <f>C$34</f>
        <v>8.0236419125790145E-2</v>
      </c>
      <c r="C51" s="41">
        <f>D$34</f>
        <v>0.64682409747803271</v>
      </c>
      <c r="D51" s="41">
        <f>E$34</f>
        <v>0.27293948339617713</v>
      </c>
      <c r="E51" s="17"/>
    </row>
    <row r="52" spans="1:5" x14ac:dyDescent="0.25">
      <c r="A52" s="4" t="s">
        <v>188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189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190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191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208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196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197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200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201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211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212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593</v>
      </c>
    </row>
    <row r="65" spans="1:6" x14ac:dyDescent="0.25">
      <c r="A65" s="2" t="s">
        <v>381</v>
      </c>
    </row>
    <row r="66" spans="1:6" x14ac:dyDescent="0.25">
      <c r="A66" s="32" t="s">
        <v>594</v>
      </c>
    </row>
    <row r="67" spans="1:6" x14ac:dyDescent="0.25">
      <c r="A67" s="32" t="s">
        <v>595</v>
      </c>
    </row>
    <row r="68" spans="1:6" x14ac:dyDescent="0.25">
      <c r="A68" s="32" t="s">
        <v>585</v>
      </c>
    </row>
    <row r="69" spans="1:6" x14ac:dyDescent="0.25">
      <c r="A69" s="32" t="s">
        <v>586</v>
      </c>
    </row>
    <row r="70" spans="1:6" x14ac:dyDescent="0.25">
      <c r="A70" s="33" t="s">
        <v>384</v>
      </c>
      <c r="B70" s="33" t="s">
        <v>515</v>
      </c>
      <c r="C70" s="33" t="s">
        <v>514</v>
      </c>
      <c r="D70" s="33"/>
      <c r="E70" s="33"/>
    </row>
    <row r="71" spans="1:6" x14ac:dyDescent="0.25">
      <c r="A71" s="33" t="s">
        <v>387</v>
      </c>
      <c r="B71" s="33" t="s">
        <v>568</v>
      </c>
      <c r="C71" s="33" t="s">
        <v>587</v>
      </c>
      <c r="D71" s="33"/>
      <c r="E71" s="33"/>
    </row>
    <row r="73" spans="1:6" ht="30" x14ac:dyDescent="0.25">
      <c r="C73" s="30" t="s">
        <v>596</v>
      </c>
      <c r="D73" s="30"/>
      <c r="E73" s="30"/>
    </row>
    <row r="74" spans="1:6" x14ac:dyDescent="0.25">
      <c r="B74" s="15" t="s">
        <v>588</v>
      </c>
      <c r="C74" s="15" t="s">
        <v>348</v>
      </c>
      <c r="D74" s="15" t="s">
        <v>349</v>
      </c>
      <c r="E74" s="15" t="s">
        <v>350</v>
      </c>
    </row>
    <row r="75" spans="1:6" x14ac:dyDescent="0.25">
      <c r="A75" s="4" t="s">
        <v>183</v>
      </c>
      <c r="B75" s="39">
        <f>SUM(Input!$B342:$D342)</f>
        <v>1</v>
      </c>
      <c r="C75" s="39">
        <f>IF($B75,Input!B342/$B75,C$13/Input!$F$60/24)</f>
        <v>0</v>
      </c>
      <c r="D75" s="39">
        <f>IF($B75,Input!C342/$B75,D$13/Input!$F$60/24)</f>
        <v>2.116687822710871E-2</v>
      </c>
      <c r="E75" s="39">
        <f>IF($B75,Input!D342/$B75,E$13/Input!$F$60/24)</f>
        <v>0.97883312177289128</v>
      </c>
      <c r="F75" s="17"/>
    </row>
    <row r="76" spans="1:6" x14ac:dyDescent="0.25">
      <c r="A76" s="4" t="s">
        <v>185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2.7402635574841305E-2</v>
      </c>
      <c r="E76" s="39">
        <f>IF($B76,Input!D343/$B76,E$13/Input!$F$60/24)</f>
        <v>0.97259736442515876</v>
      </c>
      <c r="F76" s="17"/>
    </row>
    <row r="77" spans="1:6" x14ac:dyDescent="0.25">
      <c r="A77" s="4" t="s">
        <v>186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0</v>
      </c>
      <c r="E77" s="39">
        <f>IF($B77,Input!D344/$B77,E$13/Input!$F$60/24)</f>
        <v>1</v>
      </c>
      <c r="F77" s="17"/>
    </row>
    <row r="78" spans="1:6" x14ac:dyDescent="0.25">
      <c r="A78" s="4" t="s">
        <v>187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207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597</v>
      </c>
    </row>
    <row r="82" spans="1:5" x14ac:dyDescent="0.25">
      <c r="A82" s="2" t="s">
        <v>381</v>
      </c>
    </row>
    <row r="83" spans="1:5" x14ac:dyDescent="0.25">
      <c r="A83" s="32" t="s">
        <v>598</v>
      </c>
    </row>
    <row r="84" spans="1:5" x14ac:dyDescent="0.25">
      <c r="A84" s="2" t="s">
        <v>599</v>
      </c>
    </row>
    <row r="85" spans="1:5" x14ac:dyDescent="0.25">
      <c r="A85" s="2" t="s">
        <v>399</v>
      </c>
    </row>
    <row r="87" spans="1:5" x14ac:dyDescent="0.25">
      <c r="B87" s="15" t="s">
        <v>348</v>
      </c>
      <c r="C87" s="15" t="s">
        <v>349</v>
      </c>
      <c r="D87" s="15" t="s">
        <v>350</v>
      </c>
    </row>
    <row r="88" spans="1:5" x14ac:dyDescent="0.25">
      <c r="A88" s="4" t="s">
        <v>183</v>
      </c>
      <c r="B88" s="41">
        <f>C$75</f>
        <v>0</v>
      </c>
      <c r="C88" s="41">
        <f>D$75</f>
        <v>2.116687822710871E-2</v>
      </c>
      <c r="D88" s="41">
        <f>E$75</f>
        <v>0.97883312177289128</v>
      </c>
      <c r="E88" s="17"/>
    </row>
    <row r="89" spans="1:5" x14ac:dyDescent="0.25">
      <c r="A89" s="4" t="s">
        <v>185</v>
      </c>
      <c r="B89" s="41">
        <f>C$76</f>
        <v>0</v>
      </c>
      <c r="C89" s="41">
        <f>D$76</f>
        <v>2.7402635574841305E-2</v>
      </c>
      <c r="D89" s="41">
        <f>E$76</f>
        <v>0.97259736442515876</v>
      </c>
      <c r="E89" s="17"/>
    </row>
    <row r="90" spans="1:5" x14ac:dyDescent="0.25">
      <c r="A90" s="4" t="s">
        <v>186</v>
      </c>
      <c r="B90" s="41">
        <f>C$77</f>
        <v>0</v>
      </c>
      <c r="C90" s="41">
        <f>D$77</f>
        <v>0</v>
      </c>
      <c r="D90" s="41">
        <f>E$77</f>
        <v>1</v>
      </c>
      <c r="E90" s="17"/>
    </row>
    <row r="91" spans="1:5" x14ac:dyDescent="0.25">
      <c r="A91" s="4" t="s">
        <v>187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207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188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189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190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191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208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196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197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200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201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211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212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600</v>
      </c>
    </row>
    <row r="107" spans="1:5" x14ac:dyDescent="0.25">
      <c r="B107" s="15" t="s">
        <v>348</v>
      </c>
      <c r="C107" s="15" t="s">
        <v>349</v>
      </c>
      <c r="D107" s="15" t="s">
        <v>350</v>
      </c>
    </row>
    <row r="108" spans="1:5" x14ac:dyDescent="0.25">
      <c r="A108" s="4" t="s">
        <v>188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189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190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191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208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196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197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200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201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211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212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601</v>
      </c>
    </row>
    <row r="121" spans="1:5" x14ac:dyDescent="0.25">
      <c r="A121" s="2" t="s">
        <v>381</v>
      </c>
    </row>
    <row r="122" spans="1:5" x14ac:dyDescent="0.25">
      <c r="A122" s="32" t="s">
        <v>602</v>
      </c>
    </row>
    <row r="123" spans="1:5" x14ac:dyDescent="0.25">
      <c r="A123" s="32" t="s">
        <v>603</v>
      </c>
    </row>
    <row r="124" spans="1:5" x14ac:dyDescent="0.25">
      <c r="A124" s="32" t="s">
        <v>604</v>
      </c>
    </row>
    <row r="125" spans="1:5" x14ac:dyDescent="0.25">
      <c r="A125" s="2" t="s">
        <v>605</v>
      </c>
    </row>
    <row r="127" spans="1:5" x14ac:dyDescent="0.25">
      <c r="B127" s="15" t="s">
        <v>606</v>
      </c>
    </row>
    <row r="128" spans="1:5" x14ac:dyDescent="0.25">
      <c r="A128" s="4" t="s">
        <v>182</v>
      </c>
      <c r="B128" s="42">
        <f>Loads!B334+Loads!C334+Loads!D334</f>
        <v>4363552.1514066206</v>
      </c>
      <c r="C128" s="17"/>
    </row>
    <row r="129" spans="1:3" x14ac:dyDescent="0.25">
      <c r="A129" s="4" t="s">
        <v>183</v>
      </c>
      <c r="B129" s="42">
        <f>Loads!B335+Loads!C335+Loads!D335</f>
        <v>1243068.0277736415</v>
      </c>
      <c r="C129" s="17"/>
    </row>
    <row r="130" spans="1:3" x14ac:dyDescent="0.25">
      <c r="A130" s="4" t="s">
        <v>228</v>
      </c>
      <c r="B130" s="42">
        <f>Loads!B336+Loads!C336+Loads!D336</f>
        <v>49584.948626394573</v>
      </c>
      <c r="C130" s="17"/>
    </row>
    <row r="131" spans="1:3" x14ac:dyDescent="0.25">
      <c r="A131" s="4" t="s">
        <v>184</v>
      </c>
      <c r="B131" s="42">
        <f>Loads!B337+Loads!C337+Loads!D337</f>
        <v>1193652.4726898838</v>
      </c>
      <c r="C131" s="17"/>
    </row>
    <row r="132" spans="1:3" x14ac:dyDescent="0.25">
      <c r="A132" s="4" t="s">
        <v>185</v>
      </c>
      <c r="B132" s="42">
        <f>Loads!B338+Loads!C338+Loads!D338</f>
        <v>580208.70393137098</v>
      </c>
      <c r="C132" s="17"/>
    </row>
    <row r="133" spans="1:3" x14ac:dyDescent="0.25">
      <c r="A133" s="4" t="s">
        <v>229</v>
      </c>
      <c r="B133" s="42">
        <f>Loads!B339+Loads!C339+Loads!D339</f>
        <v>18696.270931315648</v>
      </c>
      <c r="C133" s="17"/>
    </row>
    <row r="134" spans="1:3" x14ac:dyDescent="0.25">
      <c r="A134" s="4" t="s">
        <v>186</v>
      </c>
      <c r="B134" s="42">
        <f>Loads!B340+Loads!C340+Loads!D340</f>
        <v>76380.199637192607</v>
      </c>
      <c r="C134" s="17"/>
    </row>
    <row r="135" spans="1:3" x14ac:dyDescent="0.25">
      <c r="A135" s="4" t="s">
        <v>187</v>
      </c>
      <c r="B135" s="42">
        <f>Loads!B341+Loads!C341+Loads!D341</f>
        <v>13888.827127274353</v>
      </c>
      <c r="C135" s="17"/>
    </row>
    <row r="136" spans="1:3" x14ac:dyDescent="0.25">
      <c r="A136" s="4" t="s">
        <v>207</v>
      </c>
      <c r="B136" s="42">
        <f>Loads!B342+Loads!C342+Loads!D342</f>
        <v>660.3423935899549</v>
      </c>
      <c r="C136" s="17"/>
    </row>
    <row r="137" spans="1:3" x14ac:dyDescent="0.25">
      <c r="A137" s="4" t="s">
        <v>188</v>
      </c>
      <c r="B137" s="42">
        <f>Loads!B343+Loads!C343+Loads!D343</f>
        <v>298.9704668372683</v>
      </c>
      <c r="C137" s="17"/>
    </row>
    <row r="138" spans="1:3" x14ac:dyDescent="0.25">
      <c r="A138" s="4" t="s">
        <v>189</v>
      </c>
      <c r="B138" s="42">
        <f>Loads!B344+Loads!C344+Loads!D344</f>
        <v>369299.17801056313</v>
      </c>
      <c r="C138" s="17"/>
    </row>
    <row r="139" spans="1:3" x14ac:dyDescent="0.25">
      <c r="A139" s="4" t="s">
        <v>190</v>
      </c>
      <c r="B139" s="42">
        <f>Loads!B345+Loads!C345+Loads!D345</f>
        <v>1285528.3963420147</v>
      </c>
      <c r="C139" s="17"/>
    </row>
    <row r="140" spans="1:3" x14ac:dyDescent="0.25">
      <c r="A140" s="4" t="s">
        <v>191</v>
      </c>
      <c r="B140" s="42">
        <f>Loads!B346+Loads!C346+Loads!D346</f>
        <v>743714.89644091506</v>
      </c>
      <c r="C140" s="17"/>
    </row>
    <row r="141" spans="1:3" x14ac:dyDescent="0.25">
      <c r="A141" s="4" t="s">
        <v>208</v>
      </c>
      <c r="B141" s="42">
        <f>Loads!B347+Loads!C347+Loads!D347</f>
        <v>2519949.8970442489</v>
      </c>
      <c r="C141" s="17"/>
    </row>
    <row r="142" spans="1:3" x14ac:dyDescent="0.25">
      <c r="A142" s="4" t="s">
        <v>230</v>
      </c>
      <c r="B142" s="42">
        <f>Loads!B348+Loads!C348+Loads!D348</f>
        <v>4148.2185576390511</v>
      </c>
      <c r="C142" s="17"/>
    </row>
    <row r="143" spans="1:3" x14ac:dyDescent="0.25">
      <c r="A143" s="4" t="s">
        <v>231</v>
      </c>
      <c r="B143" s="42">
        <f>Loads!B349+Loads!C349+Loads!D349</f>
        <v>5217.2339608351122</v>
      </c>
      <c r="C143" s="17"/>
    </row>
    <row r="144" spans="1:3" x14ac:dyDescent="0.25">
      <c r="A144" s="4" t="s">
        <v>232</v>
      </c>
      <c r="B144" s="42">
        <f>Loads!B350+Loads!C350+Loads!D350</f>
        <v>595.31717219053098</v>
      </c>
      <c r="C144" s="17"/>
    </row>
    <row r="145" spans="1:3" x14ac:dyDescent="0.25">
      <c r="A145" s="4" t="s">
        <v>233</v>
      </c>
      <c r="B145" s="42">
        <f>Loads!B351+Loads!C351+Loads!D351</f>
        <v>0</v>
      </c>
      <c r="C145" s="17"/>
    </row>
    <row r="146" spans="1:3" x14ac:dyDescent="0.25">
      <c r="A146" s="4" t="s">
        <v>234</v>
      </c>
      <c r="B146" s="42">
        <f>Loads!B352+Loads!C352+Loads!D352</f>
        <v>121903.77092239675</v>
      </c>
      <c r="C146" s="17"/>
    </row>
    <row r="147" spans="1:3" x14ac:dyDescent="0.25">
      <c r="A147" s="4" t="s">
        <v>192</v>
      </c>
      <c r="B147" s="42">
        <f>Loads!B353+Loads!C353+Loads!D353</f>
        <v>3962.3695334464301</v>
      </c>
      <c r="C147" s="17"/>
    </row>
    <row r="148" spans="1:3" x14ac:dyDescent="0.25">
      <c r="A148" s="4" t="s">
        <v>193</v>
      </c>
      <c r="B148" s="42">
        <f>Loads!B354+Loads!C354+Loads!D354</f>
        <v>0</v>
      </c>
      <c r="C148" s="17"/>
    </row>
    <row r="149" spans="1:3" x14ac:dyDescent="0.25">
      <c r="A149" s="4" t="s">
        <v>194</v>
      </c>
      <c r="B149" s="42">
        <f>Loads!B355+Loads!C355+Loads!D355</f>
        <v>71722.131331371449</v>
      </c>
      <c r="C149" s="17"/>
    </row>
    <row r="150" spans="1:3" x14ac:dyDescent="0.25">
      <c r="A150" s="4" t="s">
        <v>195</v>
      </c>
      <c r="B150" s="42">
        <f>Loads!B356+Loads!C356+Loads!D356</f>
        <v>0</v>
      </c>
      <c r="C150" s="17"/>
    </row>
    <row r="151" spans="1:3" x14ac:dyDescent="0.25">
      <c r="A151" s="4" t="s">
        <v>196</v>
      </c>
      <c r="B151" s="42">
        <f>Loads!B357+Loads!C357+Loads!D357</f>
        <v>3676.7162300636837</v>
      </c>
      <c r="C151" s="17"/>
    </row>
    <row r="152" spans="1:3" x14ac:dyDescent="0.25">
      <c r="A152" s="4" t="s">
        <v>197</v>
      </c>
      <c r="B152" s="42">
        <f>Loads!B358+Loads!C358+Loads!D358</f>
        <v>0</v>
      </c>
      <c r="C152" s="17"/>
    </row>
    <row r="153" spans="1:3" x14ac:dyDescent="0.25">
      <c r="A153" s="4" t="s">
        <v>198</v>
      </c>
      <c r="B153" s="42">
        <f>Loads!B359+Loads!C359+Loads!D359</f>
        <v>11531.789399625</v>
      </c>
      <c r="C153" s="17"/>
    </row>
    <row r="154" spans="1:3" x14ac:dyDescent="0.25">
      <c r="A154" s="4" t="s">
        <v>199</v>
      </c>
      <c r="B154" s="42">
        <f>Loads!B360+Loads!C360+Loads!D360</f>
        <v>0</v>
      </c>
      <c r="C154" s="17"/>
    </row>
    <row r="155" spans="1:3" x14ac:dyDescent="0.25">
      <c r="A155" s="4" t="s">
        <v>200</v>
      </c>
      <c r="B155" s="42">
        <f>Loads!B361+Loads!C361+Loads!D361</f>
        <v>4142.0305303234354</v>
      </c>
      <c r="C155" s="17"/>
    </row>
    <row r="156" spans="1:3" x14ac:dyDescent="0.25">
      <c r="A156" s="4" t="s">
        <v>201</v>
      </c>
      <c r="B156" s="42">
        <f>Loads!B362+Loads!C362+Loads!D362</f>
        <v>0</v>
      </c>
      <c r="C156" s="17"/>
    </row>
    <row r="157" spans="1:3" x14ac:dyDescent="0.25">
      <c r="A157" s="4" t="s">
        <v>209</v>
      </c>
      <c r="B157" s="42">
        <f>Loads!B363+Loads!C363+Loads!D363</f>
        <v>407740.85880585003</v>
      </c>
      <c r="C157" s="17"/>
    </row>
    <row r="158" spans="1:3" x14ac:dyDescent="0.25">
      <c r="A158" s="4" t="s">
        <v>210</v>
      </c>
      <c r="B158" s="42">
        <f>Loads!B364+Loads!C364+Loads!D364</f>
        <v>0</v>
      </c>
      <c r="C158" s="17"/>
    </row>
    <row r="159" spans="1:3" x14ac:dyDescent="0.25">
      <c r="A159" s="4" t="s">
        <v>211</v>
      </c>
      <c r="B159" s="42">
        <f>Loads!B365+Loads!C365+Loads!D365</f>
        <v>217764.86868123867</v>
      </c>
      <c r="C159" s="17"/>
    </row>
    <row r="160" spans="1:3" x14ac:dyDescent="0.25">
      <c r="A160" s="4" t="s">
        <v>212</v>
      </c>
      <c r="B160" s="42">
        <f>Loads!B366+Loads!C366+Loads!D366</f>
        <v>0</v>
      </c>
      <c r="C160" s="17"/>
    </row>
    <row r="162" spans="1:6" ht="21" customHeight="1" x14ac:dyDescent="0.3">
      <c r="A162" s="1" t="s">
        <v>607</v>
      </c>
    </row>
    <row r="163" spans="1:6" x14ac:dyDescent="0.25">
      <c r="A163" s="2" t="s">
        <v>381</v>
      </c>
    </row>
    <row r="164" spans="1:6" x14ac:dyDescent="0.25">
      <c r="A164" s="32" t="s">
        <v>608</v>
      </c>
    </row>
    <row r="165" spans="1:6" x14ac:dyDescent="0.25">
      <c r="A165" s="32" t="s">
        <v>609</v>
      </c>
    </row>
    <row r="166" spans="1:6" x14ac:dyDescent="0.25">
      <c r="A166" s="32" t="s">
        <v>610</v>
      </c>
    </row>
    <row r="167" spans="1:6" x14ac:dyDescent="0.25">
      <c r="A167" s="32" t="s">
        <v>611</v>
      </c>
    </row>
    <row r="168" spans="1:6" x14ac:dyDescent="0.25">
      <c r="A168" s="32" t="s">
        <v>612</v>
      </c>
    </row>
    <row r="169" spans="1:6" x14ac:dyDescent="0.25">
      <c r="A169" s="32" t="s">
        <v>613</v>
      </c>
    </row>
    <row r="170" spans="1:6" x14ac:dyDescent="0.25">
      <c r="A170" s="33" t="s">
        <v>384</v>
      </c>
      <c r="B170" s="33" t="s">
        <v>514</v>
      </c>
      <c r="C170" s="33"/>
      <c r="D170" s="33"/>
      <c r="E170" s="33" t="s">
        <v>514</v>
      </c>
    </row>
    <row r="171" spans="1:6" ht="30" x14ac:dyDescent="0.25">
      <c r="A171" s="33" t="s">
        <v>387</v>
      </c>
      <c r="B171" s="33" t="s">
        <v>614</v>
      </c>
      <c r="C171" s="33"/>
      <c r="D171" s="33"/>
      <c r="E171" s="33" t="s">
        <v>615</v>
      </c>
    </row>
    <row r="173" spans="1:6" ht="30" x14ac:dyDescent="0.25">
      <c r="B173" s="30" t="s">
        <v>616</v>
      </c>
      <c r="C173" s="30"/>
      <c r="D173" s="30"/>
    </row>
    <row r="174" spans="1:6" ht="45" x14ac:dyDescent="0.25">
      <c r="B174" s="15" t="s">
        <v>348</v>
      </c>
      <c r="C174" s="15" t="s">
        <v>349</v>
      </c>
      <c r="D174" s="15" t="s">
        <v>350</v>
      </c>
      <c r="E174" s="15" t="s">
        <v>617</v>
      </c>
    </row>
    <row r="175" spans="1:6" x14ac:dyDescent="0.25">
      <c r="A175" s="4" t="s">
        <v>182</v>
      </c>
      <c r="B175" s="39">
        <f>IF($B$128&gt;0,(Loads!$B$334*B$43)/$B$128,0)</f>
        <v>8.8555072718469185E-2</v>
      </c>
      <c r="C175" s="39">
        <f>IF($B$128&gt;0,(Loads!$B$334*C$43)/$B$128,0)</f>
        <v>0.46128307931440848</v>
      </c>
      <c r="D175" s="39">
        <f>IF($B$128&gt;0,(Loads!$B$334*D$43)/$B$128,0)</f>
        <v>0.45016184796712233</v>
      </c>
      <c r="E175" s="37">
        <f>IF($C$13&gt;0,$B175*Input!$F$60*24/$C$13,0)</f>
        <v>1.4844804556470101</v>
      </c>
      <c r="F175" s="17"/>
    </row>
    <row r="176" spans="1:6" x14ac:dyDescent="0.25">
      <c r="A176" s="4" t="s">
        <v>184</v>
      </c>
      <c r="B176" s="39">
        <f>IF($B$131&gt;0,(Loads!$B$337*B$46)/$B$131,0)</f>
        <v>6.2829392495848249E-2</v>
      </c>
      <c r="C176" s="39">
        <f>IF($B$131&gt;0,(Loads!$B$337*C$46)/$B$131,0)</f>
        <v>0.56398179418562744</v>
      </c>
      <c r="D176" s="39">
        <f>IF($B$131&gt;0,(Loads!$B$337*D$46)/$B$131,0)</f>
        <v>0.37318881331852438</v>
      </c>
      <c r="E176" s="37">
        <f>IF($C$13&gt;0,$B176*Input!$F$60*24/$C$13,0)</f>
        <v>1.0532316482510136</v>
      </c>
      <c r="F176" s="17"/>
    </row>
    <row r="178" spans="1:5" ht="21" customHeight="1" x14ac:dyDescent="0.3">
      <c r="A178" s="1" t="s">
        <v>618</v>
      </c>
    </row>
    <row r="179" spans="1:5" x14ac:dyDescent="0.25">
      <c r="A179" s="2" t="s">
        <v>381</v>
      </c>
    </row>
    <row r="180" spans="1:5" x14ac:dyDescent="0.25">
      <c r="A180" s="32" t="s">
        <v>608</v>
      </c>
    </row>
    <row r="181" spans="1:5" x14ac:dyDescent="0.25">
      <c r="A181" s="32" t="s">
        <v>609</v>
      </c>
    </row>
    <row r="182" spans="1:5" x14ac:dyDescent="0.25">
      <c r="A182" s="32" t="s">
        <v>610</v>
      </c>
    </row>
    <row r="183" spans="1:5" x14ac:dyDescent="0.25">
      <c r="A183" s="32" t="s">
        <v>619</v>
      </c>
    </row>
    <row r="184" spans="1:5" x14ac:dyDescent="0.25">
      <c r="A184" s="32" t="s">
        <v>620</v>
      </c>
    </row>
    <row r="185" spans="1:5" x14ac:dyDescent="0.25">
      <c r="A185" s="32" t="s">
        <v>621</v>
      </c>
    </row>
    <row r="186" spans="1:5" x14ac:dyDescent="0.25">
      <c r="A186" s="32" t="s">
        <v>622</v>
      </c>
    </row>
    <row r="187" spans="1:5" x14ac:dyDescent="0.25">
      <c r="A187" s="32" t="s">
        <v>623</v>
      </c>
    </row>
    <row r="188" spans="1:5" x14ac:dyDescent="0.25">
      <c r="A188" s="33" t="s">
        <v>384</v>
      </c>
      <c r="B188" s="33" t="s">
        <v>514</v>
      </c>
      <c r="C188" s="33"/>
      <c r="D188" s="33"/>
      <c r="E188" s="33" t="s">
        <v>514</v>
      </c>
    </row>
    <row r="189" spans="1:5" ht="30" x14ac:dyDescent="0.25">
      <c r="A189" s="33" t="s">
        <v>387</v>
      </c>
      <c r="B189" s="33" t="s">
        <v>624</v>
      </c>
      <c r="C189" s="33"/>
      <c r="D189" s="33"/>
      <c r="E189" s="33" t="s">
        <v>625</v>
      </c>
    </row>
    <row r="191" spans="1:5" ht="30" x14ac:dyDescent="0.25">
      <c r="B191" s="30" t="s">
        <v>626</v>
      </c>
      <c r="C191" s="30"/>
      <c r="D191" s="30"/>
    </row>
    <row r="192" spans="1:5" ht="45" x14ac:dyDescent="0.25">
      <c r="B192" s="15" t="s">
        <v>348</v>
      </c>
      <c r="C192" s="15" t="s">
        <v>349</v>
      </c>
      <c r="D192" s="15" t="s">
        <v>350</v>
      </c>
      <c r="E192" s="15" t="s">
        <v>627</v>
      </c>
    </row>
    <row r="193" spans="1:6" x14ac:dyDescent="0.25">
      <c r="A193" s="4" t="s">
        <v>183</v>
      </c>
      <c r="B193" s="39">
        <f>IF($B$129&gt;0,(Loads!$B$335*B$44+Loads!$C$335*B$88)/$B$129,0)</f>
        <v>5.4768759907244273E-2</v>
      </c>
      <c r="C193" s="39">
        <f>IF($B$129&gt;0,(Loads!$B$335*C$44+Loads!$C$335*C$88)/$B$129,0)</f>
        <v>0.28633187308554259</v>
      </c>
      <c r="D193" s="39">
        <f>IF($B$129&gt;0,(Loads!$B$335*D$44+Loads!$C$335*D$88)/$B$129,0)</f>
        <v>0.65889936700721308</v>
      </c>
      <c r="E193" s="37">
        <f>IF($C$13&gt;0,$B193*Input!$F$60*24/$C$13,0)</f>
        <v>0.91810837218556052</v>
      </c>
      <c r="F193" s="17"/>
    </row>
    <row r="194" spans="1:6" x14ac:dyDescent="0.25">
      <c r="A194" s="4" t="s">
        <v>185</v>
      </c>
      <c r="B194" s="39">
        <f>IF($B$132&gt;0,(Loads!$B$338*B$47+Loads!$C$338*B$89)/$B$132,0)</f>
        <v>5.8165949549253547E-2</v>
      </c>
      <c r="C194" s="39">
        <f>IF($B$132&gt;0,(Loads!$B$338*C$47+Loads!$C$338*C$89)/$B$132,0)</f>
        <v>0.45097889090104876</v>
      </c>
      <c r="D194" s="39">
        <f>IF($B$132&gt;0,(Loads!$B$338*D$47+Loads!$C$338*D$89)/$B$132,0)</f>
        <v>0.49085515954969777</v>
      </c>
      <c r="E194" s="37">
        <f>IF($C$13&gt;0,$B194*Input!$F$60*24/$C$13,0)</f>
        <v>0.97505668099359377</v>
      </c>
      <c r="F194" s="17"/>
    </row>
    <row r="195" spans="1:6" x14ac:dyDescent="0.25">
      <c r="A195" s="4" t="s">
        <v>186</v>
      </c>
      <c r="B195" s="39">
        <f>IF($B$134&gt;0,(Loads!$B$340*B$49+Loads!$C$340*B$90)/$B$134,0)</f>
        <v>6.6306899994305432E-2</v>
      </c>
      <c r="C195" s="39">
        <f>IF($B$134&gt;0,(Loads!$B$340*C$49+Loads!$C$340*C$90)/$B$134,0)</f>
        <v>0.49573682503191574</v>
      </c>
      <c r="D195" s="39">
        <f>IF($B$134&gt;0,(Loads!$B$340*D$49+Loads!$C$340*D$90)/$B$134,0)</f>
        <v>0.43795627497377881</v>
      </c>
      <c r="E195" s="37">
        <f>IF($C$13&gt;0,$B195*Input!$F$60*24/$C$13,0)</f>
        <v>1.1115263541030131</v>
      </c>
      <c r="F195" s="17"/>
    </row>
    <row r="196" spans="1:6" x14ac:dyDescent="0.25">
      <c r="A196" s="4" t="s">
        <v>187</v>
      </c>
      <c r="B196" s="39">
        <f>IF($B$135&gt;0,(Loads!$B$341*B$50+Loads!$C$341*B$91)/$B$135,0)</f>
        <v>6.5302263565436516E-2</v>
      </c>
      <c r="C196" s="39">
        <f>IF($B$135&gt;0,(Loads!$B$341*C$50+Loads!$C$341*C$91)/$B$135,0)</f>
        <v>0.49075137134174229</v>
      </c>
      <c r="D196" s="39">
        <f>IF($B$135&gt;0,(Loads!$B$341*D$50+Loads!$C$341*D$91)/$B$135,0)</f>
        <v>0.44394636509282126</v>
      </c>
      <c r="E196" s="37">
        <f>IF($C$13&gt;0,$B196*Input!$F$60*24/$C$13,0)</f>
        <v>1.0946852732038062</v>
      </c>
      <c r="F196" s="17"/>
    </row>
    <row r="197" spans="1:6" x14ac:dyDescent="0.25">
      <c r="A197" s="4" t="s">
        <v>207</v>
      </c>
      <c r="B197" s="39">
        <f>IF($B$136&gt;0,(Loads!$B$342*B$51+Loads!$C$342*B$92)/$B$136,0)</f>
        <v>5.7733652379530098E-2</v>
      </c>
      <c r="C197" s="39">
        <f>IF($B$136&gt;0,(Loads!$B$342*C$51+Loads!$C$342*C$92)/$B$136,0)</f>
        <v>0.46541854685657102</v>
      </c>
      <c r="D197" s="39">
        <f>IF($B$136&gt;0,(Loads!$B$342*D$51+Loads!$C$342*D$92)/$B$136,0)</f>
        <v>0.47684780076389899</v>
      </c>
      <c r="E197" s="37">
        <f>IF($C$13&gt;0,$B197*Input!$F$60*24/$C$13,0)</f>
        <v>0.96780992843853508</v>
      </c>
      <c r="F197" s="17"/>
    </row>
    <row r="199" spans="1:6" ht="21" customHeight="1" x14ac:dyDescent="0.3">
      <c r="A199" s="1" t="s">
        <v>628</v>
      </c>
    </row>
    <row r="200" spans="1:6" x14ac:dyDescent="0.25">
      <c r="A200" s="2" t="s">
        <v>381</v>
      </c>
    </row>
    <row r="201" spans="1:6" x14ac:dyDescent="0.25">
      <c r="A201" s="32" t="s">
        <v>608</v>
      </c>
    </row>
    <row r="202" spans="1:6" x14ac:dyDescent="0.25">
      <c r="A202" s="32" t="s">
        <v>609</v>
      </c>
    </row>
    <row r="203" spans="1:6" x14ac:dyDescent="0.25">
      <c r="A203" s="32" t="s">
        <v>610</v>
      </c>
    </row>
    <row r="204" spans="1:6" x14ac:dyDescent="0.25">
      <c r="A204" s="32" t="s">
        <v>619</v>
      </c>
    </row>
    <row r="205" spans="1:6" x14ac:dyDescent="0.25">
      <c r="A205" s="32" t="s">
        <v>620</v>
      </c>
    </row>
    <row r="206" spans="1:6" x14ac:dyDescent="0.25">
      <c r="A206" s="32" t="s">
        <v>629</v>
      </c>
    </row>
    <row r="207" spans="1:6" x14ac:dyDescent="0.25">
      <c r="A207" s="32" t="s">
        <v>630</v>
      </c>
    </row>
    <row r="208" spans="1:6" x14ac:dyDescent="0.25">
      <c r="A208" s="32" t="s">
        <v>631</v>
      </c>
    </row>
    <row r="209" spans="1:6" x14ac:dyDescent="0.25">
      <c r="A209" s="32" t="s">
        <v>632</v>
      </c>
    </row>
    <row r="210" spans="1:6" x14ac:dyDescent="0.25">
      <c r="A210" s="32" t="s">
        <v>633</v>
      </c>
    </row>
    <row r="211" spans="1:6" x14ac:dyDescent="0.25">
      <c r="A211" s="33" t="s">
        <v>384</v>
      </c>
      <c r="B211" s="33" t="s">
        <v>514</v>
      </c>
      <c r="C211" s="33"/>
      <c r="D211" s="33"/>
      <c r="E211" s="33" t="s">
        <v>514</v>
      </c>
    </row>
    <row r="212" spans="1:6" ht="30" x14ac:dyDescent="0.25">
      <c r="A212" s="33" t="s">
        <v>387</v>
      </c>
      <c r="B212" s="33" t="s">
        <v>634</v>
      </c>
      <c r="C212" s="33"/>
      <c r="D212" s="33"/>
      <c r="E212" s="33" t="s">
        <v>635</v>
      </c>
    </row>
    <row r="214" spans="1:6" ht="30" x14ac:dyDescent="0.25">
      <c r="B214" s="30" t="s">
        <v>636</v>
      </c>
      <c r="C214" s="30"/>
      <c r="D214" s="30"/>
    </row>
    <row r="215" spans="1:6" ht="45" x14ac:dyDescent="0.25">
      <c r="B215" s="15" t="s">
        <v>348</v>
      </c>
      <c r="C215" s="15" t="s">
        <v>349</v>
      </c>
      <c r="D215" s="15" t="s">
        <v>350</v>
      </c>
      <c r="E215" s="15" t="s">
        <v>637</v>
      </c>
    </row>
    <row r="216" spans="1:6" x14ac:dyDescent="0.25">
      <c r="A216" s="4" t="s">
        <v>188</v>
      </c>
      <c r="B216" s="39">
        <f>IF($B$137&gt;0,(Loads!$B$343*B$52+Loads!$C$343*B$93+Loads!$D$343*B$108)/$B$137,0)</f>
        <v>5.9920636232795248E-2</v>
      </c>
      <c r="C216" s="39">
        <f>IF($B$137&gt;0,(Loads!$B$343*C$52+Loads!$C$343*C$93+Loads!$D$343*C$108)/$B$137,0)</f>
        <v>0.49806311335763498</v>
      </c>
      <c r="D216" s="39">
        <f>IF($B$137&gt;0,(Loads!$B$343*D$52+Loads!$C$343*D$93+Loads!$D$343*D$108)/$B$137,0)</f>
        <v>0.44201625040956982</v>
      </c>
      <c r="E216" s="37">
        <f>IF($C$13&gt;0,$B216*Input!$F$60*24/$C$13,0)</f>
        <v>1.0044711234138808</v>
      </c>
      <c r="F216" s="17"/>
    </row>
    <row r="217" spans="1:6" x14ac:dyDescent="0.25">
      <c r="A217" s="4" t="s">
        <v>189</v>
      </c>
      <c r="B217" s="39">
        <f>IF($B$138&gt;0,(Loads!$B$344*B$53+Loads!$C$344*B$94+Loads!$D$344*B$109)/$B$138,0)</f>
        <v>6.823728415423945E-2</v>
      </c>
      <c r="C217" s="39">
        <f>IF($B$138&gt;0,(Loads!$B$344*C$53+Loads!$C$344*C$94+Loads!$D$344*C$109)/$B$138,0)</f>
        <v>0.49173721763898742</v>
      </c>
      <c r="D217" s="39">
        <f>IF($B$138&gt;0,(Loads!$B$344*D$53+Loads!$C$344*D$94+Loads!$D$344*D$109)/$B$138,0)</f>
        <v>0.440025498206773</v>
      </c>
      <c r="E217" s="37">
        <f>IF($C$13&gt;0,$B217*Input!$F$60*24/$C$13,0)</f>
        <v>1.1438860763565637</v>
      </c>
      <c r="F217" s="17"/>
    </row>
    <row r="218" spans="1:6" x14ac:dyDescent="0.25">
      <c r="A218" s="4" t="s">
        <v>190</v>
      </c>
      <c r="B218" s="39">
        <f>IF($B$139&gt;0,(Loads!$B$345*B$54+Loads!$C$345*B$95+Loads!$D$345*B$110)/$B$139,0)</f>
        <v>7.0112544468780957E-2</v>
      </c>
      <c r="C218" s="39">
        <f>IF($B$139&gt;0,(Loads!$B$345*C$54+Loads!$C$345*C$95+Loads!$D$345*C$110)/$B$139,0)</f>
        <v>0.5027572053260031</v>
      </c>
      <c r="D218" s="39">
        <f>IF($B$139&gt;0,(Loads!$B$345*D$54+Loads!$C$345*D$95+Loads!$D$345*D$110)/$B$139,0)</f>
        <v>0.42713025020521589</v>
      </c>
      <c r="E218" s="37">
        <f>IF($C$13&gt;0,$B218*Input!$F$60*24/$C$13,0)</f>
        <v>1.175321737812542</v>
      </c>
      <c r="F218" s="17"/>
    </row>
    <row r="219" spans="1:6" x14ac:dyDescent="0.25">
      <c r="A219" s="4" t="s">
        <v>191</v>
      </c>
      <c r="B219" s="39">
        <f>IF($B$140&gt;0,(Loads!$B$346*B$55+Loads!$C$346*B$96+Loads!$D$346*B$111)/$B$140,0)</f>
        <v>6.6202489382072155E-2</v>
      </c>
      <c r="C219" s="39">
        <f>IF($B$140&gt;0,(Loads!$B$346*C$55+Loads!$C$346*C$96+Loads!$D$346*C$111)/$B$140,0)</f>
        <v>0.48790630171269322</v>
      </c>
      <c r="D219" s="39">
        <f>IF($B$140&gt;0,(Loads!$B$346*D$55+Loads!$C$346*D$96+Loads!$D$346*D$111)/$B$140,0)</f>
        <v>0.44589120890523459</v>
      </c>
      <c r="E219" s="37">
        <f>IF($C$13&gt;0,$B219*Input!$F$60*24/$C$13,0)</f>
        <v>1.1097760815498507</v>
      </c>
      <c r="F219" s="17"/>
    </row>
    <row r="220" spans="1:6" x14ac:dyDescent="0.25">
      <c r="A220" s="4" t="s">
        <v>208</v>
      </c>
      <c r="B220" s="39">
        <f>IF($B$141&gt;0,(Loads!$B$347*B$56+Loads!$C$347*B$97+Loads!$D$347*B$112)/$B$141,0)</f>
        <v>6.3210250142827329E-2</v>
      </c>
      <c r="C220" s="39">
        <f>IF($B$141&gt;0,(Loads!$B$347*C$56+Loads!$C$347*C$97+Loads!$D$347*C$112)/$B$141,0)</f>
        <v>0.44475744884057905</v>
      </c>
      <c r="D220" s="39">
        <f>IF($B$141&gt;0,(Loads!$B$347*D$56+Loads!$C$347*D$97+Loads!$D$347*D$112)/$B$141,0)</f>
        <v>0.49203230101659351</v>
      </c>
      <c r="E220" s="37">
        <f>IF($C$13&gt;0,$B220*Input!$F$60*24/$C$13,0)</f>
        <v>1.0596161016309071</v>
      </c>
      <c r="F220" s="17"/>
    </row>
    <row r="222" spans="1:6" ht="21" customHeight="1" x14ac:dyDescent="0.3">
      <c r="A222" s="1" t="s">
        <v>638</v>
      </c>
    </row>
    <row r="223" spans="1:6" x14ac:dyDescent="0.25">
      <c r="A223" s="2" t="s">
        <v>381</v>
      </c>
    </row>
    <row r="224" spans="1:6" x14ac:dyDescent="0.25">
      <c r="A224" s="32" t="s">
        <v>639</v>
      </c>
    </row>
    <row r="225" spans="1:4" x14ac:dyDescent="0.25">
      <c r="A225" s="32" t="s">
        <v>640</v>
      </c>
    </row>
    <row r="226" spans="1:4" x14ac:dyDescent="0.25">
      <c r="A226" s="32" t="s">
        <v>641</v>
      </c>
    </row>
    <row r="227" spans="1:4" x14ac:dyDescent="0.25">
      <c r="A227" s="32" t="s">
        <v>642</v>
      </c>
    </row>
    <row r="228" spans="1:4" x14ac:dyDescent="0.25">
      <c r="A228" s="32" t="s">
        <v>643</v>
      </c>
    </row>
    <row r="229" spans="1:4" x14ac:dyDescent="0.25">
      <c r="A229" s="33" t="s">
        <v>384</v>
      </c>
      <c r="B229" s="33" t="s">
        <v>549</v>
      </c>
      <c r="C229" s="33" t="s">
        <v>514</v>
      </c>
    </row>
    <row r="230" spans="1:4" ht="30" x14ac:dyDescent="0.25">
      <c r="A230" s="33" t="s">
        <v>387</v>
      </c>
      <c r="B230" s="33" t="s">
        <v>644</v>
      </c>
      <c r="C230" s="33" t="s">
        <v>645</v>
      </c>
    </row>
    <row r="232" spans="1:4" ht="75" x14ac:dyDescent="0.25">
      <c r="B232" s="15" t="s">
        <v>646</v>
      </c>
      <c r="C232" s="15" t="s">
        <v>647</v>
      </c>
    </row>
    <row r="233" spans="1:4" x14ac:dyDescent="0.25">
      <c r="A233" s="4" t="s">
        <v>182</v>
      </c>
      <c r="B233" s="38">
        <f>E$175</f>
        <v>1.4844804556470101</v>
      </c>
      <c r="C233" s="37">
        <f>IF($B233&lt;&gt;0,Loads!B$46/$B233,IF(Loads!B$46&lt;0,-1,1))</f>
        <v>1.4841337628150875</v>
      </c>
      <c r="D233" s="17"/>
    </row>
    <row r="234" spans="1:4" x14ac:dyDescent="0.25">
      <c r="A234" s="4" t="s">
        <v>183</v>
      </c>
      <c r="B234" s="38">
        <f>E$193</f>
        <v>0.91810837218556052</v>
      </c>
      <c r="C234" s="37">
        <f>IF($B234&lt;&gt;0,Loads!B$47/$B234,IF(Loads!B$47&lt;0,-1,1))</f>
        <v>1.4719982539349783</v>
      </c>
      <c r="D234" s="17"/>
    </row>
    <row r="235" spans="1:4" x14ac:dyDescent="0.25">
      <c r="A235" s="4" t="s">
        <v>228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184</v>
      </c>
      <c r="B236" s="38">
        <f>E$176</f>
        <v>1.0532316482510136</v>
      </c>
      <c r="C236" s="37">
        <f>IF($B236&lt;&gt;0,Loads!B$49/$B236,IF(Loads!B$49&lt;0,-1,1))</f>
        <v>1.6031444528460665</v>
      </c>
      <c r="D236" s="17"/>
    </row>
    <row r="237" spans="1:4" x14ac:dyDescent="0.25">
      <c r="A237" s="4" t="s">
        <v>185</v>
      </c>
      <c r="B237" s="38">
        <f>E$194</f>
        <v>0.97505668099359377</v>
      </c>
      <c r="C237" s="37">
        <f>IF($B237&lt;&gt;0,Loads!B$50/$B237,IF(Loads!B$50&lt;0,-1,1))</f>
        <v>1.4675372880364916</v>
      </c>
      <c r="D237" s="17"/>
    </row>
    <row r="238" spans="1:4" x14ac:dyDescent="0.25">
      <c r="A238" s="4" t="s">
        <v>229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186</v>
      </c>
      <c r="B239" s="38">
        <f>E$195</f>
        <v>1.1115263541030131</v>
      </c>
      <c r="C239" s="37">
        <f>IF($B239&lt;&gt;0,Loads!B$52/$B239,IF(Loads!B$52&lt;0,-1,1))</f>
        <v>1.3012223098110323</v>
      </c>
      <c r="D239" s="17"/>
    </row>
    <row r="240" spans="1:4" x14ac:dyDescent="0.25">
      <c r="A240" s="4" t="s">
        <v>187</v>
      </c>
      <c r="B240" s="38">
        <f>E$196</f>
        <v>1.0946852732038062</v>
      </c>
      <c r="C240" s="37">
        <f>IF($B240&lt;&gt;0,Loads!B$53/$B240,IF(Loads!B$53&lt;0,-1,1))</f>
        <v>1.276022195646924</v>
      </c>
      <c r="D240" s="17"/>
    </row>
    <row r="241" spans="1:4" x14ac:dyDescent="0.25">
      <c r="A241" s="4" t="s">
        <v>207</v>
      </c>
      <c r="B241" s="38">
        <f>E$197</f>
        <v>0.96780992843853508</v>
      </c>
      <c r="C241" s="37">
        <f>IF($B241&lt;&gt;0,Loads!B$54/$B241,IF(Loads!B$54&lt;0,-1,1))</f>
        <v>1.506413072989397</v>
      </c>
      <c r="D241" s="17"/>
    </row>
    <row r="242" spans="1:4" x14ac:dyDescent="0.25">
      <c r="A242" s="4" t="s">
        <v>188</v>
      </c>
      <c r="B242" s="38">
        <f>E$216</f>
        <v>1.0044711234138808</v>
      </c>
      <c r="C242" s="37">
        <f>IF($B242&lt;&gt;0,Loads!B$55/$B242,IF(Loads!B$55&lt;0,-1,1))</f>
        <v>2.1194531228424434</v>
      </c>
      <c r="D242" s="17"/>
    </row>
    <row r="243" spans="1:4" x14ac:dyDescent="0.25">
      <c r="A243" s="4" t="s">
        <v>189</v>
      </c>
      <c r="B243" s="38">
        <f>E$217</f>
        <v>1.1438860763565637</v>
      </c>
      <c r="C243" s="37">
        <f>IF($B243&lt;&gt;0,Loads!B$56/$B243,IF(Loads!B$56&lt;0,-1,1))</f>
        <v>1.4479377261385025</v>
      </c>
      <c r="D243" s="17"/>
    </row>
    <row r="244" spans="1:4" x14ac:dyDescent="0.25">
      <c r="A244" s="4" t="s">
        <v>190</v>
      </c>
      <c r="B244" s="38">
        <f>E$218</f>
        <v>1.175321737812542</v>
      </c>
      <c r="C244" s="37">
        <f>IF($B244&lt;&gt;0,Loads!B$57/$B244,IF(Loads!B$57&lt;0,-1,1))</f>
        <v>1.1631807576950182</v>
      </c>
      <c r="D244" s="17"/>
    </row>
    <row r="245" spans="1:4" x14ac:dyDescent="0.25">
      <c r="A245" s="4" t="s">
        <v>191</v>
      </c>
      <c r="B245" s="38">
        <f>E$219</f>
        <v>1.1097760815498507</v>
      </c>
      <c r="C245" s="37">
        <f>IF($B245&lt;&gt;0,Loads!B$58/$B245,IF(Loads!B$58&lt;0,-1,1))</f>
        <v>1.1284500364388377</v>
      </c>
      <c r="D245" s="17"/>
    </row>
    <row r="246" spans="1:4" x14ac:dyDescent="0.25">
      <c r="A246" s="4" t="s">
        <v>208</v>
      </c>
      <c r="B246" s="38">
        <f>E$220</f>
        <v>1.0596161016309071</v>
      </c>
      <c r="C246" s="37">
        <f>IF($B246&lt;&gt;0,Loads!B$59/$B246,IF(Loads!B$59&lt;0,-1,1))</f>
        <v>1.0562960832146444</v>
      </c>
      <c r="D246" s="17"/>
    </row>
    <row r="247" spans="1:4" x14ac:dyDescent="0.25">
      <c r="A247" s="4" t="s">
        <v>196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197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200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201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211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212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648</v>
      </c>
    </row>
    <row r="255" spans="1:4" x14ac:dyDescent="0.25">
      <c r="A255" s="2" t="s">
        <v>381</v>
      </c>
    </row>
    <row r="256" spans="1:4" x14ac:dyDescent="0.25">
      <c r="A256" s="32" t="s">
        <v>649</v>
      </c>
    </row>
    <row r="257" spans="1:6" x14ac:dyDescent="0.25">
      <c r="A257" s="32" t="s">
        <v>650</v>
      </c>
    </row>
    <row r="258" spans="1:6" x14ac:dyDescent="0.25">
      <c r="A258" s="32" t="s">
        <v>651</v>
      </c>
    </row>
    <row r="259" spans="1:6" x14ac:dyDescent="0.25">
      <c r="A259" s="32" t="s">
        <v>652</v>
      </c>
    </row>
    <row r="260" spans="1:6" x14ac:dyDescent="0.25">
      <c r="A260" s="33" t="s">
        <v>384</v>
      </c>
      <c r="B260" s="33" t="s">
        <v>515</v>
      </c>
      <c r="C260" s="33" t="s">
        <v>514</v>
      </c>
      <c r="D260" s="33"/>
      <c r="E260" s="33"/>
    </row>
    <row r="261" spans="1:6" x14ac:dyDescent="0.25">
      <c r="A261" s="33" t="s">
        <v>387</v>
      </c>
      <c r="B261" s="33" t="s">
        <v>568</v>
      </c>
      <c r="C261" s="33" t="s">
        <v>653</v>
      </c>
      <c r="D261" s="33"/>
      <c r="E261" s="33"/>
    </row>
    <row r="263" spans="1:6" x14ac:dyDescent="0.25">
      <c r="C263" s="30" t="s">
        <v>655</v>
      </c>
      <c r="D263" s="30"/>
      <c r="E263" s="30"/>
    </row>
    <row r="264" spans="1:6" ht="30" x14ac:dyDescent="0.25">
      <c r="B264" s="15" t="s">
        <v>654</v>
      </c>
      <c r="C264" s="15" t="s">
        <v>348</v>
      </c>
      <c r="D264" s="15" t="s">
        <v>349</v>
      </c>
      <c r="E264" s="15" t="s">
        <v>350</v>
      </c>
    </row>
    <row r="265" spans="1:6" x14ac:dyDescent="0.25">
      <c r="A265" s="4" t="s">
        <v>150</v>
      </c>
      <c r="B265" s="39">
        <f>SUM(Input!$B375:$D375)</f>
        <v>1</v>
      </c>
      <c r="C265" s="39">
        <f>IF($B265,Input!B375/$B265,Input!B$368/$B$13)</f>
        <v>1</v>
      </c>
      <c r="D265" s="39">
        <f>IF($B265,Input!C375/$B265,Input!C$368/$B$13)</f>
        <v>0</v>
      </c>
      <c r="E265" s="39">
        <f>IF($B265,Input!D375/$B265,Input!D$368/$B$13)</f>
        <v>0</v>
      </c>
      <c r="F265" s="17"/>
    </row>
    <row r="266" spans="1:6" x14ac:dyDescent="0.25">
      <c r="A266" s="4" t="s">
        <v>151</v>
      </c>
      <c r="B266" s="39">
        <f>SUM(Input!$B376:$D376)</f>
        <v>1</v>
      </c>
      <c r="C266" s="39">
        <f>IF($B266,Input!B376/$B266,Input!B$368/$B$13)</f>
        <v>0.88816984199382809</v>
      </c>
      <c r="D266" s="39">
        <f>IF($B266,Input!C376/$B266,Input!C$368/$B$13)</f>
        <v>7.787720458857357E-2</v>
      </c>
      <c r="E266" s="39">
        <f>IF($B266,Input!D376/$B266,Input!D$368/$B$13)</f>
        <v>3.395295341759829E-2</v>
      </c>
      <c r="F266" s="17"/>
    </row>
    <row r="267" spans="1:6" x14ac:dyDescent="0.25">
      <c r="A267" s="4" t="s">
        <v>152</v>
      </c>
      <c r="B267" s="39">
        <f>SUM(Input!$B377:$D377)</f>
        <v>1</v>
      </c>
      <c r="C267" s="39">
        <f>IF($B267,Input!B377/$B267,Input!B$368/$B$13)</f>
        <v>0.88816984199382809</v>
      </c>
      <c r="D267" s="39">
        <f>IF($B267,Input!C377/$B267,Input!C$368/$B$13)</f>
        <v>7.787720458857357E-2</v>
      </c>
      <c r="E267" s="39">
        <f>IF($B267,Input!D377/$B267,Input!D$368/$B$13)</f>
        <v>3.395295341759829E-2</v>
      </c>
      <c r="F267" s="17"/>
    </row>
    <row r="268" spans="1:6" x14ac:dyDescent="0.25">
      <c r="A268" s="4" t="s">
        <v>153</v>
      </c>
      <c r="B268" s="39">
        <f>SUM(Input!$B378:$D378)</f>
        <v>0.99999999999999989</v>
      </c>
      <c r="C268" s="39">
        <f>IF($B268,Input!B378/$B268,Input!B$368/$B$13)</f>
        <v>0.631449237442961</v>
      </c>
      <c r="D268" s="39">
        <f>IF($B268,Input!C378/$B268,Input!C$368/$B$13)</f>
        <v>0.29579028304608834</v>
      </c>
      <c r="E268" s="39">
        <f>IF($B268,Input!D378/$B268,Input!D$368/$B$13)</f>
        <v>7.2760479510950826E-2</v>
      </c>
      <c r="F268" s="17"/>
    </row>
    <row r="269" spans="1:6" x14ac:dyDescent="0.25">
      <c r="A269" s="4" t="s">
        <v>154</v>
      </c>
      <c r="B269" s="39">
        <f>SUM(Input!$B379:$D379)</f>
        <v>0.99999999999999989</v>
      </c>
      <c r="C269" s="39">
        <f>IF($B269,Input!B379/$B269,Input!B$368/$B$13)</f>
        <v>0.631449237442961</v>
      </c>
      <c r="D269" s="39">
        <f>IF($B269,Input!C379/$B269,Input!C$368/$B$13)</f>
        <v>0.29579028304608834</v>
      </c>
      <c r="E269" s="39">
        <f>IF($B269,Input!D379/$B269,Input!D$368/$B$13)</f>
        <v>7.2760479510950826E-2</v>
      </c>
      <c r="F269" s="17"/>
    </row>
    <row r="270" spans="1:6" x14ac:dyDescent="0.25">
      <c r="A270" s="4" t="s">
        <v>159</v>
      </c>
      <c r="B270" s="39">
        <f>SUM(Input!$B380:$D380)</f>
        <v>1</v>
      </c>
      <c r="C270" s="39">
        <f>IF($B270,Input!B380/$B270,Input!B$368/$B$13)</f>
        <v>0.88816984199382809</v>
      </c>
      <c r="D270" s="39">
        <f>IF($B270,Input!C380/$B270,Input!C$368/$B$13)</f>
        <v>7.787720458857357E-2</v>
      </c>
      <c r="E270" s="39">
        <f>IF($B270,Input!D380/$B270,Input!D$368/$B$13)</f>
        <v>3.395295341759829E-2</v>
      </c>
      <c r="F270" s="17"/>
    </row>
    <row r="271" spans="1:6" x14ac:dyDescent="0.25">
      <c r="A271" s="4" t="s">
        <v>155</v>
      </c>
      <c r="B271" s="39">
        <f>SUM(Input!$B381:$D381)</f>
        <v>0.99999999999999989</v>
      </c>
      <c r="C271" s="39">
        <f>IF($B271,Input!B381/$B271,Input!B$368/$B$13)</f>
        <v>0.631449237442961</v>
      </c>
      <c r="D271" s="39">
        <f>IF($B271,Input!C381/$B271,Input!C$368/$B$13)</f>
        <v>0.29579028304608834</v>
      </c>
      <c r="E271" s="39">
        <f>IF($B271,Input!D381/$B271,Input!D$368/$B$13)</f>
        <v>7.2760479510950826E-2</v>
      </c>
      <c r="F271" s="17"/>
    </row>
    <row r="272" spans="1:6" x14ac:dyDescent="0.25">
      <c r="A272" s="4" t="s">
        <v>156</v>
      </c>
      <c r="B272" s="39">
        <f>SUM(Input!$B382:$D382)</f>
        <v>0.99999999999999989</v>
      </c>
      <c r="C272" s="39">
        <f>IF($B272,Input!B382/$B272,Input!B$368/$B$13)</f>
        <v>0.631449237442961</v>
      </c>
      <c r="D272" s="39">
        <f>IF($B272,Input!C382/$B272,Input!C$368/$B$13)</f>
        <v>0.29579028304608834</v>
      </c>
      <c r="E272" s="39">
        <f>IF($B272,Input!D382/$B272,Input!D$368/$B$13)</f>
        <v>7.2760479510950826E-2</v>
      </c>
      <c r="F272" s="17"/>
    </row>
    <row r="273" spans="1:38" x14ac:dyDescent="0.25">
      <c r="A273" s="4" t="s">
        <v>157</v>
      </c>
      <c r="B273" s="39">
        <f>SUM(Input!$B383:$D383)</f>
        <v>0.99999999999999989</v>
      </c>
      <c r="C273" s="39">
        <f>IF($B273,Input!B383/$B273,Input!B$368/$B$13)</f>
        <v>0.631449237442961</v>
      </c>
      <c r="D273" s="39">
        <f>IF($B273,Input!C383/$B273,Input!C$368/$B$13)</f>
        <v>0.29579028304608834</v>
      </c>
      <c r="E273" s="39">
        <f>IF($B273,Input!D383/$B273,Input!D$368/$B$13)</f>
        <v>7.2760479510950826E-2</v>
      </c>
      <c r="F273" s="17"/>
    </row>
    <row r="275" spans="1:38" ht="21" customHeight="1" x14ac:dyDescent="0.3">
      <c r="A275" s="1" t="s">
        <v>656</v>
      </c>
    </row>
    <row r="276" spans="1:38" x14ac:dyDescent="0.25">
      <c r="A276" s="2" t="s">
        <v>381</v>
      </c>
    </row>
    <row r="277" spans="1:38" x14ac:dyDescent="0.25">
      <c r="A277" s="32" t="s">
        <v>657</v>
      </c>
    </row>
    <row r="278" spans="1:38" x14ac:dyDescent="0.25">
      <c r="A278" s="2" t="s">
        <v>658</v>
      </c>
    </row>
    <row r="280" spans="1:38" x14ac:dyDescent="0.25">
      <c r="B280" s="28" t="s">
        <v>150</v>
      </c>
      <c r="C280" s="15" t="s">
        <v>348</v>
      </c>
      <c r="D280" s="15" t="s">
        <v>349</v>
      </c>
      <c r="E280" s="15" t="s">
        <v>350</v>
      </c>
      <c r="F280" s="28" t="s">
        <v>151</v>
      </c>
      <c r="G280" s="15" t="s">
        <v>348</v>
      </c>
      <c r="H280" s="15" t="s">
        <v>349</v>
      </c>
      <c r="I280" s="15" t="s">
        <v>350</v>
      </c>
      <c r="J280" s="28" t="s">
        <v>152</v>
      </c>
      <c r="K280" s="15" t="s">
        <v>348</v>
      </c>
      <c r="L280" s="15" t="s">
        <v>349</v>
      </c>
      <c r="M280" s="15" t="s">
        <v>350</v>
      </c>
      <c r="N280" s="28" t="s">
        <v>153</v>
      </c>
      <c r="O280" s="15" t="s">
        <v>348</v>
      </c>
      <c r="P280" s="15" t="s">
        <v>349</v>
      </c>
      <c r="Q280" s="15" t="s">
        <v>350</v>
      </c>
      <c r="R280" s="28" t="s">
        <v>154</v>
      </c>
      <c r="S280" s="15" t="s">
        <v>348</v>
      </c>
      <c r="T280" s="15" t="s">
        <v>349</v>
      </c>
      <c r="U280" s="15" t="s">
        <v>350</v>
      </c>
      <c r="V280" s="28" t="s">
        <v>159</v>
      </c>
      <c r="W280" s="15" t="s">
        <v>348</v>
      </c>
      <c r="X280" s="15" t="s">
        <v>349</v>
      </c>
      <c r="Y280" s="15" t="s">
        <v>350</v>
      </c>
      <c r="Z280" s="28" t="s">
        <v>155</v>
      </c>
      <c r="AA280" s="15" t="s">
        <v>348</v>
      </c>
      <c r="AB280" s="15" t="s">
        <v>349</v>
      </c>
      <c r="AC280" s="15" t="s">
        <v>350</v>
      </c>
      <c r="AD280" s="28" t="s">
        <v>156</v>
      </c>
      <c r="AE280" s="15" t="s">
        <v>348</v>
      </c>
      <c r="AF280" s="15" t="s">
        <v>349</v>
      </c>
      <c r="AG280" s="15" t="s">
        <v>350</v>
      </c>
      <c r="AH280" s="28" t="s">
        <v>157</v>
      </c>
      <c r="AI280" s="15" t="s">
        <v>348</v>
      </c>
      <c r="AJ280" s="15" t="s">
        <v>349</v>
      </c>
      <c r="AK280" s="15" t="s">
        <v>350</v>
      </c>
    </row>
    <row r="281" spans="1:38" x14ac:dyDescent="0.25">
      <c r="A281" s="4" t="s">
        <v>659</v>
      </c>
      <c r="C281" s="41">
        <f>C$265</f>
        <v>1</v>
      </c>
      <c r="D281" s="41">
        <f>D$265</f>
        <v>0</v>
      </c>
      <c r="E281" s="41">
        <f>E$265</f>
        <v>0</v>
      </c>
      <c r="G281" s="41">
        <f>C$266</f>
        <v>0.88816984199382809</v>
      </c>
      <c r="H281" s="41">
        <f>D$266</f>
        <v>7.787720458857357E-2</v>
      </c>
      <c r="I281" s="41">
        <f>E$266</f>
        <v>3.395295341759829E-2</v>
      </c>
      <c r="K281" s="41">
        <f>C$267</f>
        <v>0.88816984199382809</v>
      </c>
      <c r="L281" s="41">
        <f>D$267</f>
        <v>7.787720458857357E-2</v>
      </c>
      <c r="M281" s="41">
        <f>E$267</f>
        <v>3.395295341759829E-2</v>
      </c>
      <c r="O281" s="41">
        <f>C$268</f>
        <v>0.631449237442961</v>
      </c>
      <c r="P281" s="41">
        <f>D$268</f>
        <v>0.29579028304608834</v>
      </c>
      <c r="Q281" s="41">
        <f>E$268</f>
        <v>7.2760479510950826E-2</v>
      </c>
      <c r="S281" s="41">
        <f>C$269</f>
        <v>0.631449237442961</v>
      </c>
      <c r="T281" s="41">
        <f>D$269</f>
        <v>0.29579028304608834</v>
      </c>
      <c r="U281" s="41">
        <f>E$269</f>
        <v>7.2760479510950826E-2</v>
      </c>
      <c r="W281" s="41">
        <f>C$270</f>
        <v>0.88816984199382809</v>
      </c>
      <c r="X281" s="41">
        <f>D$270</f>
        <v>7.787720458857357E-2</v>
      </c>
      <c r="Y281" s="41">
        <f>E$270</f>
        <v>3.395295341759829E-2</v>
      </c>
      <c r="AA281" s="41">
        <f>C$271</f>
        <v>0.631449237442961</v>
      </c>
      <c r="AB281" s="41">
        <f>D$271</f>
        <v>0.29579028304608834</v>
      </c>
      <c r="AC281" s="41">
        <f>E$271</f>
        <v>7.2760479510950826E-2</v>
      </c>
      <c r="AE281" s="41">
        <f>C$272</f>
        <v>0.631449237442961</v>
      </c>
      <c r="AF281" s="41">
        <f>D$272</f>
        <v>0.29579028304608834</v>
      </c>
      <c r="AG281" s="41">
        <f>E$272</f>
        <v>7.2760479510950826E-2</v>
      </c>
      <c r="AI281" s="41">
        <f>C$273</f>
        <v>0.631449237442961</v>
      </c>
      <c r="AJ281" s="41">
        <f>D$273</f>
        <v>0.29579028304608834</v>
      </c>
      <c r="AK281" s="41">
        <f>E$273</f>
        <v>7.2760479510950826E-2</v>
      </c>
      <c r="AL281" s="17"/>
    </row>
    <row r="283" spans="1:38" ht="21" customHeight="1" x14ac:dyDescent="0.3">
      <c r="A283" s="1" t="s">
        <v>660</v>
      </c>
    </row>
    <row r="284" spans="1:38" x14ac:dyDescent="0.25">
      <c r="A284" s="2" t="s">
        <v>381</v>
      </c>
    </row>
    <row r="285" spans="1:38" x14ac:dyDescent="0.25">
      <c r="A285" s="32" t="s">
        <v>661</v>
      </c>
    </row>
    <row r="286" spans="1:38" x14ac:dyDescent="0.25">
      <c r="A286" s="32" t="s">
        <v>662</v>
      </c>
    </row>
    <row r="287" spans="1:38" x14ac:dyDescent="0.25">
      <c r="A287" s="32" t="s">
        <v>663</v>
      </c>
    </row>
    <row r="288" spans="1:38" x14ac:dyDescent="0.25">
      <c r="A288" s="32" t="s">
        <v>586</v>
      </c>
    </row>
    <row r="289" spans="1:38" x14ac:dyDescent="0.25">
      <c r="A289" s="2" t="s">
        <v>664</v>
      </c>
    </row>
    <row r="291" spans="1:38" x14ac:dyDescent="0.25">
      <c r="B291" s="28" t="s">
        <v>150</v>
      </c>
      <c r="C291" s="15" t="s">
        <v>348</v>
      </c>
      <c r="D291" s="15" t="s">
        <v>349</v>
      </c>
      <c r="E291" s="15" t="s">
        <v>350</v>
      </c>
      <c r="F291" s="28" t="s">
        <v>151</v>
      </c>
      <c r="G291" s="15" t="s">
        <v>348</v>
      </c>
      <c r="H291" s="15" t="s">
        <v>349</v>
      </c>
      <c r="I291" s="15" t="s">
        <v>350</v>
      </c>
      <c r="J291" s="28" t="s">
        <v>152</v>
      </c>
      <c r="K291" s="15" t="s">
        <v>348</v>
      </c>
      <c r="L291" s="15" t="s">
        <v>349</v>
      </c>
      <c r="M291" s="15" t="s">
        <v>350</v>
      </c>
      <c r="N291" s="28" t="s">
        <v>153</v>
      </c>
      <c r="O291" s="15" t="s">
        <v>348</v>
      </c>
      <c r="P291" s="15" t="s">
        <v>349</v>
      </c>
      <c r="Q291" s="15" t="s">
        <v>350</v>
      </c>
      <c r="R291" s="28" t="s">
        <v>154</v>
      </c>
      <c r="S291" s="15" t="s">
        <v>348</v>
      </c>
      <c r="T291" s="15" t="s">
        <v>349</v>
      </c>
      <c r="U291" s="15" t="s">
        <v>350</v>
      </c>
      <c r="V291" s="28" t="s">
        <v>159</v>
      </c>
      <c r="W291" s="15" t="s">
        <v>348</v>
      </c>
      <c r="X291" s="15" t="s">
        <v>349</v>
      </c>
      <c r="Y291" s="15" t="s">
        <v>350</v>
      </c>
      <c r="Z291" s="28" t="s">
        <v>155</v>
      </c>
      <c r="AA291" s="15" t="s">
        <v>348</v>
      </c>
      <c r="AB291" s="15" t="s">
        <v>349</v>
      </c>
      <c r="AC291" s="15" t="s">
        <v>350</v>
      </c>
      <c r="AD291" s="28" t="s">
        <v>156</v>
      </c>
      <c r="AE291" s="15" t="s">
        <v>348</v>
      </c>
      <c r="AF291" s="15" t="s">
        <v>349</v>
      </c>
      <c r="AG291" s="15" t="s">
        <v>350</v>
      </c>
      <c r="AH291" s="28" t="s">
        <v>157</v>
      </c>
      <c r="AI291" s="15" t="s">
        <v>348</v>
      </c>
      <c r="AJ291" s="15" t="s">
        <v>349</v>
      </c>
      <c r="AK291" s="15" t="s">
        <v>350</v>
      </c>
    </row>
    <row r="292" spans="1:38" x14ac:dyDescent="0.25">
      <c r="A292" s="4" t="s">
        <v>182</v>
      </c>
      <c r="C292" s="37">
        <f>IF(C$13&gt;0,$C233*C$281*24*Input!$F$60/C$13,0)</f>
        <v>24.879066741541465</v>
      </c>
      <c r="D292" s="37">
        <f>IF(D$13&gt;0,$C233*D$281*24*Input!$F$60/D$13,0)</f>
        <v>0</v>
      </c>
      <c r="E292" s="37">
        <f>IF(E$13&gt;0,$C233*E$281*24*Input!$F$60/E$13,0)</f>
        <v>0</v>
      </c>
      <c r="G292" s="37">
        <f>IF(C$13&gt;0,$C233*G$281*24*Input!$F$60/C$13,0)</f>
        <v>22.096836776788784</v>
      </c>
      <c r="H292" s="37">
        <f>IF(D$13&gt;0,$C233*H$281*24*Input!$F$60/D$13,0)</f>
        <v>0.29376631290404859</v>
      </c>
      <c r="I292" s="37">
        <f>IF(E$13&gt;0,$C233*I$281*24*Input!$F$60/E$13,0)</f>
        <v>9.2138243991259611E-2</v>
      </c>
      <c r="K292" s="37">
        <f>IF(C$13&gt;0,$C233*K$281*24*Input!$F$60/C$13,0)</f>
        <v>22.096836776788784</v>
      </c>
      <c r="L292" s="37">
        <f>IF(D$13&gt;0,$C233*L$281*24*Input!$F$60/D$13,0)</f>
        <v>0.29376631290404859</v>
      </c>
      <c r="M292" s="37">
        <f>IF(E$13&gt;0,$C233*M$281*24*Input!$F$60/E$13,0)</f>
        <v>9.2138243991259611E-2</v>
      </c>
      <c r="O292" s="37">
        <f>IF(C$13&gt;0,$C233*O$281*24*Input!$F$60/C$13,0)</f>
        <v>15.709867722238894</v>
      </c>
      <c r="P292" s="37">
        <f>IF(D$13&gt;0,$C233*P$281*24*Input!$F$60/D$13,0)</f>
        <v>1.1157722121942157</v>
      </c>
      <c r="Q292" s="37">
        <f>IF(E$13&gt;0,$C233*Q$281*24*Input!$F$60/E$13,0)</f>
        <v>0.19745035819553311</v>
      </c>
      <c r="S292" s="37">
        <f>IF(C$13&gt;0,$C233*S$281*24*Input!$F$60/C$13,0)</f>
        <v>15.709867722238894</v>
      </c>
      <c r="T292" s="37">
        <f>IF(D$13&gt;0,$C233*T$281*24*Input!$F$60/D$13,0)</f>
        <v>1.1157722121942157</v>
      </c>
      <c r="U292" s="37">
        <f>IF(E$13&gt;0,$C233*U$281*24*Input!$F$60/E$13,0)</f>
        <v>0.19745035819553311</v>
      </c>
      <c r="W292" s="37">
        <f>IF(C$13&gt;0,$C233*W$281*24*Input!$F$60/C$13,0)</f>
        <v>22.096836776788784</v>
      </c>
      <c r="X292" s="37">
        <f>IF(D$13&gt;0,$C233*X$281*24*Input!$F$60/D$13,0)</f>
        <v>0.29376631290404859</v>
      </c>
      <c r="Y292" s="37">
        <f>IF(E$13&gt;0,$C233*Y$281*24*Input!$F$60/E$13,0)</f>
        <v>9.2138243991259611E-2</v>
      </c>
      <c r="AA292" s="37">
        <f>IF(C$13&gt;0,$C233*AA$281*24*Input!$F$60/C$13,0)</f>
        <v>15.709867722238894</v>
      </c>
      <c r="AB292" s="37">
        <f>IF(D$13&gt;0,$C233*AB$281*24*Input!$F$60/D$13,0)</f>
        <v>1.1157722121942157</v>
      </c>
      <c r="AC292" s="37">
        <f>IF(E$13&gt;0,$C233*AC$281*24*Input!$F$60/E$13,0)</f>
        <v>0.19745035819553311</v>
      </c>
      <c r="AE292" s="37">
        <f>IF(C$13&gt;0,$C233*AE$281*24*Input!$F$60/C$13,0)</f>
        <v>15.709867722238894</v>
      </c>
      <c r="AF292" s="37">
        <f>IF(D$13&gt;0,$C233*AF$281*24*Input!$F$60/D$13,0)</f>
        <v>1.1157722121942157</v>
      </c>
      <c r="AG292" s="37">
        <f>IF(E$13&gt;0,$C233*AG$281*24*Input!$F$60/E$13,0)</f>
        <v>0.19745035819553311</v>
      </c>
      <c r="AI292" s="37">
        <f>IF(C$13&gt;0,$C233*AI$281*24*Input!$F$60/C$13,0)</f>
        <v>15.709867722238894</v>
      </c>
      <c r="AJ292" s="37">
        <f>IF(D$13&gt;0,$C233*AJ$281*24*Input!$F$60/D$13,0)</f>
        <v>1.1157722121942157</v>
      </c>
      <c r="AK292" s="37">
        <f>IF(E$13&gt;0,$C233*AK$281*24*Input!$F$60/E$13,0)</f>
        <v>0.19745035819553311</v>
      </c>
      <c r="AL292" s="17"/>
    </row>
    <row r="293" spans="1:38" x14ac:dyDescent="0.25">
      <c r="A293" s="4" t="s">
        <v>183</v>
      </c>
      <c r="C293" s="37">
        <f>IF(C$13&gt;0,$C234*C$281*24*Input!$F$60/C$13,0)</f>
        <v>24.675634852222998</v>
      </c>
      <c r="D293" s="37">
        <f>IF(D$13&gt;0,$C234*D$281*24*Input!$F$60/D$13,0)</f>
        <v>0</v>
      </c>
      <c r="E293" s="37">
        <f>IF(E$13&gt;0,$C234*E$281*24*Input!$F$60/E$13,0)</f>
        <v>0</v>
      </c>
      <c r="G293" s="37">
        <f>IF(C$13&gt;0,$C234*G$281*24*Input!$F$60/C$13,0)</f>
        <v>21.916154707796295</v>
      </c>
      <c r="H293" s="37">
        <f>IF(D$13&gt;0,$C234*H$281*24*Input!$F$60/D$13,0)</f>
        <v>0.29136423582161497</v>
      </c>
      <c r="I293" s="37">
        <f>IF(E$13&gt;0,$C234*I$281*24*Input!$F$60/E$13,0)</f>
        <v>9.1384845270626305E-2</v>
      </c>
      <c r="K293" s="37">
        <f>IF(C$13&gt;0,$C234*K$281*24*Input!$F$60/C$13,0)</f>
        <v>21.916154707796295</v>
      </c>
      <c r="L293" s="37">
        <f>IF(D$13&gt;0,$C234*L$281*24*Input!$F$60/D$13,0)</f>
        <v>0.29136423582161497</v>
      </c>
      <c r="M293" s="37">
        <f>IF(E$13&gt;0,$C234*M$281*24*Input!$F$60/E$13,0)</f>
        <v>9.1384845270626305E-2</v>
      </c>
      <c r="O293" s="37">
        <f>IF(C$13&gt;0,$C234*O$281*24*Input!$F$60/C$13,0)</f>
        <v>15.581410810857161</v>
      </c>
      <c r="P293" s="37">
        <f>IF(D$13&gt;0,$C234*P$281*24*Input!$F$60/D$13,0)</f>
        <v>1.1066487329442201</v>
      </c>
      <c r="Q293" s="37">
        <f>IF(E$13&gt;0,$C234*Q$281*24*Input!$F$60/E$13,0)</f>
        <v>0.19583584026238024</v>
      </c>
      <c r="S293" s="37">
        <f>IF(C$13&gt;0,$C234*S$281*24*Input!$F$60/C$13,0)</f>
        <v>15.581410810857161</v>
      </c>
      <c r="T293" s="37">
        <f>IF(D$13&gt;0,$C234*T$281*24*Input!$F$60/D$13,0)</f>
        <v>1.1066487329442201</v>
      </c>
      <c r="U293" s="37">
        <f>IF(E$13&gt;0,$C234*U$281*24*Input!$F$60/E$13,0)</f>
        <v>0.19583584026238024</v>
      </c>
      <c r="W293" s="37">
        <f>IF(C$13&gt;0,$C234*W$281*24*Input!$F$60/C$13,0)</f>
        <v>21.916154707796295</v>
      </c>
      <c r="X293" s="37">
        <f>IF(D$13&gt;0,$C234*X$281*24*Input!$F$60/D$13,0)</f>
        <v>0.29136423582161497</v>
      </c>
      <c r="Y293" s="37">
        <f>IF(E$13&gt;0,$C234*Y$281*24*Input!$F$60/E$13,0)</f>
        <v>9.1384845270626305E-2</v>
      </c>
      <c r="AA293" s="37">
        <f>IF(C$13&gt;0,$C234*AA$281*24*Input!$F$60/C$13,0)</f>
        <v>15.581410810857161</v>
      </c>
      <c r="AB293" s="37">
        <f>IF(D$13&gt;0,$C234*AB$281*24*Input!$F$60/D$13,0)</f>
        <v>1.1066487329442201</v>
      </c>
      <c r="AC293" s="37">
        <f>IF(E$13&gt;0,$C234*AC$281*24*Input!$F$60/E$13,0)</f>
        <v>0.19583584026238024</v>
      </c>
      <c r="AE293" s="37">
        <f>IF(C$13&gt;0,$C234*AE$281*24*Input!$F$60/C$13,0)</f>
        <v>15.581410810857161</v>
      </c>
      <c r="AF293" s="37">
        <f>IF(D$13&gt;0,$C234*AF$281*24*Input!$F$60/D$13,0)</f>
        <v>1.1066487329442201</v>
      </c>
      <c r="AG293" s="37">
        <f>IF(E$13&gt;0,$C234*AG$281*24*Input!$F$60/E$13,0)</f>
        <v>0.19583584026238024</v>
      </c>
      <c r="AI293" s="37">
        <f>IF(C$13&gt;0,$C234*AI$281*24*Input!$F$60/C$13,0)</f>
        <v>15.581410810857161</v>
      </c>
      <c r="AJ293" s="37">
        <f>IF(D$13&gt;0,$C234*AJ$281*24*Input!$F$60/D$13,0)</f>
        <v>1.1066487329442201</v>
      </c>
      <c r="AK293" s="37">
        <f>IF(E$13&gt;0,$C234*AK$281*24*Input!$F$60/E$13,0)</f>
        <v>0.19583584026238024</v>
      </c>
      <c r="AL293" s="17"/>
    </row>
    <row r="294" spans="1:38" x14ac:dyDescent="0.25">
      <c r="A294" s="4" t="s">
        <v>228</v>
      </c>
      <c r="C294" s="37">
        <f>IF(C$13&gt;0,$C235*C$281*24*Input!$F$60/C$13,0)</f>
        <v>16.763358778625953</v>
      </c>
      <c r="D294" s="37">
        <f>IF(D$13&gt;0,$C235*D$281*24*Input!$F$60/D$13,0)</f>
        <v>0</v>
      </c>
      <c r="E294" s="37">
        <f>IF(E$13&gt;0,$C235*E$281*24*Input!$F$60/E$13,0)</f>
        <v>0</v>
      </c>
      <c r="G294" s="37">
        <f>IF(C$13&gt;0,$C235*G$281*24*Input!$F$60/C$13,0)</f>
        <v>14.888709717698065</v>
      </c>
      <c r="H294" s="37">
        <f>IF(D$13&gt;0,$C235*H$281*24*Input!$F$60/D$13,0)</f>
        <v>0.19793789499595785</v>
      </c>
      <c r="I294" s="37">
        <f>IF(E$13&gt;0,$C235*I$281*24*Input!$F$60/E$13,0)</f>
        <v>6.2082169612860817E-2</v>
      </c>
      <c r="K294" s="37">
        <f>IF(C$13&gt;0,$C235*K$281*24*Input!$F$60/C$13,0)</f>
        <v>14.888709717698065</v>
      </c>
      <c r="L294" s="37">
        <f>IF(D$13&gt;0,$C235*L$281*24*Input!$F$60/D$13,0)</f>
        <v>0.19793789499595785</v>
      </c>
      <c r="M294" s="37">
        <f>IF(E$13&gt;0,$C235*M$281*24*Input!$F$60/E$13,0)</f>
        <v>6.2082169612860817E-2</v>
      </c>
      <c r="O294" s="37">
        <f>IF(C$13&gt;0,$C235*O$281*24*Input!$F$60/C$13,0)</f>
        <v>10.585210117746126</v>
      </c>
      <c r="P294" s="37">
        <f>IF(D$13&gt;0,$C235*P$281*24*Input!$F$60/D$13,0)</f>
        <v>0.75180030274214127</v>
      </c>
      <c r="Q294" s="37">
        <f>IF(E$13&gt;0,$C235*Q$281*24*Input!$F$60/E$13,0)</f>
        <v>0.13304081016323729</v>
      </c>
      <c r="S294" s="37">
        <f>IF(C$13&gt;0,$C235*S$281*24*Input!$F$60/C$13,0)</f>
        <v>10.585210117746126</v>
      </c>
      <c r="T294" s="37">
        <f>IF(D$13&gt;0,$C235*T$281*24*Input!$F$60/D$13,0)</f>
        <v>0.75180030274214127</v>
      </c>
      <c r="U294" s="37">
        <f>IF(E$13&gt;0,$C235*U$281*24*Input!$F$60/E$13,0)</f>
        <v>0.13304081016323729</v>
      </c>
      <c r="W294" s="37">
        <f>IF(C$13&gt;0,$C235*W$281*24*Input!$F$60/C$13,0)</f>
        <v>14.888709717698065</v>
      </c>
      <c r="X294" s="37">
        <f>IF(D$13&gt;0,$C235*X$281*24*Input!$F$60/D$13,0)</f>
        <v>0.19793789499595785</v>
      </c>
      <c r="Y294" s="37">
        <f>IF(E$13&gt;0,$C235*Y$281*24*Input!$F$60/E$13,0)</f>
        <v>6.2082169612860817E-2</v>
      </c>
      <c r="AA294" s="37">
        <f>IF(C$13&gt;0,$C235*AA$281*24*Input!$F$60/C$13,0)</f>
        <v>10.585210117746126</v>
      </c>
      <c r="AB294" s="37">
        <f>IF(D$13&gt;0,$C235*AB$281*24*Input!$F$60/D$13,0)</f>
        <v>0.75180030274214127</v>
      </c>
      <c r="AC294" s="37">
        <f>IF(E$13&gt;0,$C235*AC$281*24*Input!$F$60/E$13,0)</f>
        <v>0.13304081016323729</v>
      </c>
      <c r="AE294" s="37">
        <f>IF(C$13&gt;0,$C235*AE$281*24*Input!$F$60/C$13,0)</f>
        <v>10.585210117746126</v>
      </c>
      <c r="AF294" s="37">
        <f>IF(D$13&gt;0,$C235*AF$281*24*Input!$F$60/D$13,0)</f>
        <v>0.75180030274214127</v>
      </c>
      <c r="AG294" s="37">
        <f>IF(E$13&gt;0,$C235*AG$281*24*Input!$F$60/E$13,0)</f>
        <v>0.13304081016323729</v>
      </c>
      <c r="AI294" s="37">
        <f>IF(C$13&gt;0,$C235*AI$281*24*Input!$F$60/C$13,0)</f>
        <v>10.585210117746126</v>
      </c>
      <c r="AJ294" s="37">
        <f>IF(D$13&gt;0,$C235*AJ$281*24*Input!$F$60/D$13,0)</f>
        <v>0.75180030274214127</v>
      </c>
      <c r="AK294" s="37">
        <f>IF(E$13&gt;0,$C235*AK$281*24*Input!$F$60/E$13,0)</f>
        <v>0.13304081016323729</v>
      </c>
      <c r="AL294" s="17"/>
    </row>
    <row r="295" spans="1:38" x14ac:dyDescent="0.25">
      <c r="A295" s="4" t="s">
        <v>184</v>
      </c>
      <c r="C295" s="37">
        <f>IF(C$13&gt;0,$C236*C$281*24*Input!$F$60/C$13,0)</f>
        <v>26.87408563702261</v>
      </c>
      <c r="D295" s="37">
        <f>IF(D$13&gt;0,$C236*D$281*24*Input!$F$60/D$13,0)</f>
        <v>0</v>
      </c>
      <c r="E295" s="37">
        <f>IF(E$13&gt;0,$C236*E$281*24*Input!$F$60/E$13,0)</f>
        <v>0</v>
      </c>
      <c r="G295" s="37">
        <f>IF(C$13&gt;0,$C236*G$281*24*Input!$F$60/C$13,0)</f>
        <v>23.868752393962975</v>
      </c>
      <c r="H295" s="37">
        <f>IF(D$13&gt;0,$C236*H$281*24*Input!$F$60/D$13,0)</f>
        <v>0.31732303837079701</v>
      </c>
      <c r="I295" s="37">
        <f>IF(E$13&gt;0,$C236*I$281*24*Input!$F$60/E$13,0)</f>
        <v>9.9526685835506445E-2</v>
      </c>
      <c r="K295" s="37">
        <f>IF(C$13&gt;0,$C236*K$281*24*Input!$F$60/C$13,0)</f>
        <v>23.868752393962975</v>
      </c>
      <c r="L295" s="37">
        <f>IF(D$13&gt;0,$C236*L$281*24*Input!$F$60/D$13,0)</f>
        <v>0.31732303837079701</v>
      </c>
      <c r="M295" s="37">
        <f>IF(E$13&gt;0,$C236*M$281*24*Input!$F$60/E$13,0)</f>
        <v>9.9526685835506445E-2</v>
      </c>
      <c r="O295" s="37">
        <f>IF(C$13&gt;0,$C236*O$281*24*Input!$F$60/C$13,0)</f>
        <v>16.969620882474761</v>
      </c>
      <c r="P295" s="37">
        <f>IF(D$13&gt;0,$C236*P$281*24*Input!$F$60/D$13,0)</f>
        <v>1.2052444849890571</v>
      </c>
      <c r="Q295" s="37">
        <f>IF(E$13&gt;0,$C236*Q$281*24*Input!$F$60/E$13,0)</f>
        <v>0.21328363681534052</v>
      </c>
      <c r="S295" s="37">
        <f>IF(C$13&gt;0,$C236*S$281*24*Input!$F$60/C$13,0)</f>
        <v>16.969620882474761</v>
      </c>
      <c r="T295" s="37">
        <f>IF(D$13&gt;0,$C236*T$281*24*Input!$F$60/D$13,0)</f>
        <v>1.2052444849890571</v>
      </c>
      <c r="U295" s="37">
        <f>IF(E$13&gt;0,$C236*U$281*24*Input!$F$60/E$13,0)</f>
        <v>0.21328363681534052</v>
      </c>
      <c r="W295" s="37">
        <f>IF(C$13&gt;0,$C236*W$281*24*Input!$F$60/C$13,0)</f>
        <v>23.868752393962975</v>
      </c>
      <c r="X295" s="37">
        <f>IF(D$13&gt;0,$C236*X$281*24*Input!$F$60/D$13,0)</f>
        <v>0.31732303837079701</v>
      </c>
      <c r="Y295" s="37">
        <f>IF(E$13&gt;0,$C236*Y$281*24*Input!$F$60/E$13,0)</f>
        <v>9.9526685835506445E-2</v>
      </c>
      <c r="AA295" s="37">
        <f>IF(C$13&gt;0,$C236*AA$281*24*Input!$F$60/C$13,0)</f>
        <v>16.969620882474761</v>
      </c>
      <c r="AB295" s="37">
        <f>IF(D$13&gt;0,$C236*AB$281*24*Input!$F$60/D$13,0)</f>
        <v>1.2052444849890571</v>
      </c>
      <c r="AC295" s="37">
        <f>IF(E$13&gt;0,$C236*AC$281*24*Input!$F$60/E$13,0)</f>
        <v>0.21328363681534052</v>
      </c>
      <c r="AE295" s="37">
        <f>IF(C$13&gt;0,$C236*AE$281*24*Input!$F$60/C$13,0)</f>
        <v>16.969620882474761</v>
      </c>
      <c r="AF295" s="37">
        <f>IF(D$13&gt;0,$C236*AF$281*24*Input!$F$60/D$13,0)</f>
        <v>1.2052444849890571</v>
      </c>
      <c r="AG295" s="37">
        <f>IF(E$13&gt;0,$C236*AG$281*24*Input!$F$60/E$13,0)</f>
        <v>0.21328363681534052</v>
      </c>
      <c r="AI295" s="37">
        <f>IF(C$13&gt;0,$C236*AI$281*24*Input!$F$60/C$13,0)</f>
        <v>16.969620882474761</v>
      </c>
      <c r="AJ295" s="37">
        <f>IF(D$13&gt;0,$C236*AJ$281*24*Input!$F$60/D$13,0)</f>
        <v>1.2052444849890571</v>
      </c>
      <c r="AK295" s="37">
        <f>IF(E$13&gt;0,$C236*AK$281*24*Input!$F$60/E$13,0)</f>
        <v>0.21328363681534052</v>
      </c>
      <c r="AL295" s="17"/>
    </row>
    <row r="296" spans="1:38" x14ac:dyDescent="0.25">
      <c r="A296" s="4" t="s">
        <v>185</v>
      </c>
      <c r="C296" s="37">
        <f>IF(C$13&gt;0,$C237*C$281*24*Input!$F$60/C$13,0)</f>
        <v>24.600854080367448</v>
      </c>
      <c r="D296" s="37">
        <f>IF(D$13&gt;0,$C237*D$281*24*Input!$F$60/D$13,0)</f>
        <v>0</v>
      </c>
      <c r="E296" s="37">
        <f>IF(E$13&gt;0,$C237*E$281*24*Input!$F$60/E$13,0)</f>
        <v>0</v>
      </c>
      <c r="G296" s="37">
        <f>IF(C$13&gt;0,$C237*G$281*24*Input!$F$60/C$13,0)</f>
        <v>21.849736681473178</v>
      </c>
      <c r="H296" s="37">
        <f>IF(D$13&gt;0,$C237*H$281*24*Input!$F$60/D$13,0)</f>
        <v>0.29048124162201983</v>
      </c>
      <c r="I296" s="37">
        <f>IF(E$13&gt;0,$C237*I$281*24*Input!$F$60/E$13,0)</f>
        <v>9.1107898829079242E-2</v>
      </c>
      <c r="K296" s="37">
        <f>IF(C$13&gt;0,$C237*K$281*24*Input!$F$60/C$13,0)</f>
        <v>21.849736681473178</v>
      </c>
      <c r="L296" s="37">
        <f>IF(D$13&gt;0,$C237*L$281*24*Input!$F$60/D$13,0)</f>
        <v>0.29048124162201983</v>
      </c>
      <c r="M296" s="37">
        <f>IF(E$13&gt;0,$C237*M$281*24*Input!$F$60/E$13,0)</f>
        <v>9.1107898829079242E-2</v>
      </c>
      <c r="O296" s="37">
        <f>IF(C$13&gt;0,$C237*O$281*24*Input!$F$60/C$13,0)</f>
        <v>15.53419054949358</v>
      </c>
      <c r="P296" s="37">
        <f>IF(D$13&gt;0,$C237*P$281*24*Input!$F$60/D$13,0)</f>
        <v>1.1032949774312153</v>
      </c>
      <c r="Q296" s="37">
        <f>IF(E$13&gt;0,$C237*Q$281*24*Input!$F$60/E$13,0)</f>
        <v>0.19524234974513502</v>
      </c>
      <c r="S296" s="37">
        <f>IF(C$13&gt;0,$C237*S$281*24*Input!$F$60/C$13,0)</f>
        <v>15.53419054949358</v>
      </c>
      <c r="T296" s="37">
        <f>IF(D$13&gt;0,$C237*T$281*24*Input!$F$60/D$13,0)</f>
        <v>1.1032949774312153</v>
      </c>
      <c r="U296" s="37">
        <f>IF(E$13&gt;0,$C237*U$281*24*Input!$F$60/E$13,0)</f>
        <v>0.19524234974513502</v>
      </c>
      <c r="W296" s="37">
        <f>IF(C$13&gt;0,$C237*W$281*24*Input!$F$60/C$13,0)</f>
        <v>21.849736681473178</v>
      </c>
      <c r="X296" s="37">
        <f>IF(D$13&gt;0,$C237*X$281*24*Input!$F$60/D$13,0)</f>
        <v>0.29048124162201983</v>
      </c>
      <c r="Y296" s="37">
        <f>IF(E$13&gt;0,$C237*Y$281*24*Input!$F$60/E$13,0)</f>
        <v>9.1107898829079242E-2</v>
      </c>
      <c r="AA296" s="37">
        <f>IF(C$13&gt;0,$C237*AA$281*24*Input!$F$60/C$13,0)</f>
        <v>15.53419054949358</v>
      </c>
      <c r="AB296" s="37">
        <f>IF(D$13&gt;0,$C237*AB$281*24*Input!$F$60/D$13,0)</f>
        <v>1.1032949774312153</v>
      </c>
      <c r="AC296" s="37">
        <f>IF(E$13&gt;0,$C237*AC$281*24*Input!$F$60/E$13,0)</f>
        <v>0.19524234974513502</v>
      </c>
      <c r="AE296" s="37">
        <f>IF(C$13&gt;0,$C237*AE$281*24*Input!$F$60/C$13,0)</f>
        <v>15.53419054949358</v>
      </c>
      <c r="AF296" s="37">
        <f>IF(D$13&gt;0,$C237*AF$281*24*Input!$F$60/D$13,0)</f>
        <v>1.1032949774312153</v>
      </c>
      <c r="AG296" s="37">
        <f>IF(E$13&gt;0,$C237*AG$281*24*Input!$F$60/E$13,0)</f>
        <v>0.19524234974513502</v>
      </c>
      <c r="AI296" s="37">
        <f>IF(C$13&gt;0,$C237*AI$281*24*Input!$F$60/C$13,0)</f>
        <v>15.53419054949358</v>
      </c>
      <c r="AJ296" s="37">
        <f>IF(D$13&gt;0,$C237*AJ$281*24*Input!$F$60/D$13,0)</f>
        <v>1.1032949774312153</v>
      </c>
      <c r="AK296" s="37">
        <f>IF(E$13&gt;0,$C237*AK$281*24*Input!$F$60/E$13,0)</f>
        <v>0.19524234974513502</v>
      </c>
      <c r="AL296" s="17"/>
    </row>
    <row r="297" spans="1:38" x14ac:dyDescent="0.25">
      <c r="A297" s="4" t="s">
        <v>229</v>
      </c>
      <c r="C297" s="37">
        <f>IF(C$13&gt;0,$C238*C$281*24*Input!$F$60/C$13,0)</f>
        <v>16.763358778625953</v>
      </c>
      <c r="D297" s="37">
        <f>IF(D$13&gt;0,$C238*D$281*24*Input!$F$60/D$13,0)</f>
        <v>0</v>
      </c>
      <c r="E297" s="37">
        <f>IF(E$13&gt;0,$C238*E$281*24*Input!$F$60/E$13,0)</f>
        <v>0</v>
      </c>
      <c r="G297" s="37">
        <f>IF(C$13&gt;0,$C238*G$281*24*Input!$F$60/C$13,0)</f>
        <v>14.888709717698065</v>
      </c>
      <c r="H297" s="37">
        <f>IF(D$13&gt;0,$C238*H$281*24*Input!$F$60/D$13,0)</f>
        <v>0.19793789499595785</v>
      </c>
      <c r="I297" s="37">
        <f>IF(E$13&gt;0,$C238*I$281*24*Input!$F$60/E$13,0)</f>
        <v>6.2082169612860817E-2</v>
      </c>
      <c r="K297" s="37">
        <f>IF(C$13&gt;0,$C238*K$281*24*Input!$F$60/C$13,0)</f>
        <v>14.888709717698065</v>
      </c>
      <c r="L297" s="37">
        <f>IF(D$13&gt;0,$C238*L$281*24*Input!$F$60/D$13,0)</f>
        <v>0.19793789499595785</v>
      </c>
      <c r="M297" s="37">
        <f>IF(E$13&gt;0,$C238*M$281*24*Input!$F$60/E$13,0)</f>
        <v>6.2082169612860817E-2</v>
      </c>
      <c r="O297" s="37">
        <f>IF(C$13&gt;0,$C238*O$281*24*Input!$F$60/C$13,0)</f>
        <v>10.585210117746126</v>
      </c>
      <c r="P297" s="37">
        <f>IF(D$13&gt;0,$C238*P$281*24*Input!$F$60/D$13,0)</f>
        <v>0.75180030274214127</v>
      </c>
      <c r="Q297" s="37">
        <f>IF(E$13&gt;0,$C238*Q$281*24*Input!$F$60/E$13,0)</f>
        <v>0.13304081016323729</v>
      </c>
      <c r="S297" s="37">
        <f>IF(C$13&gt;0,$C238*S$281*24*Input!$F$60/C$13,0)</f>
        <v>10.585210117746126</v>
      </c>
      <c r="T297" s="37">
        <f>IF(D$13&gt;0,$C238*T$281*24*Input!$F$60/D$13,0)</f>
        <v>0.75180030274214127</v>
      </c>
      <c r="U297" s="37">
        <f>IF(E$13&gt;0,$C238*U$281*24*Input!$F$60/E$13,0)</f>
        <v>0.13304081016323729</v>
      </c>
      <c r="W297" s="37">
        <f>IF(C$13&gt;0,$C238*W$281*24*Input!$F$60/C$13,0)</f>
        <v>14.888709717698065</v>
      </c>
      <c r="X297" s="37">
        <f>IF(D$13&gt;0,$C238*X$281*24*Input!$F$60/D$13,0)</f>
        <v>0.19793789499595785</v>
      </c>
      <c r="Y297" s="37">
        <f>IF(E$13&gt;0,$C238*Y$281*24*Input!$F$60/E$13,0)</f>
        <v>6.2082169612860817E-2</v>
      </c>
      <c r="AA297" s="37">
        <f>IF(C$13&gt;0,$C238*AA$281*24*Input!$F$60/C$13,0)</f>
        <v>10.585210117746126</v>
      </c>
      <c r="AB297" s="37">
        <f>IF(D$13&gt;0,$C238*AB$281*24*Input!$F$60/D$13,0)</f>
        <v>0.75180030274214127</v>
      </c>
      <c r="AC297" s="37">
        <f>IF(E$13&gt;0,$C238*AC$281*24*Input!$F$60/E$13,0)</f>
        <v>0.13304081016323729</v>
      </c>
      <c r="AE297" s="37">
        <f>IF(C$13&gt;0,$C238*AE$281*24*Input!$F$60/C$13,0)</f>
        <v>10.585210117746126</v>
      </c>
      <c r="AF297" s="37">
        <f>IF(D$13&gt;0,$C238*AF$281*24*Input!$F$60/D$13,0)</f>
        <v>0.75180030274214127</v>
      </c>
      <c r="AG297" s="37">
        <f>IF(E$13&gt;0,$C238*AG$281*24*Input!$F$60/E$13,0)</f>
        <v>0.13304081016323729</v>
      </c>
      <c r="AI297" s="37">
        <f>IF(C$13&gt;0,$C238*AI$281*24*Input!$F$60/C$13,0)</f>
        <v>10.585210117746126</v>
      </c>
      <c r="AJ297" s="37">
        <f>IF(D$13&gt;0,$C238*AJ$281*24*Input!$F$60/D$13,0)</f>
        <v>0.75180030274214127</v>
      </c>
      <c r="AK297" s="37">
        <f>IF(E$13&gt;0,$C238*AK$281*24*Input!$F$60/E$13,0)</f>
        <v>0.13304081016323729</v>
      </c>
      <c r="AL297" s="17"/>
    </row>
    <row r="298" spans="1:38" x14ac:dyDescent="0.25">
      <c r="A298" s="4" t="s">
        <v>186</v>
      </c>
      <c r="C298" s="37">
        <f>IF(C$13&gt;0,$C239*C$281*24*Input!$F$60/C$13,0)</f>
        <v>21.81285643011471</v>
      </c>
      <c r="D298" s="37">
        <f>IF(D$13&gt;0,$C239*D$281*24*Input!$F$60/D$13,0)</f>
        <v>0</v>
      </c>
      <c r="E298" s="37">
        <f>IF(E$13&gt;0,$C239*E$281*24*Input!$F$60/E$13,0)</f>
        <v>0</v>
      </c>
      <c r="G298" s="37">
        <f>IF(C$13&gt;0,$C239*G$281*24*Input!$F$60/C$13,0)</f>
        <v>19.373521248969038</v>
      </c>
      <c r="H298" s="37">
        <f>IF(D$13&gt;0,$C239*H$281*24*Input!$F$60/D$13,0)</f>
        <v>0.25756120492577383</v>
      </c>
      <c r="I298" s="37">
        <f>IF(E$13&gt;0,$C239*I$281*24*Input!$F$60/E$13,0)</f>
        <v>8.0782704141727044E-2</v>
      </c>
      <c r="K298" s="37">
        <f>IF(C$13&gt;0,$C239*K$281*24*Input!$F$60/C$13,0)</f>
        <v>19.373521248969038</v>
      </c>
      <c r="L298" s="37">
        <f>IF(D$13&gt;0,$C239*L$281*24*Input!$F$60/D$13,0)</f>
        <v>0.25756120492577383</v>
      </c>
      <c r="M298" s="37">
        <f>IF(E$13&gt;0,$C239*M$281*24*Input!$F$60/E$13,0)</f>
        <v>8.0782704141727044E-2</v>
      </c>
      <c r="O298" s="37">
        <f>IF(C$13&gt;0,$C239*O$281*24*Input!$F$60/C$13,0)</f>
        <v>13.773711559248721</v>
      </c>
      <c r="P298" s="37">
        <f>IF(D$13&gt;0,$C239*P$281*24*Input!$F$60/D$13,0)</f>
        <v>0.9782593264507623</v>
      </c>
      <c r="Q298" s="37">
        <f>IF(E$13&gt;0,$C239*Q$281*24*Input!$F$60/E$13,0)</f>
        <v>0.17311567029973873</v>
      </c>
      <c r="S298" s="37">
        <f>IF(C$13&gt;0,$C239*S$281*24*Input!$F$60/C$13,0)</f>
        <v>13.773711559248721</v>
      </c>
      <c r="T298" s="37">
        <f>IF(D$13&gt;0,$C239*T$281*24*Input!$F$60/D$13,0)</f>
        <v>0.9782593264507623</v>
      </c>
      <c r="U298" s="37">
        <f>IF(E$13&gt;0,$C239*U$281*24*Input!$F$60/E$13,0)</f>
        <v>0.17311567029973873</v>
      </c>
      <c r="W298" s="37">
        <f>IF(C$13&gt;0,$C239*W$281*24*Input!$F$60/C$13,0)</f>
        <v>19.373521248969038</v>
      </c>
      <c r="X298" s="37">
        <f>IF(D$13&gt;0,$C239*X$281*24*Input!$F$60/D$13,0)</f>
        <v>0.25756120492577383</v>
      </c>
      <c r="Y298" s="37">
        <f>IF(E$13&gt;0,$C239*Y$281*24*Input!$F$60/E$13,0)</f>
        <v>8.0782704141727044E-2</v>
      </c>
      <c r="AA298" s="37">
        <f>IF(C$13&gt;0,$C239*AA$281*24*Input!$F$60/C$13,0)</f>
        <v>13.773711559248721</v>
      </c>
      <c r="AB298" s="37">
        <f>IF(D$13&gt;0,$C239*AB$281*24*Input!$F$60/D$13,0)</f>
        <v>0.9782593264507623</v>
      </c>
      <c r="AC298" s="37">
        <f>IF(E$13&gt;0,$C239*AC$281*24*Input!$F$60/E$13,0)</f>
        <v>0.17311567029973873</v>
      </c>
      <c r="AE298" s="37">
        <f>IF(C$13&gt;0,$C239*AE$281*24*Input!$F$60/C$13,0)</f>
        <v>13.773711559248721</v>
      </c>
      <c r="AF298" s="37">
        <f>IF(D$13&gt;0,$C239*AF$281*24*Input!$F$60/D$13,0)</f>
        <v>0.9782593264507623</v>
      </c>
      <c r="AG298" s="37">
        <f>IF(E$13&gt;0,$C239*AG$281*24*Input!$F$60/E$13,0)</f>
        <v>0.17311567029973873</v>
      </c>
      <c r="AI298" s="37">
        <f>IF(C$13&gt;0,$C239*AI$281*24*Input!$F$60/C$13,0)</f>
        <v>13.773711559248721</v>
      </c>
      <c r="AJ298" s="37">
        <f>IF(D$13&gt;0,$C239*AJ$281*24*Input!$F$60/D$13,0)</f>
        <v>0.9782593264507623</v>
      </c>
      <c r="AK298" s="37">
        <f>IF(E$13&gt;0,$C239*AK$281*24*Input!$F$60/E$13,0)</f>
        <v>0.17311567029973873</v>
      </c>
      <c r="AL298" s="17"/>
    </row>
    <row r="299" spans="1:38" x14ac:dyDescent="0.25">
      <c r="A299" s="4" t="s">
        <v>187</v>
      </c>
      <c r="C299" s="37">
        <f>IF(C$13&gt;0,$C240*C$281*24*Input!$F$60/C$13,0)</f>
        <v>21.390417875119432</v>
      </c>
      <c r="D299" s="37">
        <f>IF(D$13&gt;0,$C240*D$281*24*Input!$F$60/D$13,0)</f>
        <v>0</v>
      </c>
      <c r="E299" s="37">
        <f>IF(E$13&gt;0,$C240*E$281*24*Input!$F$60/E$13,0)</f>
        <v>0</v>
      </c>
      <c r="G299" s="37">
        <f>IF(C$13&gt;0,$C240*G$281*24*Input!$F$60/C$13,0)</f>
        <v>18.998324064326777</v>
      </c>
      <c r="H299" s="37">
        <f>IF(D$13&gt;0,$C240*H$281*24*Input!$F$60/D$13,0)</f>
        <v>0.2525731473744724</v>
      </c>
      <c r="I299" s="37">
        <f>IF(E$13&gt;0,$C240*I$281*24*Input!$F$60/E$13,0)</f>
        <v>7.9218226379927426E-2</v>
      </c>
      <c r="K299" s="37">
        <f>IF(C$13&gt;0,$C240*K$281*24*Input!$F$60/C$13,0)</f>
        <v>18.998324064326777</v>
      </c>
      <c r="L299" s="37">
        <f>IF(D$13&gt;0,$C240*L$281*24*Input!$F$60/D$13,0)</f>
        <v>0.2525731473744724</v>
      </c>
      <c r="M299" s="37">
        <f>IF(E$13&gt;0,$C240*M$281*24*Input!$F$60/E$13,0)</f>
        <v>7.9218226379927426E-2</v>
      </c>
      <c r="O299" s="37">
        <f>IF(C$13&gt;0,$C240*O$281*24*Input!$F$60/C$13,0)</f>
        <v>13.506963055830445</v>
      </c>
      <c r="P299" s="37">
        <f>IF(D$13&gt;0,$C240*P$281*24*Input!$F$60/D$13,0)</f>
        <v>0.95931387299304927</v>
      </c>
      <c r="Q299" s="37">
        <f>IF(E$13&gt;0,$C240*Q$281*24*Input!$F$60/E$13,0)</f>
        <v>0.16976302669513968</v>
      </c>
      <c r="S299" s="37">
        <f>IF(C$13&gt;0,$C240*S$281*24*Input!$F$60/C$13,0)</f>
        <v>13.506963055830445</v>
      </c>
      <c r="T299" s="37">
        <f>IF(D$13&gt;0,$C240*T$281*24*Input!$F$60/D$13,0)</f>
        <v>0.95931387299304927</v>
      </c>
      <c r="U299" s="37">
        <f>IF(E$13&gt;0,$C240*U$281*24*Input!$F$60/E$13,0)</f>
        <v>0.16976302669513968</v>
      </c>
      <c r="W299" s="37">
        <f>IF(C$13&gt;0,$C240*W$281*24*Input!$F$60/C$13,0)</f>
        <v>18.998324064326777</v>
      </c>
      <c r="X299" s="37">
        <f>IF(D$13&gt;0,$C240*X$281*24*Input!$F$60/D$13,0)</f>
        <v>0.2525731473744724</v>
      </c>
      <c r="Y299" s="37">
        <f>IF(E$13&gt;0,$C240*Y$281*24*Input!$F$60/E$13,0)</f>
        <v>7.9218226379927426E-2</v>
      </c>
      <c r="AA299" s="37">
        <f>IF(C$13&gt;0,$C240*AA$281*24*Input!$F$60/C$13,0)</f>
        <v>13.506963055830445</v>
      </c>
      <c r="AB299" s="37">
        <f>IF(D$13&gt;0,$C240*AB$281*24*Input!$F$60/D$13,0)</f>
        <v>0.95931387299304927</v>
      </c>
      <c r="AC299" s="37">
        <f>IF(E$13&gt;0,$C240*AC$281*24*Input!$F$60/E$13,0)</f>
        <v>0.16976302669513968</v>
      </c>
      <c r="AE299" s="37">
        <f>IF(C$13&gt;0,$C240*AE$281*24*Input!$F$60/C$13,0)</f>
        <v>13.506963055830445</v>
      </c>
      <c r="AF299" s="37">
        <f>IF(D$13&gt;0,$C240*AF$281*24*Input!$F$60/D$13,0)</f>
        <v>0.95931387299304927</v>
      </c>
      <c r="AG299" s="37">
        <f>IF(E$13&gt;0,$C240*AG$281*24*Input!$F$60/E$13,0)</f>
        <v>0.16976302669513968</v>
      </c>
      <c r="AI299" s="37">
        <f>IF(C$13&gt;0,$C240*AI$281*24*Input!$F$60/C$13,0)</f>
        <v>13.506963055830445</v>
      </c>
      <c r="AJ299" s="37">
        <f>IF(D$13&gt;0,$C240*AJ$281*24*Input!$F$60/D$13,0)</f>
        <v>0.95931387299304927</v>
      </c>
      <c r="AK299" s="37">
        <f>IF(E$13&gt;0,$C240*AK$281*24*Input!$F$60/E$13,0)</f>
        <v>0.16976302669513968</v>
      </c>
      <c r="AL299" s="17"/>
    </row>
    <row r="300" spans="1:38" x14ac:dyDescent="0.25">
      <c r="A300" s="4" t="s">
        <v>207</v>
      </c>
      <c r="C300" s="37">
        <f>IF(C$13&gt;0,$C241*C$281*24*Input!$F$60/C$13,0)</f>
        <v>25.252542811333708</v>
      </c>
      <c r="D300" s="37">
        <f>IF(D$13&gt;0,$C241*D$281*24*Input!$F$60/D$13,0)</f>
        <v>0</v>
      </c>
      <c r="E300" s="37">
        <f>IF(E$13&gt;0,$C241*E$281*24*Input!$F$60/E$13,0)</f>
        <v>0</v>
      </c>
      <c r="G300" s="37">
        <f>IF(C$13&gt;0,$C241*G$281*24*Input!$F$60/C$13,0)</f>
        <v>22.428546958684638</v>
      </c>
      <c r="H300" s="37">
        <f>IF(D$13&gt;0,$C241*H$281*24*Input!$F$60/D$13,0)</f>
        <v>0.2981762326619134</v>
      </c>
      <c r="I300" s="37">
        <f>IF(E$13&gt;0,$C241*I$281*24*Input!$F$60/E$13,0)</f>
        <v>9.3521391904358625E-2</v>
      </c>
      <c r="K300" s="37">
        <f>IF(C$13&gt;0,$C241*K$281*24*Input!$F$60/C$13,0)</f>
        <v>22.428546958684638</v>
      </c>
      <c r="L300" s="37">
        <f>IF(D$13&gt;0,$C241*L$281*24*Input!$F$60/D$13,0)</f>
        <v>0.2981762326619134</v>
      </c>
      <c r="M300" s="37">
        <f>IF(E$13&gt;0,$C241*M$281*24*Input!$F$60/E$13,0)</f>
        <v>9.3521391904358625E-2</v>
      </c>
      <c r="O300" s="37">
        <f>IF(C$13&gt;0,$C241*O$281*24*Input!$F$60/C$13,0)</f>
        <v>15.945698901712396</v>
      </c>
      <c r="P300" s="37">
        <f>IF(D$13&gt;0,$C241*P$281*24*Input!$F$60/D$13,0)</f>
        <v>1.1325218043281478</v>
      </c>
      <c r="Q300" s="37">
        <f>IF(E$13&gt;0,$C241*Q$281*24*Input!$F$60/E$13,0)</f>
        <v>0.20041441567100132</v>
      </c>
      <c r="S300" s="37">
        <f>IF(C$13&gt;0,$C241*S$281*24*Input!$F$60/C$13,0)</f>
        <v>15.945698901712396</v>
      </c>
      <c r="T300" s="37">
        <f>IF(D$13&gt;0,$C241*T$281*24*Input!$F$60/D$13,0)</f>
        <v>1.1325218043281478</v>
      </c>
      <c r="U300" s="37">
        <f>IF(E$13&gt;0,$C241*U$281*24*Input!$F$60/E$13,0)</f>
        <v>0.20041441567100132</v>
      </c>
      <c r="W300" s="37">
        <f>IF(C$13&gt;0,$C241*W$281*24*Input!$F$60/C$13,0)</f>
        <v>22.428546958684638</v>
      </c>
      <c r="X300" s="37">
        <f>IF(D$13&gt;0,$C241*X$281*24*Input!$F$60/D$13,0)</f>
        <v>0.2981762326619134</v>
      </c>
      <c r="Y300" s="37">
        <f>IF(E$13&gt;0,$C241*Y$281*24*Input!$F$60/E$13,0)</f>
        <v>9.3521391904358625E-2</v>
      </c>
      <c r="AA300" s="37">
        <f>IF(C$13&gt;0,$C241*AA$281*24*Input!$F$60/C$13,0)</f>
        <v>15.945698901712396</v>
      </c>
      <c r="AB300" s="37">
        <f>IF(D$13&gt;0,$C241*AB$281*24*Input!$F$60/D$13,0)</f>
        <v>1.1325218043281478</v>
      </c>
      <c r="AC300" s="37">
        <f>IF(E$13&gt;0,$C241*AC$281*24*Input!$F$60/E$13,0)</f>
        <v>0.20041441567100132</v>
      </c>
      <c r="AE300" s="37">
        <f>IF(C$13&gt;0,$C241*AE$281*24*Input!$F$60/C$13,0)</f>
        <v>15.945698901712396</v>
      </c>
      <c r="AF300" s="37">
        <f>IF(D$13&gt;0,$C241*AF$281*24*Input!$F$60/D$13,0)</f>
        <v>1.1325218043281478</v>
      </c>
      <c r="AG300" s="37">
        <f>IF(E$13&gt;0,$C241*AG$281*24*Input!$F$60/E$13,0)</f>
        <v>0.20041441567100132</v>
      </c>
      <c r="AI300" s="37">
        <f>IF(C$13&gt;0,$C241*AI$281*24*Input!$F$60/C$13,0)</f>
        <v>15.945698901712396</v>
      </c>
      <c r="AJ300" s="37">
        <f>IF(D$13&gt;0,$C241*AJ$281*24*Input!$F$60/D$13,0)</f>
        <v>1.1325218043281478</v>
      </c>
      <c r="AK300" s="37">
        <f>IF(E$13&gt;0,$C241*AK$281*24*Input!$F$60/E$13,0)</f>
        <v>0.20041441567100132</v>
      </c>
      <c r="AL300" s="17"/>
    </row>
    <row r="301" spans="1:38" x14ac:dyDescent="0.25">
      <c r="A301" s="4" t="s">
        <v>188</v>
      </c>
      <c r="C301" s="37">
        <f>IF(C$13&gt;0,$C242*C$281*24*Input!$F$60/C$13,0)</f>
        <v>35.529153112687062</v>
      </c>
      <c r="D301" s="37">
        <f>IF(D$13&gt;0,$C242*D$281*24*Input!$F$60/D$13,0)</f>
        <v>0</v>
      </c>
      <c r="E301" s="37">
        <f>IF(E$13&gt;0,$C242*E$281*24*Input!$F$60/E$13,0)</f>
        <v>0</v>
      </c>
      <c r="G301" s="37">
        <f>IF(C$13&gt;0,$C242*G$281*24*Input!$F$60/C$13,0)</f>
        <v>31.555922306269792</v>
      </c>
      <c r="H301" s="37">
        <f>IF(D$13&gt;0,$C242*H$281*24*Input!$F$60/D$13,0)</f>
        <v>0.4195200896780425</v>
      </c>
      <c r="I301" s="37">
        <f>IF(E$13&gt;0,$C242*I$281*24*Input!$F$60/E$13,0)</f>
        <v>0.13158024825881212</v>
      </c>
      <c r="K301" s="37">
        <f>IF(C$13&gt;0,$C242*K$281*24*Input!$F$60/C$13,0)</f>
        <v>31.555922306269792</v>
      </c>
      <c r="L301" s="37">
        <f>IF(D$13&gt;0,$C242*L$281*24*Input!$F$60/D$13,0)</f>
        <v>0.4195200896780425</v>
      </c>
      <c r="M301" s="37">
        <f>IF(E$13&gt;0,$C242*M$281*24*Input!$F$60/E$13,0)</f>
        <v>0.13158024825881212</v>
      </c>
      <c r="O301" s="37">
        <f>IF(C$13&gt;0,$C242*O$281*24*Input!$F$60/C$13,0)</f>
        <v>22.434856640000447</v>
      </c>
      <c r="P301" s="37">
        <f>IF(D$13&gt;0,$C242*P$281*24*Input!$F$60/D$13,0)</f>
        <v>1.5934054994007256</v>
      </c>
      <c r="Q301" s="37">
        <f>IF(E$13&gt;0,$C242*Q$281*24*Input!$F$60/E$13,0)</f>
        <v>0.28197376056596202</v>
      </c>
      <c r="S301" s="37">
        <f>IF(C$13&gt;0,$C242*S$281*24*Input!$F$60/C$13,0)</f>
        <v>22.434856640000447</v>
      </c>
      <c r="T301" s="37">
        <f>IF(D$13&gt;0,$C242*T$281*24*Input!$F$60/D$13,0)</f>
        <v>1.5934054994007256</v>
      </c>
      <c r="U301" s="37">
        <f>IF(E$13&gt;0,$C242*U$281*24*Input!$F$60/E$13,0)</f>
        <v>0.28197376056596202</v>
      </c>
      <c r="W301" s="37">
        <f>IF(C$13&gt;0,$C242*W$281*24*Input!$F$60/C$13,0)</f>
        <v>31.555922306269792</v>
      </c>
      <c r="X301" s="37">
        <f>IF(D$13&gt;0,$C242*X$281*24*Input!$F$60/D$13,0)</f>
        <v>0.4195200896780425</v>
      </c>
      <c r="Y301" s="37">
        <f>IF(E$13&gt;0,$C242*Y$281*24*Input!$F$60/E$13,0)</f>
        <v>0.13158024825881212</v>
      </c>
      <c r="AA301" s="37">
        <f>IF(C$13&gt;0,$C242*AA$281*24*Input!$F$60/C$13,0)</f>
        <v>22.434856640000447</v>
      </c>
      <c r="AB301" s="37">
        <f>IF(D$13&gt;0,$C242*AB$281*24*Input!$F$60/D$13,0)</f>
        <v>1.5934054994007256</v>
      </c>
      <c r="AC301" s="37">
        <f>IF(E$13&gt;0,$C242*AC$281*24*Input!$F$60/E$13,0)</f>
        <v>0.28197376056596202</v>
      </c>
      <c r="AE301" s="37">
        <f>IF(C$13&gt;0,$C242*AE$281*24*Input!$F$60/C$13,0)</f>
        <v>22.434856640000447</v>
      </c>
      <c r="AF301" s="37">
        <f>IF(D$13&gt;0,$C242*AF$281*24*Input!$F$60/D$13,0)</f>
        <v>1.5934054994007256</v>
      </c>
      <c r="AG301" s="37">
        <f>IF(E$13&gt;0,$C242*AG$281*24*Input!$F$60/E$13,0)</f>
        <v>0.28197376056596202</v>
      </c>
      <c r="AI301" s="37">
        <f>IF(C$13&gt;0,$C242*AI$281*24*Input!$F$60/C$13,0)</f>
        <v>22.434856640000447</v>
      </c>
      <c r="AJ301" s="37">
        <f>IF(D$13&gt;0,$C242*AJ$281*24*Input!$F$60/D$13,0)</f>
        <v>1.5934054994007256</v>
      </c>
      <c r="AK301" s="37">
        <f>IF(E$13&gt;0,$C242*AK$281*24*Input!$F$60/E$13,0)</f>
        <v>0.28197376056596202</v>
      </c>
      <c r="AL301" s="17"/>
    </row>
    <row r="302" spans="1:38" x14ac:dyDescent="0.25">
      <c r="A302" s="4" t="s">
        <v>189</v>
      </c>
      <c r="C302" s="37">
        <f>IF(C$13&gt;0,$C243*C$281*24*Input!$F$60/C$13,0)</f>
        <v>24.272299592367567</v>
      </c>
      <c r="D302" s="37">
        <f>IF(D$13&gt;0,$C243*D$281*24*Input!$F$60/D$13,0)</f>
        <v>0</v>
      </c>
      <c r="E302" s="37">
        <f>IF(E$13&gt;0,$C243*E$281*24*Input!$F$60/E$13,0)</f>
        <v>0</v>
      </c>
      <c r="G302" s="37">
        <f>IF(C$13&gt;0,$C243*G$281*24*Input!$F$60/C$13,0)</f>
        <v>21.557924493779957</v>
      </c>
      <c r="H302" s="37">
        <f>IF(D$13&gt;0,$C243*H$281*24*Input!$F$60/D$13,0)</f>
        <v>0.28660174559708884</v>
      </c>
      <c r="I302" s="37">
        <f>IF(E$13&gt;0,$C243*I$281*24*Input!$F$60/E$13,0)</f>
        <v>8.9891115502990532E-2</v>
      </c>
      <c r="K302" s="37">
        <f>IF(C$13&gt;0,$C243*K$281*24*Input!$F$60/C$13,0)</f>
        <v>21.557924493779957</v>
      </c>
      <c r="L302" s="37">
        <f>IF(D$13&gt;0,$C243*L$281*24*Input!$F$60/D$13,0)</f>
        <v>0.28660174559708884</v>
      </c>
      <c r="M302" s="37">
        <f>IF(E$13&gt;0,$C243*M$281*24*Input!$F$60/E$13,0)</f>
        <v>8.9891115502990532E-2</v>
      </c>
      <c r="O302" s="37">
        <f>IF(C$13&gt;0,$C243*O$281*24*Input!$F$60/C$13,0)</f>
        <v>15.326725068587592</v>
      </c>
      <c r="P302" s="37">
        <f>IF(D$13&gt;0,$C243*P$281*24*Input!$F$60/D$13,0)</f>
        <v>1.0885600208626938</v>
      </c>
      <c r="Q302" s="37">
        <f>IF(E$13&gt;0,$C243*Q$281*24*Input!$F$60/E$13,0)</f>
        <v>0.19263480815138198</v>
      </c>
      <c r="S302" s="37">
        <f>IF(C$13&gt;0,$C243*S$281*24*Input!$F$60/C$13,0)</f>
        <v>15.326725068587592</v>
      </c>
      <c r="T302" s="37">
        <f>IF(D$13&gt;0,$C243*T$281*24*Input!$F$60/D$13,0)</f>
        <v>1.0885600208626938</v>
      </c>
      <c r="U302" s="37">
        <f>IF(E$13&gt;0,$C243*U$281*24*Input!$F$60/E$13,0)</f>
        <v>0.19263480815138198</v>
      </c>
      <c r="W302" s="37">
        <f>IF(C$13&gt;0,$C243*W$281*24*Input!$F$60/C$13,0)</f>
        <v>21.557924493779957</v>
      </c>
      <c r="X302" s="37">
        <f>IF(D$13&gt;0,$C243*X$281*24*Input!$F$60/D$13,0)</f>
        <v>0.28660174559708884</v>
      </c>
      <c r="Y302" s="37">
        <f>IF(E$13&gt;0,$C243*Y$281*24*Input!$F$60/E$13,0)</f>
        <v>8.9891115502990532E-2</v>
      </c>
      <c r="AA302" s="37">
        <f>IF(C$13&gt;0,$C243*AA$281*24*Input!$F$60/C$13,0)</f>
        <v>15.326725068587592</v>
      </c>
      <c r="AB302" s="37">
        <f>IF(D$13&gt;0,$C243*AB$281*24*Input!$F$60/D$13,0)</f>
        <v>1.0885600208626938</v>
      </c>
      <c r="AC302" s="37">
        <f>IF(E$13&gt;0,$C243*AC$281*24*Input!$F$60/E$13,0)</f>
        <v>0.19263480815138198</v>
      </c>
      <c r="AE302" s="37">
        <f>IF(C$13&gt;0,$C243*AE$281*24*Input!$F$60/C$13,0)</f>
        <v>15.326725068587592</v>
      </c>
      <c r="AF302" s="37">
        <f>IF(D$13&gt;0,$C243*AF$281*24*Input!$F$60/D$13,0)</f>
        <v>1.0885600208626938</v>
      </c>
      <c r="AG302" s="37">
        <f>IF(E$13&gt;0,$C243*AG$281*24*Input!$F$60/E$13,0)</f>
        <v>0.19263480815138198</v>
      </c>
      <c r="AI302" s="37">
        <f>IF(C$13&gt;0,$C243*AI$281*24*Input!$F$60/C$13,0)</f>
        <v>15.326725068587592</v>
      </c>
      <c r="AJ302" s="37">
        <f>IF(D$13&gt;0,$C243*AJ$281*24*Input!$F$60/D$13,0)</f>
        <v>1.0885600208626938</v>
      </c>
      <c r="AK302" s="37">
        <f>IF(E$13&gt;0,$C243*AK$281*24*Input!$F$60/E$13,0)</f>
        <v>0.19263480815138198</v>
      </c>
      <c r="AL302" s="17"/>
    </row>
    <row r="303" spans="1:38" x14ac:dyDescent="0.25">
      <c r="A303" s="4" t="s">
        <v>190</v>
      </c>
      <c r="C303" s="37">
        <f>IF(C$13&gt;0,$C244*C$281*24*Input!$F$60/C$13,0)</f>
        <v>19.49881636563557</v>
      </c>
      <c r="D303" s="37">
        <f>IF(D$13&gt;0,$C244*D$281*24*Input!$F$60/D$13,0)</f>
        <v>0</v>
      </c>
      <c r="E303" s="37">
        <f>IF(E$13&gt;0,$C244*E$281*24*Input!$F$60/E$13,0)</f>
        <v>0</v>
      </c>
      <c r="G303" s="37">
        <f>IF(C$13&gt;0,$C244*G$281*24*Input!$F$60/C$13,0)</f>
        <v>17.318260650533215</v>
      </c>
      <c r="H303" s="37">
        <f>IF(D$13&gt;0,$C244*H$281*24*Input!$F$60/D$13,0)</f>
        <v>0.23023755067795515</v>
      </c>
      <c r="I303" s="37">
        <f>IF(E$13&gt;0,$C244*I$281*24*Input!$F$60/E$13,0)</f>
        <v>7.221278508963809E-2</v>
      </c>
      <c r="K303" s="37">
        <f>IF(C$13&gt;0,$C244*K$281*24*Input!$F$60/C$13,0)</f>
        <v>17.318260650533215</v>
      </c>
      <c r="L303" s="37">
        <f>IF(D$13&gt;0,$C244*L$281*24*Input!$F$60/D$13,0)</f>
        <v>0.23023755067795515</v>
      </c>
      <c r="M303" s="37">
        <f>IF(E$13&gt;0,$C244*M$281*24*Input!$F$60/E$13,0)</f>
        <v>7.221278508963809E-2</v>
      </c>
      <c r="O303" s="37">
        <f>IF(C$13&gt;0,$C244*O$281*24*Input!$F$60/C$13,0)</f>
        <v>12.312512725120909</v>
      </c>
      <c r="P303" s="37">
        <f>IF(D$13&gt;0,$C244*P$281*24*Input!$F$60/D$13,0)</f>
        <v>0.87447964577894777</v>
      </c>
      <c r="Q303" s="37">
        <f>IF(E$13&gt;0,$C244*Q$281*24*Input!$F$60/E$13,0)</f>
        <v>0.15475051037003346</v>
      </c>
      <c r="S303" s="37">
        <f>IF(C$13&gt;0,$C244*S$281*24*Input!$F$60/C$13,0)</f>
        <v>12.312512725120909</v>
      </c>
      <c r="T303" s="37">
        <f>IF(D$13&gt;0,$C244*T$281*24*Input!$F$60/D$13,0)</f>
        <v>0.87447964577894777</v>
      </c>
      <c r="U303" s="37">
        <f>IF(E$13&gt;0,$C244*U$281*24*Input!$F$60/E$13,0)</f>
        <v>0.15475051037003346</v>
      </c>
      <c r="W303" s="37">
        <f>IF(C$13&gt;0,$C244*W$281*24*Input!$F$60/C$13,0)</f>
        <v>17.318260650533215</v>
      </c>
      <c r="X303" s="37">
        <f>IF(D$13&gt;0,$C244*X$281*24*Input!$F$60/D$13,0)</f>
        <v>0.23023755067795515</v>
      </c>
      <c r="Y303" s="37">
        <f>IF(E$13&gt;0,$C244*Y$281*24*Input!$F$60/E$13,0)</f>
        <v>7.221278508963809E-2</v>
      </c>
      <c r="AA303" s="37">
        <f>IF(C$13&gt;0,$C244*AA$281*24*Input!$F$60/C$13,0)</f>
        <v>12.312512725120909</v>
      </c>
      <c r="AB303" s="37">
        <f>IF(D$13&gt;0,$C244*AB$281*24*Input!$F$60/D$13,0)</f>
        <v>0.87447964577894777</v>
      </c>
      <c r="AC303" s="37">
        <f>IF(E$13&gt;0,$C244*AC$281*24*Input!$F$60/E$13,0)</f>
        <v>0.15475051037003346</v>
      </c>
      <c r="AE303" s="37">
        <f>IF(C$13&gt;0,$C244*AE$281*24*Input!$F$60/C$13,0)</f>
        <v>12.312512725120909</v>
      </c>
      <c r="AF303" s="37">
        <f>IF(D$13&gt;0,$C244*AF$281*24*Input!$F$60/D$13,0)</f>
        <v>0.87447964577894777</v>
      </c>
      <c r="AG303" s="37">
        <f>IF(E$13&gt;0,$C244*AG$281*24*Input!$F$60/E$13,0)</f>
        <v>0.15475051037003346</v>
      </c>
      <c r="AI303" s="37">
        <f>IF(C$13&gt;0,$C244*AI$281*24*Input!$F$60/C$13,0)</f>
        <v>12.312512725120909</v>
      </c>
      <c r="AJ303" s="37">
        <f>IF(D$13&gt;0,$C244*AJ$281*24*Input!$F$60/D$13,0)</f>
        <v>0.87447964577894777</v>
      </c>
      <c r="AK303" s="37">
        <f>IF(E$13&gt;0,$C244*AK$281*24*Input!$F$60/E$13,0)</f>
        <v>0.15475051037003346</v>
      </c>
      <c r="AL303" s="17"/>
    </row>
    <row r="304" spans="1:38" x14ac:dyDescent="0.25">
      <c r="A304" s="4" t="s">
        <v>191</v>
      </c>
      <c r="C304" s="37">
        <f>IF(C$13&gt;0,$C245*C$281*24*Input!$F$60/C$13,0)</f>
        <v>18.916612824577768</v>
      </c>
      <c r="D304" s="37">
        <f>IF(D$13&gt;0,$C245*D$281*24*Input!$F$60/D$13,0)</f>
        <v>0</v>
      </c>
      <c r="E304" s="37">
        <f>IF(E$13&gt;0,$C245*E$281*24*Input!$F$60/E$13,0)</f>
        <v>0</v>
      </c>
      <c r="G304" s="37">
        <f>IF(C$13&gt;0,$C245*G$281*24*Input!$F$60/C$13,0)</f>
        <v>16.80116502346366</v>
      </c>
      <c r="H304" s="37">
        <f>IF(D$13&gt;0,$C245*H$281*24*Input!$F$60/D$13,0)</f>
        <v>0.22336302482081544</v>
      </c>
      <c r="I304" s="37">
        <f>IF(E$13&gt;0,$C245*I$281*24*Input!$F$60/E$13,0)</f>
        <v>7.0056626561834895E-2</v>
      </c>
      <c r="K304" s="37">
        <f>IF(C$13&gt;0,$C245*K$281*24*Input!$F$60/C$13,0)</f>
        <v>16.80116502346366</v>
      </c>
      <c r="L304" s="37">
        <f>IF(D$13&gt;0,$C245*L$281*24*Input!$F$60/D$13,0)</f>
        <v>0.22336302482081544</v>
      </c>
      <c r="M304" s="37">
        <f>IF(E$13&gt;0,$C245*M$281*24*Input!$F$60/E$13,0)</f>
        <v>7.0056626561834895E-2</v>
      </c>
      <c r="O304" s="37">
        <f>IF(C$13&gt;0,$C245*O$281*24*Input!$F$60/C$13,0)</f>
        <v>11.944880743083369</v>
      </c>
      <c r="P304" s="37">
        <f>IF(D$13&gt;0,$C245*P$281*24*Input!$F$60/D$13,0)</f>
        <v>0.84836907902409842</v>
      </c>
      <c r="Q304" s="37">
        <f>IF(E$13&gt;0,$C245*Q$281*24*Input!$F$60/E$13,0)</f>
        <v>0.15012990707655763</v>
      </c>
      <c r="S304" s="37">
        <f>IF(C$13&gt;0,$C245*S$281*24*Input!$F$60/C$13,0)</f>
        <v>11.944880743083369</v>
      </c>
      <c r="T304" s="37">
        <f>IF(D$13&gt;0,$C245*T$281*24*Input!$F$60/D$13,0)</f>
        <v>0.84836907902409842</v>
      </c>
      <c r="U304" s="37">
        <f>IF(E$13&gt;0,$C245*U$281*24*Input!$F$60/E$13,0)</f>
        <v>0.15012990707655763</v>
      </c>
      <c r="W304" s="37">
        <f>IF(C$13&gt;0,$C245*W$281*24*Input!$F$60/C$13,0)</f>
        <v>16.80116502346366</v>
      </c>
      <c r="X304" s="37">
        <f>IF(D$13&gt;0,$C245*X$281*24*Input!$F$60/D$13,0)</f>
        <v>0.22336302482081544</v>
      </c>
      <c r="Y304" s="37">
        <f>IF(E$13&gt;0,$C245*Y$281*24*Input!$F$60/E$13,0)</f>
        <v>7.0056626561834895E-2</v>
      </c>
      <c r="AA304" s="37">
        <f>IF(C$13&gt;0,$C245*AA$281*24*Input!$F$60/C$13,0)</f>
        <v>11.944880743083369</v>
      </c>
      <c r="AB304" s="37">
        <f>IF(D$13&gt;0,$C245*AB$281*24*Input!$F$60/D$13,0)</f>
        <v>0.84836907902409842</v>
      </c>
      <c r="AC304" s="37">
        <f>IF(E$13&gt;0,$C245*AC$281*24*Input!$F$60/E$13,0)</f>
        <v>0.15012990707655763</v>
      </c>
      <c r="AE304" s="37">
        <f>IF(C$13&gt;0,$C245*AE$281*24*Input!$F$60/C$13,0)</f>
        <v>11.944880743083369</v>
      </c>
      <c r="AF304" s="37">
        <f>IF(D$13&gt;0,$C245*AF$281*24*Input!$F$60/D$13,0)</f>
        <v>0.84836907902409842</v>
      </c>
      <c r="AG304" s="37">
        <f>IF(E$13&gt;0,$C245*AG$281*24*Input!$F$60/E$13,0)</f>
        <v>0.15012990707655763</v>
      </c>
      <c r="AI304" s="37">
        <f>IF(C$13&gt;0,$C245*AI$281*24*Input!$F$60/C$13,0)</f>
        <v>11.944880743083369</v>
      </c>
      <c r="AJ304" s="37">
        <f>IF(D$13&gt;0,$C245*AJ$281*24*Input!$F$60/D$13,0)</f>
        <v>0.84836907902409842</v>
      </c>
      <c r="AK304" s="37">
        <f>IF(E$13&gt;0,$C245*AK$281*24*Input!$F$60/E$13,0)</f>
        <v>0.15012990707655763</v>
      </c>
      <c r="AL304" s="17"/>
    </row>
    <row r="305" spans="1:38" x14ac:dyDescent="0.25">
      <c r="A305" s="4" t="s">
        <v>208</v>
      </c>
      <c r="C305" s="37">
        <f>IF(C$13&gt;0,$C246*C$281*24*Input!$F$60/C$13,0)</f>
        <v>17.70707021938442</v>
      </c>
      <c r="D305" s="37">
        <f>IF(D$13&gt;0,$C246*D$281*24*Input!$F$60/D$13,0)</f>
        <v>0</v>
      </c>
      <c r="E305" s="37">
        <f>IF(E$13&gt;0,$C246*E$281*24*Input!$F$60/E$13,0)</f>
        <v>0</v>
      </c>
      <c r="G305" s="37">
        <f>IF(C$13&gt;0,$C246*G$281*24*Input!$F$60/C$13,0)</f>
        <v>15.726885758924283</v>
      </c>
      <c r="H305" s="37">
        <f>IF(D$13&gt;0,$C246*H$281*24*Input!$F$60/D$13,0)</f>
        <v>0.20908102320398181</v>
      </c>
      <c r="I305" s="37">
        <f>IF(E$13&gt;0,$C246*I$281*24*Input!$F$60/E$13,0)</f>
        <v>6.5577152599532104E-2</v>
      </c>
      <c r="K305" s="37">
        <f>IF(C$13&gt;0,$C246*K$281*24*Input!$F$60/C$13,0)</f>
        <v>15.726885758924283</v>
      </c>
      <c r="L305" s="37">
        <f>IF(D$13&gt;0,$C246*L$281*24*Input!$F$60/D$13,0)</f>
        <v>0.20908102320398181</v>
      </c>
      <c r="M305" s="37">
        <f>IF(E$13&gt;0,$C246*M$281*24*Input!$F$60/E$13,0)</f>
        <v>6.5577152599532104E-2</v>
      </c>
      <c r="O305" s="37">
        <f>IF(C$13&gt;0,$C246*O$281*24*Input!$F$60/C$13,0)</f>
        <v>11.181115987379258</v>
      </c>
      <c r="P305" s="37">
        <f>IF(D$13&gt;0,$C246*P$281*24*Input!$F$60/D$13,0)</f>
        <v>0.79412371514610758</v>
      </c>
      <c r="Q305" s="37">
        <f>IF(E$13&gt;0,$C246*Q$281*24*Input!$F$60/E$13,0)</f>
        <v>0.14053048668313062</v>
      </c>
      <c r="S305" s="37">
        <f>IF(C$13&gt;0,$C246*S$281*24*Input!$F$60/C$13,0)</f>
        <v>11.181115987379258</v>
      </c>
      <c r="T305" s="37">
        <f>IF(D$13&gt;0,$C246*T$281*24*Input!$F$60/D$13,0)</f>
        <v>0.79412371514610758</v>
      </c>
      <c r="U305" s="37">
        <f>IF(E$13&gt;0,$C246*U$281*24*Input!$F$60/E$13,0)</f>
        <v>0.14053048668313062</v>
      </c>
      <c r="W305" s="37">
        <f>IF(C$13&gt;0,$C246*W$281*24*Input!$F$60/C$13,0)</f>
        <v>15.726885758924283</v>
      </c>
      <c r="X305" s="37">
        <f>IF(D$13&gt;0,$C246*X$281*24*Input!$F$60/D$13,0)</f>
        <v>0.20908102320398181</v>
      </c>
      <c r="Y305" s="37">
        <f>IF(E$13&gt;0,$C246*Y$281*24*Input!$F$60/E$13,0)</f>
        <v>6.5577152599532104E-2</v>
      </c>
      <c r="AA305" s="37">
        <f>IF(C$13&gt;0,$C246*AA$281*24*Input!$F$60/C$13,0)</f>
        <v>11.181115987379258</v>
      </c>
      <c r="AB305" s="37">
        <f>IF(D$13&gt;0,$C246*AB$281*24*Input!$F$60/D$13,0)</f>
        <v>0.79412371514610758</v>
      </c>
      <c r="AC305" s="37">
        <f>IF(E$13&gt;0,$C246*AC$281*24*Input!$F$60/E$13,0)</f>
        <v>0.14053048668313062</v>
      </c>
      <c r="AE305" s="37">
        <f>IF(C$13&gt;0,$C246*AE$281*24*Input!$F$60/C$13,0)</f>
        <v>11.181115987379258</v>
      </c>
      <c r="AF305" s="37">
        <f>IF(D$13&gt;0,$C246*AF$281*24*Input!$F$60/D$13,0)</f>
        <v>0.79412371514610758</v>
      </c>
      <c r="AG305" s="37">
        <f>IF(E$13&gt;0,$C246*AG$281*24*Input!$F$60/E$13,0)</f>
        <v>0.14053048668313062</v>
      </c>
      <c r="AI305" s="37">
        <f>IF(C$13&gt;0,$C246*AI$281*24*Input!$F$60/C$13,0)</f>
        <v>11.181115987379258</v>
      </c>
      <c r="AJ305" s="37">
        <f>IF(D$13&gt;0,$C246*AJ$281*24*Input!$F$60/D$13,0)</f>
        <v>0.79412371514610758</v>
      </c>
      <c r="AK305" s="37">
        <f>IF(E$13&gt;0,$C246*AK$281*24*Input!$F$60/E$13,0)</f>
        <v>0.14053048668313062</v>
      </c>
      <c r="AL305" s="17"/>
    </row>
    <row r="306" spans="1:38" x14ac:dyDescent="0.25">
      <c r="A306" s="4" t="s">
        <v>196</v>
      </c>
      <c r="C306" s="37">
        <f>IF(C$13&gt;0,$C247*C$281*24*Input!$F$60/C$13,0)</f>
        <v>-16.763358778625953</v>
      </c>
      <c r="D306" s="37">
        <f>IF(D$13&gt;0,$C247*D$281*24*Input!$F$60/D$13,0)</f>
        <v>0</v>
      </c>
      <c r="E306" s="37">
        <f>IF(E$13&gt;0,$C247*E$281*24*Input!$F$60/E$13,0)</f>
        <v>0</v>
      </c>
      <c r="G306" s="37">
        <f>IF(C$13&gt;0,$C247*G$281*24*Input!$F$60/C$13,0)</f>
        <v>-14.888709717698065</v>
      </c>
      <c r="H306" s="37">
        <f>IF(D$13&gt;0,$C247*H$281*24*Input!$F$60/D$13,0)</f>
        <v>-0.19793789499595785</v>
      </c>
      <c r="I306" s="37">
        <f>IF(E$13&gt;0,$C247*I$281*24*Input!$F$60/E$13,0)</f>
        <v>-6.2082169612860817E-2</v>
      </c>
      <c r="K306" s="37">
        <f>IF(C$13&gt;0,$C247*K$281*24*Input!$F$60/C$13,0)</f>
        <v>-14.888709717698065</v>
      </c>
      <c r="L306" s="37">
        <f>IF(D$13&gt;0,$C247*L$281*24*Input!$F$60/D$13,0)</f>
        <v>-0.19793789499595785</v>
      </c>
      <c r="M306" s="37">
        <f>IF(E$13&gt;0,$C247*M$281*24*Input!$F$60/E$13,0)</f>
        <v>-6.2082169612860817E-2</v>
      </c>
      <c r="O306" s="37">
        <f>IF(C$13&gt;0,$C247*O$281*24*Input!$F$60/C$13,0)</f>
        <v>-10.585210117746126</v>
      </c>
      <c r="P306" s="37">
        <f>IF(D$13&gt;0,$C247*P$281*24*Input!$F$60/D$13,0)</f>
        <v>-0.75180030274214127</v>
      </c>
      <c r="Q306" s="37">
        <f>IF(E$13&gt;0,$C247*Q$281*24*Input!$F$60/E$13,0)</f>
        <v>-0.13304081016323729</v>
      </c>
      <c r="S306" s="37">
        <f>IF(C$13&gt;0,$C247*S$281*24*Input!$F$60/C$13,0)</f>
        <v>-10.585210117746126</v>
      </c>
      <c r="T306" s="37">
        <f>IF(D$13&gt;0,$C247*T$281*24*Input!$F$60/D$13,0)</f>
        <v>-0.75180030274214127</v>
      </c>
      <c r="U306" s="37">
        <f>IF(E$13&gt;0,$C247*U$281*24*Input!$F$60/E$13,0)</f>
        <v>-0.13304081016323729</v>
      </c>
      <c r="W306" s="37">
        <f>IF(C$13&gt;0,$C247*W$281*24*Input!$F$60/C$13,0)</f>
        <v>-14.888709717698065</v>
      </c>
      <c r="X306" s="37">
        <f>IF(D$13&gt;0,$C247*X$281*24*Input!$F$60/D$13,0)</f>
        <v>-0.19793789499595785</v>
      </c>
      <c r="Y306" s="37">
        <f>IF(E$13&gt;0,$C247*Y$281*24*Input!$F$60/E$13,0)</f>
        <v>-6.2082169612860817E-2</v>
      </c>
      <c r="AA306" s="37">
        <f>IF(C$13&gt;0,$C247*AA$281*24*Input!$F$60/C$13,0)</f>
        <v>-10.585210117746126</v>
      </c>
      <c r="AB306" s="37">
        <f>IF(D$13&gt;0,$C247*AB$281*24*Input!$F$60/D$13,0)</f>
        <v>-0.75180030274214127</v>
      </c>
      <c r="AC306" s="37">
        <f>IF(E$13&gt;0,$C247*AC$281*24*Input!$F$60/E$13,0)</f>
        <v>-0.13304081016323729</v>
      </c>
      <c r="AE306" s="37">
        <f>IF(C$13&gt;0,$C247*AE$281*24*Input!$F$60/C$13,0)</f>
        <v>-10.585210117746126</v>
      </c>
      <c r="AF306" s="37">
        <f>IF(D$13&gt;0,$C247*AF$281*24*Input!$F$60/D$13,0)</f>
        <v>-0.75180030274214127</v>
      </c>
      <c r="AG306" s="37">
        <f>IF(E$13&gt;0,$C247*AG$281*24*Input!$F$60/E$13,0)</f>
        <v>-0.13304081016323729</v>
      </c>
      <c r="AI306" s="37">
        <f>IF(C$13&gt;0,$C247*AI$281*24*Input!$F$60/C$13,0)</f>
        <v>-10.585210117746126</v>
      </c>
      <c r="AJ306" s="37">
        <f>IF(D$13&gt;0,$C247*AJ$281*24*Input!$F$60/D$13,0)</f>
        <v>-0.75180030274214127</v>
      </c>
      <c r="AK306" s="37">
        <f>IF(E$13&gt;0,$C247*AK$281*24*Input!$F$60/E$13,0)</f>
        <v>-0.13304081016323729</v>
      </c>
      <c r="AL306" s="17"/>
    </row>
    <row r="307" spans="1:38" x14ac:dyDescent="0.25">
      <c r="A307" s="4" t="s">
        <v>197</v>
      </c>
      <c r="C307" s="37">
        <f>IF(C$13&gt;0,$C248*C$281*24*Input!$F$60/C$13,0)</f>
        <v>-16.763358778625953</v>
      </c>
      <c r="D307" s="37">
        <f>IF(D$13&gt;0,$C248*D$281*24*Input!$F$60/D$13,0)</f>
        <v>0</v>
      </c>
      <c r="E307" s="37">
        <f>IF(E$13&gt;0,$C248*E$281*24*Input!$F$60/E$13,0)</f>
        <v>0</v>
      </c>
      <c r="G307" s="37">
        <f>IF(C$13&gt;0,$C248*G$281*24*Input!$F$60/C$13,0)</f>
        <v>-14.888709717698065</v>
      </c>
      <c r="H307" s="37">
        <f>IF(D$13&gt;0,$C248*H$281*24*Input!$F$60/D$13,0)</f>
        <v>-0.19793789499595785</v>
      </c>
      <c r="I307" s="37">
        <f>IF(E$13&gt;0,$C248*I$281*24*Input!$F$60/E$13,0)</f>
        <v>-6.2082169612860817E-2</v>
      </c>
      <c r="K307" s="37">
        <f>IF(C$13&gt;0,$C248*K$281*24*Input!$F$60/C$13,0)</f>
        <v>-14.888709717698065</v>
      </c>
      <c r="L307" s="37">
        <f>IF(D$13&gt;0,$C248*L$281*24*Input!$F$60/D$13,0)</f>
        <v>-0.19793789499595785</v>
      </c>
      <c r="M307" s="37">
        <f>IF(E$13&gt;0,$C248*M$281*24*Input!$F$60/E$13,0)</f>
        <v>-6.2082169612860817E-2</v>
      </c>
      <c r="O307" s="37">
        <f>IF(C$13&gt;0,$C248*O$281*24*Input!$F$60/C$13,0)</f>
        <v>-10.585210117746126</v>
      </c>
      <c r="P307" s="37">
        <f>IF(D$13&gt;0,$C248*P$281*24*Input!$F$60/D$13,0)</f>
        <v>-0.75180030274214127</v>
      </c>
      <c r="Q307" s="37">
        <f>IF(E$13&gt;0,$C248*Q$281*24*Input!$F$60/E$13,0)</f>
        <v>-0.13304081016323729</v>
      </c>
      <c r="S307" s="37">
        <f>IF(C$13&gt;0,$C248*S$281*24*Input!$F$60/C$13,0)</f>
        <v>-10.585210117746126</v>
      </c>
      <c r="T307" s="37">
        <f>IF(D$13&gt;0,$C248*T$281*24*Input!$F$60/D$13,0)</f>
        <v>-0.75180030274214127</v>
      </c>
      <c r="U307" s="37">
        <f>IF(E$13&gt;0,$C248*U$281*24*Input!$F$60/E$13,0)</f>
        <v>-0.13304081016323729</v>
      </c>
      <c r="W307" s="37">
        <f>IF(C$13&gt;0,$C248*W$281*24*Input!$F$60/C$13,0)</f>
        <v>-14.888709717698065</v>
      </c>
      <c r="X307" s="37">
        <f>IF(D$13&gt;0,$C248*X$281*24*Input!$F$60/D$13,0)</f>
        <v>-0.19793789499595785</v>
      </c>
      <c r="Y307" s="37">
        <f>IF(E$13&gt;0,$C248*Y$281*24*Input!$F$60/E$13,0)</f>
        <v>-6.2082169612860817E-2</v>
      </c>
      <c r="AA307" s="37">
        <f>IF(C$13&gt;0,$C248*AA$281*24*Input!$F$60/C$13,0)</f>
        <v>-10.585210117746126</v>
      </c>
      <c r="AB307" s="37">
        <f>IF(D$13&gt;0,$C248*AB$281*24*Input!$F$60/D$13,0)</f>
        <v>-0.75180030274214127</v>
      </c>
      <c r="AC307" s="37">
        <f>IF(E$13&gt;0,$C248*AC$281*24*Input!$F$60/E$13,0)</f>
        <v>-0.13304081016323729</v>
      </c>
      <c r="AE307" s="37">
        <f>IF(C$13&gt;0,$C248*AE$281*24*Input!$F$60/C$13,0)</f>
        <v>-10.585210117746126</v>
      </c>
      <c r="AF307" s="37">
        <f>IF(D$13&gt;0,$C248*AF$281*24*Input!$F$60/D$13,0)</f>
        <v>-0.75180030274214127</v>
      </c>
      <c r="AG307" s="37">
        <f>IF(E$13&gt;0,$C248*AG$281*24*Input!$F$60/E$13,0)</f>
        <v>-0.13304081016323729</v>
      </c>
      <c r="AI307" s="37">
        <f>IF(C$13&gt;0,$C248*AI$281*24*Input!$F$60/C$13,0)</f>
        <v>-10.585210117746126</v>
      </c>
      <c r="AJ307" s="37">
        <f>IF(D$13&gt;0,$C248*AJ$281*24*Input!$F$60/D$13,0)</f>
        <v>-0.75180030274214127</v>
      </c>
      <c r="AK307" s="37">
        <f>IF(E$13&gt;0,$C248*AK$281*24*Input!$F$60/E$13,0)</f>
        <v>-0.13304081016323729</v>
      </c>
      <c r="AL307" s="17"/>
    </row>
    <row r="308" spans="1:38" x14ac:dyDescent="0.25">
      <c r="A308" s="4" t="s">
        <v>200</v>
      </c>
      <c r="C308" s="37">
        <f>IF(C$13&gt;0,$C249*C$281*24*Input!$F$60/C$13,0)</f>
        <v>-16.763358778625953</v>
      </c>
      <c r="D308" s="37">
        <f>IF(D$13&gt;0,$C249*D$281*24*Input!$F$60/D$13,0)</f>
        <v>0</v>
      </c>
      <c r="E308" s="37">
        <f>IF(E$13&gt;0,$C249*E$281*24*Input!$F$60/E$13,0)</f>
        <v>0</v>
      </c>
      <c r="G308" s="37">
        <f>IF(C$13&gt;0,$C249*G$281*24*Input!$F$60/C$13,0)</f>
        <v>-14.888709717698065</v>
      </c>
      <c r="H308" s="37">
        <f>IF(D$13&gt;0,$C249*H$281*24*Input!$F$60/D$13,0)</f>
        <v>-0.19793789499595785</v>
      </c>
      <c r="I308" s="37">
        <f>IF(E$13&gt;0,$C249*I$281*24*Input!$F$60/E$13,0)</f>
        <v>-6.2082169612860817E-2</v>
      </c>
      <c r="K308" s="37">
        <f>IF(C$13&gt;0,$C249*K$281*24*Input!$F$60/C$13,0)</f>
        <v>-14.888709717698065</v>
      </c>
      <c r="L308" s="37">
        <f>IF(D$13&gt;0,$C249*L$281*24*Input!$F$60/D$13,0)</f>
        <v>-0.19793789499595785</v>
      </c>
      <c r="M308" s="37">
        <f>IF(E$13&gt;0,$C249*M$281*24*Input!$F$60/E$13,0)</f>
        <v>-6.2082169612860817E-2</v>
      </c>
      <c r="O308" s="37">
        <f>IF(C$13&gt;0,$C249*O$281*24*Input!$F$60/C$13,0)</f>
        <v>-10.585210117746126</v>
      </c>
      <c r="P308" s="37">
        <f>IF(D$13&gt;0,$C249*P$281*24*Input!$F$60/D$13,0)</f>
        <v>-0.75180030274214127</v>
      </c>
      <c r="Q308" s="37">
        <f>IF(E$13&gt;0,$C249*Q$281*24*Input!$F$60/E$13,0)</f>
        <v>-0.13304081016323729</v>
      </c>
      <c r="S308" s="37">
        <f>IF(C$13&gt;0,$C249*S$281*24*Input!$F$60/C$13,0)</f>
        <v>-10.585210117746126</v>
      </c>
      <c r="T308" s="37">
        <f>IF(D$13&gt;0,$C249*T$281*24*Input!$F$60/D$13,0)</f>
        <v>-0.75180030274214127</v>
      </c>
      <c r="U308" s="37">
        <f>IF(E$13&gt;0,$C249*U$281*24*Input!$F$60/E$13,0)</f>
        <v>-0.13304081016323729</v>
      </c>
      <c r="W308" s="37">
        <f>IF(C$13&gt;0,$C249*W$281*24*Input!$F$60/C$13,0)</f>
        <v>-14.888709717698065</v>
      </c>
      <c r="X308" s="37">
        <f>IF(D$13&gt;0,$C249*X$281*24*Input!$F$60/D$13,0)</f>
        <v>-0.19793789499595785</v>
      </c>
      <c r="Y308" s="37">
        <f>IF(E$13&gt;0,$C249*Y$281*24*Input!$F$60/E$13,0)</f>
        <v>-6.2082169612860817E-2</v>
      </c>
      <c r="AA308" s="37">
        <f>IF(C$13&gt;0,$C249*AA$281*24*Input!$F$60/C$13,0)</f>
        <v>-10.585210117746126</v>
      </c>
      <c r="AB308" s="37">
        <f>IF(D$13&gt;0,$C249*AB$281*24*Input!$F$60/D$13,0)</f>
        <v>-0.75180030274214127</v>
      </c>
      <c r="AC308" s="37">
        <f>IF(E$13&gt;0,$C249*AC$281*24*Input!$F$60/E$13,0)</f>
        <v>-0.13304081016323729</v>
      </c>
      <c r="AE308" s="37">
        <f>IF(C$13&gt;0,$C249*AE$281*24*Input!$F$60/C$13,0)</f>
        <v>-10.585210117746126</v>
      </c>
      <c r="AF308" s="37">
        <f>IF(D$13&gt;0,$C249*AF$281*24*Input!$F$60/D$13,0)</f>
        <v>-0.75180030274214127</v>
      </c>
      <c r="AG308" s="37">
        <f>IF(E$13&gt;0,$C249*AG$281*24*Input!$F$60/E$13,0)</f>
        <v>-0.13304081016323729</v>
      </c>
      <c r="AI308" s="37">
        <f>IF(C$13&gt;0,$C249*AI$281*24*Input!$F$60/C$13,0)</f>
        <v>-10.585210117746126</v>
      </c>
      <c r="AJ308" s="37">
        <f>IF(D$13&gt;0,$C249*AJ$281*24*Input!$F$60/D$13,0)</f>
        <v>-0.75180030274214127</v>
      </c>
      <c r="AK308" s="37">
        <f>IF(E$13&gt;0,$C249*AK$281*24*Input!$F$60/E$13,0)</f>
        <v>-0.13304081016323729</v>
      </c>
      <c r="AL308" s="17"/>
    </row>
    <row r="309" spans="1:38" x14ac:dyDescent="0.25">
      <c r="A309" s="4" t="s">
        <v>201</v>
      </c>
      <c r="C309" s="37">
        <f>IF(C$13&gt;0,$C250*C$281*24*Input!$F$60/C$13,0)</f>
        <v>-16.763358778625953</v>
      </c>
      <c r="D309" s="37">
        <f>IF(D$13&gt;0,$C250*D$281*24*Input!$F$60/D$13,0)</f>
        <v>0</v>
      </c>
      <c r="E309" s="37">
        <f>IF(E$13&gt;0,$C250*E$281*24*Input!$F$60/E$13,0)</f>
        <v>0</v>
      </c>
      <c r="G309" s="37">
        <f>IF(C$13&gt;0,$C250*G$281*24*Input!$F$60/C$13,0)</f>
        <v>-14.888709717698065</v>
      </c>
      <c r="H309" s="37">
        <f>IF(D$13&gt;0,$C250*H$281*24*Input!$F$60/D$13,0)</f>
        <v>-0.19793789499595785</v>
      </c>
      <c r="I309" s="37">
        <f>IF(E$13&gt;0,$C250*I$281*24*Input!$F$60/E$13,0)</f>
        <v>-6.2082169612860817E-2</v>
      </c>
      <c r="K309" s="37">
        <f>IF(C$13&gt;0,$C250*K$281*24*Input!$F$60/C$13,0)</f>
        <v>-14.888709717698065</v>
      </c>
      <c r="L309" s="37">
        <f>IF(D$13&gt;0,$C250*L$281*24*Input!$F$60/D$13,0)</f>
        <v>-0.19793789499595785</v>
      </c>
      <c r="M309" s="37">
        <f>IF(E$13&gt;0,$C250*M$281*24*Input!$F$60/E$13,0)</f>
        <v>-6.2082169612860817E-2</v>
      </c>
      <c r="O309" s="37">
        <f>IF(C$13&gt;0,$C250*O$281*24*Input!$F$60/C$13,0)</f>
        <v>-10.585210117746126</v>
      </c>
      <c r="P309" s="37">
        <f>IF(D$13&gt;0,$C250*P$281*24*Input!$F$60/D$13,0)</f>
        <v>-0.75180030274214127</v>
      </c>
      <c r="Q309" s="37">
        <f>IF(E$13&gt;0,$C250*Q$281*24*Input!$F$60/E$13,0)</f>
        <v>-0.13304081016323729</v>
      </c>
      <c r="S309" s="37">
        <f>IF(C$13&gt;0,$C250*S$281*24*Input!$F$60/C$13,0)</f>
        <v>-10.585210117746126</v>
      </c>
      <c r="T309" s="37">
        <f>IF(D$13&gt;0,$C250*T$281*24*Input!$F$60/D$13,0)</f>
        <v>-0.75180030274214127</v>
      </c>
      <c r="U309" s="37">
        <f>IF(E$13&gt;0,$C250*U$281*24*Input!$F$60/E$13,0)</f>
        <v>-0.13304081016323729</v>
      </c>
      <c r="W309" s="37">
        <f>IF(C$13&gt;0,$C250*W$281*24*Input!$F$60/C$13,0)</f>
        <v>-14.888709717698065</v>
      </c>
      <c r="X309" s="37">
        <f>IF(D$13&gt;0,$C250*X$281*24*Input!$F$60/D$13,0)</f>
        <v>-0.19793789499595785</v>
      </c>
      <c r="Y309" s="37">
        <f>IF(E$13&gt;0,$C250*Y$281*24*Input!$F$60/E$13,0)</f>
        <v>-6.2082169612860817E-2</v>
      </c>
      <c r="AA309" s="37">
        <f>IF(C$13&gt;0,$C250*AA$281*24*Input!$F$60/C$13,0)</f>
        <v>-10.585210117746126</v>
      </c>
      <c r="AB309" s="37">
        <f>IF(D$13&gt;0,$C250*AB$281*24*Input!$F$60/D$13,0)</f>
        <v>-0.75180030274214127</v>
      </c>
      <c r="AC309" s="37">
        <f>IF(E$13&gt;0,$C250*AC$281*24*Input!$F$60/E$13,0)</f>
        <v>-0.13304081016323729</v>
      </c>
      <c r="AE309" s="37">
        <f>IF(C$13&gt;0,$C250*AE$281*24*Input!$F$60/C$13,0)</f>
        <v>-10.585210117746126</v>
      </c>
      <c r="AF309" s="37">
        <f>IF(D$13&gt;0,$C250*AF$281*24*Input!$F$60/D$13,0)</f>
        <v>-0.75180030274214127</v>
      </c>
      <c r="AG309" s="37">
        <f>IF(E$13&gt;0,$C250*AG$281*24*Input!$F$60/E$13,0)</f>
        <v>-0.13304081016323729</v>
      </c>
      <c r="AI309" s="37">
        <f>IF(C$13&gt;0,$C250*AI$281*24*Input!$F$60/C$13,0)</f>
        <v>-10.585210117746126</v>
      </c>
      <c r="AJ309" s="37">
        <f>IF(D$13&gt;0,$C250*AJ$281*24*Input!$F$60/D$13,0)</f>
        <v>-0.75180030274214127</v>
      </c>
      <c r="AK309" s="37">
        <f>IF(E$13&gt;0,$C250*AK$281*24*Input!$F$60/E$13,0)</f>
        <v>-0.13304081016323729</v>
      </c>
      <c r="AL309" s="17"/>
    </row>
    <row r="310" spans="1:38" x14ac:dyDescent="0.25">
      <c r="A310" s="4" t="s">
        <v>211</v>
      </c>
      <c r="C310" s="37">
        <f>IF(C$13&gt;0,$C251*C$281*24*Input!$F$60/C$13,0)</f>
        <v>-16.763358778625953</v>
      </c>
      <c r="D310" s="37">
        <f>IF(D$13&gt;0,$C251*D$281*24*Input!$F$60/D$13,0)</f>
        <v>0</v>
      </c>
      <c r="E310" s="37">
        <f>IF(E$13&gt;0,$C251*E$281*24*Input!$F$60/E$13,0)</f>
        <v>0</v>
      </c>
      <c r="G310" s="37">
        <f>IF(C$13&gt;0,$C251*G$281*24*Input!$F$60/C$13,0)</f>
        <v>-14.888709717698065</v>
      </c>
      <c r="H310" s="37">
        <f>IF(D$13&gt;0,$C251*H$281*24*Input!$F$60/D$13,0)</f>
        <v>-0.19793789499595785</v>
      </c>
      <c r="I310" s="37">
        <f>IF(E$13&gt;0,$C251*I$281*24*Input!$F$60/E$13,0)</f>
        <v>-6.2082169612860817E-2</v>
      </c>
      <c r="K310" s="37">
        <f>IF(C$13&gt;0,$C251*K$281*24*Input!$F$60/C$13,0)</f>
        <v>-14.888709717698065</v>
      </c>
      <c r="L310" s="37">
        <f>IF(D$13&gt;0,$C251*L$281*24*Input!$F$60/D$13,0)</f>
        <v>-0.19793789499595785</v>
      </c>
      <c r="M310" s="37">
        <f>IF(E$13&gt;0,$C251*M$281*24*Input!$F$60/E$13,0)</f>
        <v>-6.2082169612860817E-2</v>
      </c>
      <c r="O310" s="37">
        <f>IF(C$13&gt;0,$C251*O$281*24*Input!$F$60/C$13,0)</f>
        <v>-10.585210117746126</v>
      </c>
      <c r="P310" s="37">
        <f>IF(D$13&gt;0,$C251*P$281*24*Input!$F$60/D$13,0)</f>
        <v>-0.75180030274214127</v>
      </c>
      <c r="Q310" s="37">
        <f>IF(E$13&gt;0,$C251*Q$281*24*Input!$F$60/E$13,0)</f>
        <v>-0.13304081016323729</v>
      </c>
      <c r="S310" s="37">
        <f>IF(C$13&gt;0,$C251*S$281*24*Input!$F$60/C$13,0)</f>
        <v>-10.585210117746126</v>
      </c>
      <c r="T310" s="37">
        <f>IF(D$13&gt;0,$C251*T$281*24*Input!$F$60/D$13,0)</f>
        <v>-0.75180030274214127</v>
      </c>
      <c r="U310" s="37">
        <f>IF(E$13&gt;0,$C251*U$281*24*Input!$F$60/E$13,0)</f>
        <v>-0.13304081016323729</v>
      </c>
      <c r="W310" s="37">
        <f>IF(C$13&gt;0,$C251*W$281*24*Input!$F$60/C$13,0)</f>
        <v>-14.888709717698065</v>
      </c>
      <c r="X310" s="37">
        <f>IF(D$13&gt;0,$C251*X$281*24*Input!$F$60/D$13,0)</f>
        <v>-0.19793789499595785</v>
      </c>
      <c r="Y310" s="37">
        <f>IF(E$13&gt;0,$C251*Y$281*24*Input!$F$60/E$13,0)</f>
        <v>-6.2082169612860817E-2</v>
      </c>
      <c r="AA310" s="37">
        <f>IF(C$13&gt;0,$C251*AA$281*24*Input!$F$60/C$13,0)</f>
        <v>-10.585210117746126</v>
      </c>
      <c r="AB310" s="37">
        <f>IF(D$13&gt;0,$C251*AB$281*24*Input!$F$60/D$13,0)</f>
        <v>-0.75180030274214127</v>
      </c>
      <c r="AC310" s="37">
        <f>IF(E$13&gt;0,$C251*AC$281*24*Input!$F$60/E$13,0)</f>
        <v>-0.13304081016323729</v>
      </c>
      <c r="AE310" s="37">
        <f>IF(C$13&gt;0,$C251*AE$281*24*Input!$F$60/C$13,0)</f>
        <v>-10.585210117746126</v>
      </c>
      <c r="AF310" s="37">
        <f>IF(D$13&gt;0,$C251*AF$281*24*Input!$F$60/D$13,0)</f>
        <v>-0.75180030274214127</v>
      </c>
      <c r="AG310" s="37">
        <f>IF(E$13&gt;0,$C251*AG$281*24*Input!$F$60/E$13,0)</f>
        <v>-0.13304081016323729</v>
      </c>
      <c r="AI310" s="37">
        <f>IF(C$13&gt;0,$C251*AI$281*24*Input!$F$60/C$13,0)</f>
        <v>-10.585210117746126</v>
      </c>
      <c r="AJ310" s="37">
        <f>IF(D$13&gt;0,$C251*AJ$281*24*Input!$F$60/D$13,0)</f>
        <v>-0.75180030274214127</v>
      </c>
      <c r="AK310" s="37">
        <f>IF(E$13&gt;0,$C251*AK$281*24*Input!$F$60/E$13,0)</f>
        <v>-0.13304081016323729</v>
      </c>
      <c r="AL310" s="17"/>
    </row>
    <row r="311" spans="1:38" x14ac:dyDescent="0.25">
      <c r="A311" s="4" t="s">
        <v>212</v>
      </c>
      <c r="C311" s="37">
        <f>IF(C$13&gt;0,$C252*C$281*24*Input!$F$60/C$13,0)</f>
        <v>-16.763358778625953</v>
      </c>
      <c r="D311" s="37">
        <f>IF(D$13&gt;0,$C252*D$281*24*Input!$F$60/D$13,0)</f>
        <v>0</v>
      </c>
      <c r="E311" s="37">
        <f>IF(E$13&gt;0,$C252*E$281*24*Input!$F$60/E$13,0)</f>
        <v>0</v>
      </c>
      <c r="G311" s="37">
        <f>IF(C$13&gt;0,$C252*G$281*24*Input!$F$60/C$13,0)</f>
        <v>-14.888709717698065</v>
      </c>
      <c r="H311" s="37">
        <f>IF(D$13&gt;0,$C252*H$281*24*Input!$F$60/D$13,0)</f>
        <v>-0.19793789499595785</v>
      </c>
      <c r="I311" s="37">
        <f>IF(E$13&gt;0,$C252*I$281*24*Input!$F$60/E$13,0)</f>
        <v>-6.2082169612860817E-2</v>
      </c>
      <c r="K311" s="37">
        <f>IF(C$13&gt;0,$C252*K$281*24*Input!$F$60/C$13,0)</f>
        <v>-14.888709717698065</v>
      </c>
      <c r="L311" s="37">
        <f>IF(D$13&gt;0,$C252*L$281*24*Input!$F$60/D$13,0)</f>
        <v>-0.19793789499595785</v>
      </c>
      <c r="M311" s="37">
        <f>IF(E$13&gt;0,$C252*M$281*24*Input!$F$60/E$13,0)</f>
        <v>-6.2082169612860817E-2</v>
      </c>
      <c r="O311" s="37">
        <f>IF(C$13&gt;0,$C252*O$281*24*Input!$F$60/C$13,0)</f>
        <v>-10.585210117746126</v>
      </c>
      <c r="P311" s="37">
        <f>IF(D$13&gt;0,$C252*P$281*24*Input!$F$60/D$13,0)</f>
        <v>-0.75180030274214127</v>
      </c>
      <c r="Q311" s="37">
        <f>IF(E$13&gt;0,$C252*Q$281*24*Input!$F$60/E$13,0)</f>
        <v>-0.13304081016323729</v>
      </c>
      <c r="S311" s="37">
        <f>IF(C$13&gt;0,$C252*S$281*24*Input!$F$60/C$13,0)</f>
        <v>-10.585210117746126</v>
      </c>
      <c r="T311" s="37">
        <f>IF(D$13&gt;0,$C252*T$281*24*Input!$F$60/D$13,0)</f>
        <v>-0.75180030274214127</v>
      </c>
      <c r="U311" s="37">
        <f>IF(E$13&gt;0,$C252*U$281*24*Input!$F$60/E$13,0)</f>
        <v>-0.13304081016323729</v>
      </c>
      <c r="W311" s="37">
        <f>IF(C$13&gt;0,$C252*W$281*24*Input!$F$60/C$13,0)</f>
        <v>-14.888709717698065</v>
      </c>
      <c r="X311" s="37">
        <f>IF(D$13&gt;0,$C252*X$281*24*Input!$F$60/D$13,0)</f>
        <v>-0.19793789499595785</v>
      </c>
      <c r="Y311" s="37">
        <f>IF(E$13&gt;0,$C252*Y$281*24*Input!$F$60/E$13,0)</f>
        <v>-6.2082169612860817E-2</v>
      </c>
      <c r="AA311" s="37">
        <f>IF(C$13&gt;0,$C252*AA$281*24*Input!$F$60/C$13,0)</f>
        <v>-10.585210117746126</v>
      </c>
      <c r="AB311" s="37">
        <f>IF(D$13&gt;0,$C252*AB$281*24*Input!$F$60/D$13,0)</f>
        <v>-0.75180030274214127</v>
      </c>
      <c r="AC311" s="37">
        <f>IF(E$13&gt;0,$C252*AC$281*24*Input!$F$60/E$13,0)</f>
        <v>-0.13304081016323729</v>
      </c>
      <c r="AE311" s="37">
        <f>IF(C$13&gt;0,$C252*AE$281*24*Input!$F$60/C$13,0)</f>
        <v>-10.585210117746126</v>
      </c>
      <c r="AF311" s="37">
        <f>IF(D$13&gt;0,$C252*AF$281*24*Input!$F$60/D$13,0)</f>
        <v>-0.75180030274214127</v>
      </c>
      <c r="AG311" s="37">
        <f>IF(E$13&gt;0,$C252*AG$281*24*Input!$F$60/E$13,0)</f>
        <v>-0.13304081016323729</v>
      </c>
      <c r="AI311" s="37">
        <f>IF(C$13&gt;0,$C252*AI$281*24*Input!$F$60/C$13,0)</f>
        <v>-10.585210117746126</v>
      </c>
      <c r="AJ311" s="37">
        <f>IF(D$13&gt;0,$C252*AJ$281*24*Input!$F$60/D$13,0)</f>
        <v>-0.75180030274214127</v>
      </c>
      <c r="AK311" s="37">
        <f>IF(E$13&gt;0,$C252*AK$281*24*Input!$F$60/E$13,0)</f>
        <v>-0.13304081016323729</v>
      </c>
      <c r="AL311" s="17"/>
    </row>
    <row r="313" spans="1:38" ht="21" customHeight="1" x14ac:dyDescent="0.3">
      <c r="A313" s="1" t="s">
        <v>665</v>
      </c>
    </row>
    <row r="314" spans="1:38" x14ac:dyDescent="0.25">
      <c r="A314" s="2" t="s">
        <v>381</v>
      </c>
    </row>
    <row r="315" spans="1:38" x14ac:dyDescent="0.25">
      <c r="A315" s="32" t="s">
        <v>666</v>
      </c>
    </row>
    <row r="316" spans="1:38" x14ac:dyDescent="0.25">
      <c r="A316" s="2" t="s">
        <v>667</v>
      </c>
    </row>
    <row r="318" spans="1:38" x14ac:dyDescent="0.25">
      <c r="B318" s="28" t="s">
        <v>150</v>
      </c>
      <c r="C318" s="15" t="s">
        <v>348</v>
      </c>
      <c r="D318" s="15" t="s">
        <v>349</v>
      </c>
      <c r="E318" s="15" t="s">
        <v>350</v>
      </c>
      <c r="F318" s="28" t="s">
        <v>151</v>
      </c>
      <c r="G318" s="15" t="s">
        <v>348</v>
      </c>
      <c r="H318" s="15" t="s">
        <v>349</v>
      </c>
      <c r="I318" s="15" t="s">
        <v>350</v>
      </c>
      <c r="J318" s="28" t="s">
        <v>152</v>
      </c>
      <c r="K318" s="15" t="s">
        <v>348</v>
      </c>
      <c r="L318" s="15" t="s">
        <v>349</v>
      </c>
      <c r="M318" s="15" t="s">
        <v>350</v>
      </c>
      <c r="N318" s="28" t="s">
        <v>153</v>
      </c>
      <c r="O318" s="15" t="s">
        <v>348</v>
      </c>
      <c r="P318" s="15" t="s">
        <v>349</v>
      </c>
      <c r="Q318" s="15" t="s">
        <v>350</v>
      </c>
      <c r="R318" s="28" t="s">
        <v>154</v>
      </c>
      <c r="S318" s="15" t="s">
        <v>348</v>
      </c>
      <c r="T318" s="15" t="s">
        <v>349</v>
      </c>
      <c r="U318" s="15" t="s">
        <v>350</v>
      </c>
      <c r="V318" s="28" t="s">
        <v>159</v>
      </c>
      <c r="W318" s="15" t="s">
        <v>348</v>
      </c>
      <c r="X318" s="15" t="s">
        <v>349</v>
      </c>
      <c r="Y318" s="15" t="s">
        <v>350</v>
      </c>
      <c r="Z318" s="28" t="s">
        <v>155</v>
      </c>
      <c r="AA318" s="15" t="s">
        <v>348</v>
      </c>
      <c r="AB318" s="15" t="s">
        <v>349</v>
      </c>
      <c r="AC318" s="15" t="s">
        <v>350</v>
      </c>
      <c r="AD318" s="28" t="s">
        <v>156</v>
      </c>
      <c r="AE318" s="15" t="s">
        <v>348</v>
      </c>
      <c r="AF318" s="15" t="s">
        <v>349</v>
      </c>
      <c r="AG318" s="15" t="s">
        <v>350</v>
      </c>
      <c r="AH318" s="28" t="s">
        <v>157</v>
      </c>
      <c r="AI318" s="15" t="s">
        <v>348</v>
      </c>
      <c r="AJ318" s="15" t="s">
        <v>349</v>
      </c>
      <c r="AK318" s="15" t="s">
        <v>350</v>
      </c>
    </row>
    <row r="319" spans="1:38" x14ac:dyDescent="0.25">
      <c r="A319" s="4" t="s">
        <v>182</v>
      </c>
      <c r="C319" s="38">
        <f>C$292</f>
        <v>24.879066741541465</v>
      </c>
      <c r="D319" s="38">
        <f>D$292</f>
        <v>0</v>
      </c>
      <c r="E319" s="38">
        <f>E$292</f>
        <v>0</v>
      </c>
      <c r="G319" s="38">
        <f>G$292</f>
        <v>22.096836776788784</v>
      </c>
      <c r="H319" s="38">
        <f>H$292</f>
        <v>0.29376631290404859</v>
      </c>
      <c r="I319" s="38">
        <f>I$292</f>
        <v>9.2138243991259611E-2</v>
      </c>
      <c r="K319" s="38">
        <f>K$292</f>
        <v>22.096836776788784</v>
      </c>
      <c r="L319" s="38">
        <f>L$292</f>
        <v>0.29376631290404859</v>
      </c>
      <c r="M319" s="38">
        <f>M$292</f>
        <v>9.2138243991259611E-2</v>
      </c>
      <c r="O319" s="38">
        <f>O$292</f>
        <v>15.709867722238894</v>
      </c>
      <c r="P319" s="38">
        <f>P$292</f>
        <v>1.1157722121942157</v>
      </c>
      <c r="Q319" s="38">
        <f>Q$292</f>
        <v>0.19745035819553311</v>
      </c>
      <c r="S319" s="38">
        <f>S$292</f>
        <v>15.709867722238894</v>
      </c>
      <c r="T319" s="38">
        <f>T$292</f>
        <v>1.1157722121942157</v>
      </c>
      <c r="U319" s="38">
        <f>U$292</f>
        <v>0.19745035819553311</v>
      </c>
      <c r="W319" s="38">
        <f>W$292</f>
        <v>22.096836776788784</v>
      </c>
      <c r="X319" s="38">
        <f>X$292</f>
        <v>0.29376631290404859</v>
      </c>
      <c r="Y319" s="38">
        <f>Y$292</f>
        <v>9.2138243991259611E-2</v>
      </c>
      <c r="AA319" s="38">
        <f>AA$292</f>
        <v>15.709867722238894</v>
      </c>
      <c r="AB319" s="38">
        <f>AB$292</f>
        <v>1.1157722121942157</v>
      </c>
      <c r="AC319" s="38">
        <f>AC$292</f>
        <v>0.19745035819553311</v>
      </c>
      <c r="AE319" s="38">
        <f>AE$292</f>
        <v>15.709867722238894</v>
      </c>
      <c r="AF319" s="38">
        <f>AF$292</f>
        <v>1.1157722121942157</v>
      </c>
      <c r="AG319" s="38">
        <f>AG$292</f>
        <v>0.19745035819553311</v>
      </c>
      <c r="AI319" s="38">
        <f>AI$292</f>
        <v>15.709867722238894</v>
      </c>
      <c r="AJ319" s="38">
        <f>AJ$292</f>
        <v>1.1157722121942157</v>
      </c>
      <c r="AK319" s="38">
        <f>AK$292</f>
        <v>0.19745035819553311</v>
      </c>
      <c r="AL319" s="17"/>
    </row>
    <row r="320" spans="1:38" x14ac:dyDescent="0.25">
      <c r="A320" s="4" t="s">
        <v>184</v>
      </c>
      <c r="C320" s="38">
        <f>C$295</f>
        <v>26.87408563702261</v>
      </c>
      <c r="D320" s="38">
        <f>D$295</f>
        <v>0</v>
      </c>
      <c r="E320" s="38">
        <f>E$295</f>
        <v>0</v>
      </c>
      <c r="G320" s="38">
        <f>G$295</f>
        <v>23.868752393962975</v>
      </c>
      <c r="H320" s="38">
        <f>H$295</f>
        <v>0.31732303837079701</v>
      </c>
      <c r="I320" s="38">
        <f>I$295</f>
        <v>9.9526685835506445E-2</v>
      </c>
      <c r="K320" s="38">
        <f>K$295</f>
        <v>23.868752393962975</v>
      </c>
      <c r="L320" s="38">
        <f>L$295</f>
        <v>0.31732303837079701</v>
      </c>
      <c r="M320" s="38">
        <f>M$295</f>
        <v>9.9526685835506445E-2</v>
      </c>
      <c r="O320" s="38">
        <f>O$295</f>
        <v>16.969620882474761</v>
      </c>
      <c r="P320" s="38">
        <f>P$295</f>
        <v>1.2052444849890571</v>
      </c>
      <c r="Q320" s="38">
        <f>Q$295</f>
        <v>0.21328363681534052</v>
      </c>
      <c r="S320" s="38">
        <f>S$295</f>
        <v>16.969620882474761</v>
      </c>
      <c r="T320" s="38">
        <f>T$295</f>
        <v>1.2052444849890571</v>
      </c>
      <c r="U320" s="38">
        <f>U$295</f>
        <v>0.21328363681534052</v>
      </c>
      <c r="W320" s="38">
        <f>W$295</f>
        <v>23.868752393962975</v>
      </c>
      <c r="X320" s="38">
        <f>X$295</f>
        <v>0.31732303837079701</v>
      </c>
      <c r="Y320" s="38">
        <f>Y$295</f>
        <v>9.9526685835506445E-2</v>
      </c>
      <c r="AA320" s="38">
        <f>AA$295</f>
        <v>16.969620882474761</v>
      </c>
      <c r="AB320" s="38">
        <f>AB$295</f>
        <v>1.2052444849890571</v>
      </c>
      <c r="AC320" s="38">
        <f>AC$295</f>
        <v>0.21328363681534052</v>
      </c>
      <c r="AE320" s="38">
        <f>AE$295</f>
        <v>16.969620882474761</v>
      </c>
      <c r="AF320" s="38">
        <f>AF$295</f>
        <v>1.2052444849890571</v>
      </c>
      <c r="AG320" s="38">
        <f>AG$295</f>
        <v>0.21328363681534052</v>
      </c>
      <c r="AI320" s="38">
        <f>AI$295</f>
        <v>16.969620882474761</v>
      </c>
      <c r="AJ320" s="38">
        <f>AJ$295</f>
        <v>1.2052444849890571</v>
      </c>
      <c r="AK320" s="38">
        <f>AK$295</f>
        <v>0.21328363681534052</v>
      </c>
      <c r="AL320" s="17"/>
    </row>
    <row r="322" spans="1:4" ht="21" customHeight="1" x14ac:dyDescent="0.3">
      <c r="A322" s="1" t="s">
        <v>668</v>
      </c>
    </row>
    <row r="323" spans="1:4" x14ac:dyDescent="0.25">
      <c r="A323" s="2" t="s">
        <v>381</v>
      </c>
    </row>
    <row r="324" spans="1:4" x14ac:dyDescent="0.25">
      <c r="A324" s="32" t="s">
        <v>608</v>
      </c>
    </row>
    <row r="325" spans="1:4" x14ac:dyDescent="0.25">
      <c r="A325" s="2" t="s">
        <v>667</v>
      </c>
    </row>
    <row r="327" spans="1:4" ht="45" x14ac:dyDescent="0.25">
      <c r="B327" s="15" t="s">
        <v>669</v>
      </c>
    </row>
    <row r="328" spans="1:4" x14ac:dyDescent="0.25">
      <c r="A328" s="4" t="s">
        <v>182</v>
      </c>
      <c r="B328" s="42">
        <f>B$128</f>
        <v>4363552.1514066206</v>
      </c>
      <c r="C328" s="17"/>
    </row>
    <row r="329" spans="1:4" x14ac:dyDescent="0.25">
      <c r="A329" s="4" t="s">
        <v>184</v>
      </c>
      <c r="B329" s="42">
        <f>B$131</f>
        <v>1193652.4726898838</v>
      </c>
      <c r="C329" s="17"/>
    </row>
    <row r="331" spans="1:4" ht="21" customHeight="1" x14ac:dyDescent="0.3">
      <c r="A331" s="1" t="s">
        <v>670</v>
      </c>
    </row>
    <row r="332" spans="1:4" x14ac:dyDescent="0.25">
      <c r="A332" s="2" t="s">
        <v>381</v>
      </c>
    </row>
    <row r="333" spans="1:4" x14ac:dyDescent="0.25">
      <c r="A333" s="32" t="s">
        <v>671</v>
      </c>
    </row>
    <row r="334" spans="1:4" x14ac:dyDescent="0.25">
      <c r="A334" s="2" t="s">
        <v>667</v>
      </c>
    </row>
    <row r="336" spans="1:4" x14ac:dyDescent="0.25">
      <c r="B336" s="15" t="s">
        <v>348</v>
      </c>
      <c r="C336" s="15" t="s">
        <v>349</v>
      </c>
      <c r="D336" s="15" t="s">
        <v>350</v>
      </c>
    </row>
    <row r="337" spans="1:11" x14ac:dyDescent="0.25">
      <c r="A337" s="4" t="s">
        <v>182</v>
      </c>
      <c r="B337" s="39">
        <f>B$43</f>
        <v>8.8555072718469185E-2</v>
      </c>
      <c r="C337" s="39">
        <f>C$43</f>
        <v>0.46128307931440848</v>
      </c>
      <c r="D337" s="39">
        <f>D$43</f>
        <v>0.45016184796712233</v>
      </c>
      <c r="E337" s="17"/>
    </row>
    <row r="338" spans="1:11" x14ac:dyDescent="0.25">
      <c r="A338" s="4" t="s">
        <v>184</v>
      </c>
      <c r="B338" s="39">
        <f>B$46</f>
        <v>6.2829392495848249E-2</v>
      </c>
      <c r="C338" s="39">
        <f>C$46</f>
        <v>0.56398179418562744</v>
      </c>
      <c r="D338" s="39">
        <f>D$46</f>
        <v>0.37318881331852438</v>
      </c>
      <c r="E338" s="17"/>
    </row>
    <row r="340" spans="1:11" ht="21" customHeight="1" x14ac:dyDescent="0.3">
      <c r="A340" s="1" t="s">
        <v>672</v>
      </c>
    </row>
    <row r="341" spans="1:11" x14ac:dyDescent="0.25">
      <c r="A341" s="2" t="s">
        <v>381</v>
      </c>
    </row>
    <row r="342" spans="1:11" x14ac:dyDescent="0.25">
      <c r="A342" s="32" t="s">
        <v>673</v>
      </c>
    </row>
    <row r="343" spans="1:11" x14ac:dyDescent="0.25">
      <c r="A343" s="32" t="s">
        <v>674</v>
      </c>
    </row>
    <row r="344" spans="1:11" x14ac:dyDescent="0.25">
      <c r="A344" s="2" t="s">
        <v>394</v>
      </c>
    </row>
    <row r="346" spans="1:11" x14ac:dyDescent="0.25">
      <c r="B346" s="15" t="s">
        <v>150</v>
      </c>
      <c r="C346" s="15" t="s">
        <v>151</v>
      </c>
      <c r="D346" s="15" t="s">
        <v>152</v>
      </c>
      <c r="E346" s="15" t="s">
        <v>153</v>
      </c>
      <c r="F346" s="15" t="s">
        <v>154</v>
      </c>
      <c r="G346" s="15" t="s">
        <v>159</v>
      </c>
      <c r="H346" s="15" t="s">
        <v>155</v>
      </c>
      <c r="I346" s="15" t="s">
        <v>156</v>
      </c>
      <c r="J346" s="15" t="s">
        <v>157</v>
      </c>
    </row>
    <row r="347" spans="1:11" x14ac:dyDescent="0.25">
      <c r="A347" s="4" t="s">
        <v>182</v>
      </c>
      <c r="B347" s="37">
        <f>SUMPRODUCT($C319:$E319,$B337:$D337)</f>
        <v>2.2031675644648527</v>
      </c>
      <c r="C347" s="37">
        <f>SUMPRODUCT($G319:$I319,$B337:$D337)</f>
        <v>2.1337735392154453</v>
      </c>
      <c r="D347" s="37">
        <f>SUMPRODUCT($K319:$M319,$B337:$D337)</f>
        <v>2.1337735392154453</v>
      </c>
      <c r="E347" s="37">
        <f>SUMPRODUCT($O319:$Q319,$B337:$D337)</f>
        <v>1.9947599385218662</v>
      </c>
      <c r="F347" s="37">
        <f>SUMPRODUCT($S319:$U319,$B337:$D337)</f>
        <v>1.9947599385218662</v>
      </c>
      <c r="G347" s="37">
        <f>SUMPRODUCT($W319:$Y319,$B337:$D337)</f>
        <v>2.1337735392154453</v>
      </c>
      <c r="H347" s="37">
        <f>SUMPRODUCT($AA319:$AC319,$B337:$D337)</f>
        <v>1.9947599385218662</v>
      </c>
      <c r="I347" s="37">
        <f>SUMPRODUCT($AE319:$AG319,$B337:$D337)</f>
        <v>1.9947599385218662</v>
      </c>
      <c r="J347" s="37">
        <f>SUMPRODUCT($AI319:$AK319,$B337:$D337)</f>
        <v>1.9947599385218662</v>
      </c>
      <c r="K347" s="17"/>
    </row>
    <row r="348" spans="1:11" x14ac:dyDescent="0.25">
      <c r="A348" s="4" t="s">
        <v>184</v>
      </c>
      <c r="B348" s="37">
        <f>SUMPRODUCT($C320:$E320,$B338:$D338)</f>
        <v>1.6884824744555316</v>
      </c>
      <c r="C348" s="37">
        <f>SUMPRODUCT($G320:$I320,$B338:$D338)</f>
        <v>1.7157658748437923</v>
      </c>
      <c r="D348" s="37">
        <f>SUMPRODUCT($K320:$M320,$B338:$D338)</f>
        <v>1.7157658748437923</v>
      </c>
      <c r="E348" s="37">
        <f>SUMPRODUCT($O320:$Q320,$B338:$D338)</f>
        <v>1.8255219853305866</v>
      </c>
      <c r="F348" s="37">
        <f>SUMPRODUCT($S320:$U320,$B338:$D338)</f>
        <v>1.8255219853305866</v>
      </c>
      <c r="G348" s="37">
        <f>SUMPRODUCT($W320:$Y320,$B338:$D338)</f>
        <v>1.7157658748437923</v>
      </c>
      <c r="H348" s="37">
        <f>SUMPRODUCT($AA320:$AC320,$B338:$D338)</f>
        <v>1.8255219853305866</v>
      </c>
      <c r="I348" s="37">
        <f>SUMPRODUCT($AE320:$AG320,$B338:$D338)</f>
        <v>1.8255219853305866</v>
      </c>
      <c r="J348" s="37">
        <f>SUMPRODUCT($AI320:$AK320,$B338:$D338)</f>
        <v>1.8255219853305866</v>
      </c>
      <c r="K348" s="17"/>
    </row>
    <row r="350" spans="1:11" ht="21" customHeight="1" x14ac:dyDescent="0.3">
      <c r="A350" s="1" t="s">
        <v>675</v>
      </c>
    </row>
    <row r="351" spans="1:11" x14ac:dyDescent="0.25">
      <c r="A351" s="2" t="s">
        <v>381</v>
      </c>
    </row>
    <row r="352" spans="1:11" x14ac:dyDescent="0.25">
      <c r="A352" s="32" t="s">
        <v>608</v>
      </c>
    </row>
    <row r="353" spans="1:38" x14ac:dyDescent="0.25">
      <c r="A353" s="2" t="s">
        <v>667</v>
      </c>
    </row>
    <row r="355" spans="1:38" ht="45" x14ac:dyDescent="0.25">
      <c r="B355" s="15" t="s">
        <v>676</v>
      </c>
    </row>
    <row r="356" spans="1:38" x14ac:dyDescent="0.25">
      <c r="A356" s="4" t="s">
        <v>183</v>
      </c>
      <c r="B356" s="42">
        <f>B$129</f>
        <v>1243068.0277736415</v>
      </c>
      <c r="C356" s="17"/>
    </row>
    <row r="357" spans="1:38" x14ac:dyDescent="0.25">
      <c r="A357" s="4" t="s">
        <v>185</v>
      </c>
      <c r="B357" s="42">
        <f>B$132</f>
        <v>580208.70393137098</v>
      </c>
      <c r="C357" s="17"/>
    </row>
    <row r="359" spans="1:38" ht="21" customHeight="1" x14ac:dyDescent="0.3">
      <c r="A359" s="1" t="s">
        <v>677</v>
      </c>
    </row>
    <row r="360" spans="1:38" x14ac:dyDescent="0.25">
      <c r="A360" s="2" t="s">
        <v>381</v>
      </c>
    </row>
    <row r="361" spans="1:38" x14ac:dyDescent="0.25">
      <c r="A361" s="32" t="s">
        <v>666</v>
      </c>
    </row>
    <row r="362" spans="1:38" x14ac:dyDescent="0.25">
      <c r="A362" s="2" t="s">
        <v>667</v>
      </c>
    </row>
    <row r="364" spans="1:38" x14ac:dyDescent="0.25">
      <c r="B364" s="28" t="s">
        <v>150</v>
      </c>
      <c r="C364" s="15" t="s">
        <v>348</v>
      </c>
      <c r="D364" s="15" t="s">
        <v>349</v>
      </c>
      <c r="E364" s="15" t="s">
        <v>350</v>
      </c>
      <c r="F364" s="28" t="s">
        <v>151</v>
      </c>
      <c r="G364" s="15" t="s">
        <v>348</v>
      </c>
      <c r="H364" s="15" t="s">
        <v>349</v>
      </c>
      <c r="I364" s="15" t="s">
        <v>350</v>
      </c>
      <c r="J364" s="28" t="s">
        <v>152</v>
      </c>
      <c r="K364" s="15" t="s">
        <v>348</v>
      </c>
      <c r="L364" s="15" t="s">
        <v>349</v>
      </c>
      <c r="M364" s="15" t="s">
        <v>350</v>
      </c>
      <c r="N364" s="28" t="s">
        <v>153</v>
      </c>
      <c r="O364" s="15" t="s">
        <v>348</v>
      </c>
      <c r="P364" s="15" t="s">
        <v>349</v>
      </c>
      <c r="Q364" s="15" t="s">
        <v>350</v>
      </c>
      <c r="R364" s="28" t="s">
        <v>154</v>
      </c>
      <c r="S364" s="15" t="s">
        <v>348</v>
      </c>
      <c r="T364" s="15" t="s">
        <v>349</v>
      </c>
      <c r="U364" s="15" t="s">
        <v>350</v>
      </c>
      <c r="V364" s="28" t="s">
        <v>159</v>
      </c>
      <c r="W364" s="15" t="s">
        <v>348</v>
      </c>
      <c r="X364" s="15" t="s">
        <v>349</v>
      </c>
      <c r="Y364" s="15" t="s">
        <v>350</v>
      </c>
      <c r="Z364" s="28" t="s">
        <v>155</v>
      </c>
      <c r="AA364" s="15" t="s">
        <v>348</v>
      </c>
      <c r="AB364" s="15" t="s">
        <v>349</v>
      </c>
      <c r="AC364" s="15" t="s">
        <v>350</v>
      </c>
      <c r="AD364" s="28" t="s">
        <v>156</v>
      </c>
      <c r="AE364" s="15" t="s">
        <v>348</v>
      </c>
      <c r="AF364" s="15" t="s">
        <v>349</v>
      </c>
      <c r="AG364" s="15" t="s">
        <v>350</v>
      </c>
      <c r="AH364" s="28" t="s">
        <v>157</v>
      </c>
      <c r="AI364" s="15" t="s">
        <v>348</v>
      </c>
      <c r="AJ364" s="15" t="s">
        <v>349</v>
      </c>
      <c r="AK364" s="15" t="s">
        <v>350</v>
      </c>
    </row>
    <row r="365" spans="1:38" x14ac:dyDescent="0.25">
      <c r="A365" s="4" t="s">
        <v>183</v>
      </c>
      <c r="C365" s="38">
        <f>C$293</f>
        <v>24.675634852222998</v>
      </c>
      <c r="D365" s="38">
        <f>D$293</f>
        <v>0</v>
      </c>
      <c r="E365" s="38">
        <f>E$293</f>
        <v>0</v>
      </c>
      <c r="G365" s="38">
        <f>G$293</f>
        <v>21.916154707796295</v>
      </c>
      <c r="H365" s="38">
        <f>H$293</f>
        <v>0.29136423582161497</v>
      </c>
      <c r="I365" s="38">
        <f>I$293</f>
        <v>9.1384845270626305E-2</v>
      </c>
      <c r="K365" s="38">
        <f>K$293</f>
        <v>21.916154707796295</v>
      </c>
      <c r="L365" s="38">
        <f>L$293</f>
        <v>0.29136423582161497</v>
      </c>
      <c r="M365" s="38">
        <f>M$293</f>
        <v>9.1384845270626305E-2</v>
      </c>
      <c r="O365" s="38">
        <f>O$293</f>
        <v>15.581410810857161</v>
      </c>
      <c r="P365" s="38">
        <f>P$293</f>
        <v>1.1066487329442201</v>
      </c>
      <c r="Q365" s="38">
        <f>Q$293</f>
        <v>0.19583584026238024</v>
      </c>
      <c r="S365" s="38">
        <f>S$293</f>
        <v>15.581410810857161</v>
      </c>
      <c r="T365" s="38">
        <f>T$293</f>
        <v>1.1066487329442201</v>
      </c>
      <c r="U365" s="38">
        <f>U$293</f>
        <v>0.19583584026238024</v>
      </c>
      <c r="W365" s="38">
        <f>W$293</f>
        <v>21.916154707796295</v>
      </c>
      <c r="X365" s="38">
        <f>X$293</f>
        <v>0.29136423582161497</v>
      </c>
      <c r="Y365" s="38">
        <f>Y$293</f>
        <v>9.1384845270626305E-2</v>
      </c>
      <c r="AA365" s="38">
        <f>AA$293</f>
        <v>15.581410810857161</v>
      </c>
      <c r="AB365" s="38">
        <f>AB$293</f>
        <v>1.1066487329442201</v>
      </c>
      <c r="AC365" s="38">
        <f>AC$293</f>
        <v>0.19583584026238024</v>
      </c>
      <c r="AE365" s="38">
        <f>AE$293</f>
        <v>15.581410810857161</v>
      </c>
      <c r="AF365" s="38">
        <f>AF$293</f>
        <v>1.1066487329442201</v>
      </c>
      <c r="AG365" s="38">
        <f>AG$293</f>
        <v>0.19583584026238024</v>
      </c>
      <c r="AI365" s="38">
        <f>AI$293</f>
        <v>15.581410810857161</v>
      </c>
      <c r="AJ365" s="38">
        <f>AJ$293</f>
        <v>1.1066487329442201</v>
      </c>
      <c r="AK365" s="38">
        <f>AK$293</f>
        <v>0.19583584026238024</v>
      </c>
      <c r="AL365" s="17"/>
    </row>
    <row r="366" spans="1:38" x14ac:dyDescent="0.25">
      <c r="A366" s="4" t="s">
        <v>185</v>
      </c>
      <c r="C366" s="38">
        <f>C$296</f>
        <v>24.600854080367448</v>
      </c>
      <c r="D366" s="38">
        <f>D$296</f>
        <v>0</v>
      </c>
      <c r="E366" s="38">
        <f>E$296</f>
        <v>0</v>
      </c>
      <c r="G366" s="38">
        <f>G$296</f>
        <v>21.849736681473178</v>
      </c>
      <c r="H366" s="38">
        <f>H$296</f>
        <v>0.29048124162201983</v>
      </c>
      <c r="I366" s="38">
        <f>I$296</f>
        <v>9.1107898829079242E-2</v>
      </c>
      <c r="K366" s="38">
        <f>K$296</f>
        <v>21.849736681473178</v>
      </c>
      <c r="L366" s="38">
        <f>L$296</f>
        <v>0.29048124162201983</v>
      </c>
      <c r="M366" s="38">
        <f>M$296</f>
        <v>9.1107898829079242E-2</v>
      </c>
      <c r="O366" s="38">
        <f>O$296</f>
        <v>15.53419054949358</v>
      </c>
      <c r="P366" s="38">
        <f>P$296</f>
        <v>1.1032949774312153</v>
      </c>
      <c r="Q366" s="38">
        <f>Q$296</f>
        <v>0.19524234974513502</v>
      </c>
      <c r="S366" s="38">
        <f>S$296</f>
        <v>15.53419054949358</v>
      </c>
      <c r="T366" s="38">
        <f>T$296</f>
        <v>1.1032949774312153</v>
      </c>
      <c r="U366" s="38">
        <f>U$296</f>
        <v>0.19524234974513502</v>
      </c>
      <c r="W366" s="38">
        <f>W$296</f>
        <v>21.849736681473178</v>
      </c>
      <c r="X366" s="38">
        <f>X$296</f>
        <v>0.29048124162201983</v>
      </c>
      <c r="Y366" s="38">
        <f>Y$296</f>
        <v>9.1107898829079242E-2</v>
      </c>
      <c r="AA366" s="38">
        <f>AA$296</f>
        <v>15.53419054949358</v>
      </c>
      <c r="AB366" s="38">
        <f>AB$296</f>
        <v>1.1032949774312153</v>
      </c>
      <c r="AC366" s="38">
        <f>AC$296</f>
        <v>0.19524234974513502</v>
      </c>
      <c r="AE366" s="38">
        <f>AE$296</f>
        <v>15.53419054949358</v>
      </c>
      <c r="AF366" s="38">
        <f>AF$296</f>
        <v>1.1032949774312153</v>
      </c>
      <c r="AG366" s="38">
        <f>AG$296</f>
        <v>0.19524234974513502</v>
      </c>
      <c r="AI366" s="38">
        <f>AI$296</f>
        <v>15.53419054949358</v>
      </c>
      <c r="AJ366" s="38">
        <f>AJ$296</f>
        <v>1.1032949774312153</v>
      </c>
      <c r="AK366" s="38">
        <f>AK$296</f>
        <v>0.19524234974513502</v>
      </c>
      <c r="AL366" s="17"/>
    </row>
    <row r="368" spans="1:38" ht="21" customHeight="1" x14ac:dyDescent="0.3">
      <c r="A368" s="1" t="s">
        <v>678</v>
      </c>
    </row>
    <row r="369" spans="1:11" x14ac:dyDescent="0.25">
      <c r="A369" s="2" t="s">
        <v>381</v>
      </c>
    </row>
    <row r="370" spans="1:11" x14ac:dyDescent="0.25">
      <c r="A370" s="32" t="s">
        <v>679</v>
      </c>
    </row>
    <row r="371" spans="1:11" x14ac:dyDescent="0.25">
      <c r="A371" s="2" t="s">
        <v>667</v>
      </c>
    </row>
    <row r="373" spans="1:11" x14ac:dyDescent="0.25">
      <c r="B373" s="15" t="s">
        <v>348</v>
      </c>
      <c r="C373" s="15" t="s">
        <v>349</v>
      </c>
      <c r="D373" s="15" t="s">
        <v>350</v>
      </c>
    </row>
    <row r="374" spans="1:11" x14ac:dyDescent="0.25">
      <c r="A374" s="4" t="s">
        <v>183</v>
      </c>
      <c r="B374" s="39">
        <f>B$193</f>
        <v>5.4768759907244273E-2</v>
      </c>
      <c r="C374" s="39">
        <f>C$193</f>
        <v>0.28633187308554259</v>
      </c>
      <c r="D374" s="39">
        <f>D$193</f>
        <v>0.65889936700721308</v>
      </c>
      <c r="E374" s="17"/>
    </row>
    <row r="375" spans="1:11" x14ac:dyDescent="0.25">
      <c r="A375" s="4" t="s">
        <v>185</v>
      </c>
      <c r="B375" s="39">
        <f>B$194</f>
        <v>5.8165949549253547E-2</v>
      </c>
      <c r="C375" s="39">
        <f>C$194</f>
        <v>0.45097889090104876</v>
      </c>
      <c r="D375" s="39">
        <f>D$194</f>
        <v>0.49085515954969777</v>
      </c>
      <c r="E375" s="17"/>
    </row>
    <row r="377" spans="1:11" ht="21" customHeight="1" x14ac:dyDescent="0.3">
      <c r="A377" s="1" t="s">
        <v>680</v>
      </c>
    </row>
    <row r="378" spans="1:11" x14ac:dyDescent="0.25">
      <c r="A378" s="2" t="s">
        <v>381</v>
      </c>
    </row>
    <row r="379" spans="1:11" x14ac:dyDescent="0.25">
      <c r="A379" s="32" t="s">
        <v>681</v>
      </c>
    </row>
    <row r="380" spans="1:11" x14ac:dyDescent="0.25">
      <c r="A380" s="32" t="s">
        <v>682</v>
      </c>
    </row>
    <row r="381" spans="1:11" x14ac:dyDescent="0.25">
      <c r="A381" s="2" t="s">
        <v>394</v>
      </c>
    </row>
    <row r="383" spans="1:11" x14ac:dyDescent="0.25">
      <c r="B383" s="15" t="s">
        <v>150</v>
      </c>
      <c r="C383" s="15" t="s">
        <v>151</v>
      </c>
      <c r="D383" s="15" t="s">
        <v>152</v>
      </c>
      <c r="E383" s="15" t="s">
        <v>153</v>
      </c>
      <c r="F383" s="15" t="s">
        <v>154</v>
      </c>
      <c r="G383" s="15" t="s">
        <v>159</v>
      </c>
      <c r="H383" s="15" t="s">
        <v>155</v>
      </c>
      <c r="I383" s="15" t="s">
        <v>156</v>
      </c>
      <c r="J383" s="15" t="s">
        <v>157</v>
      </c>
    </row>
    <row r="384" spans="1:11" x14ac:dyDescent="0.25">
      <c r="A384" s="4" t="s">
        <v>183</v>
      </c>
      <c r="B384" s="37">
        <f>SUMPRODUCT($C365:$E365,$B374:$D374)</f>
        <v>1.3514539207802305</v>
      </c>
      <c r="C384" s="37">
        <f>SUMPRODUCT($G365:$I365,$B374:$D374)</f>
        <v>1.3439608993771253</v>
      </c>
      <c r="D384" s="37">
        <f>SUMPRODUCT($K365:$M365,$B374:$D374)</f>
        <v>1.3439608993771253</v>
      </c>
      <c r="E384" s="37">
        <f>SUMPRODUCT($O365:$Q365,$B374:$D374)</f>
        <v>1.2992794634538452</v>
      </c>
      <c r="F384" s="37">
        <f>SUMPRODUCT($S365:$U365,$B374:$D374)</f>
        <v>1.2992794634538452</v>
      </c>
      <c r="G384" s="37">
        <f>SUMPRODUCT($W365:$Y365,$B374:$D374)</f>
        <v>1.3439608993771253</v>
      </c>
      <c r="H384" s="37">
        <f>SUMPRODUCT($AA365:$AC365,$B374:$D374)</f>
        <v>1.2992794634538452</v>
      </c>
      <c r="I384" s="37">
        <f>SUMPRODUCT($AE365:$AG365,$B374:$D374)</f>
        <v>1.2992794634538452</v>
      </c>
      <c r="J384" s="37">
        <f>SUMPRODUCT($AI365:$AK365,$B374:$D374)</f>
        <v>1.2992794634538452</v>
      </c>
      <c r="K384" s="17"/>
    </row>
    <row r="385" spans="1:11" x14ac:dyDescent="0.25">
      <c r="A385" s="4" t="s">
        <v>185</v>
      </c>
      <c r="B385" s="37">
        <f>SUMPRODUCT($C366:$E366,$B375:$D375)</f>
        <v>1.4309320373072012</v>
      </c>
      <c r="C385" s="37">
        <f>SUMPRODUCT($G366:$I366,$B375:$D375)</f>
        <v>1.4466323718692868</v>
      </c>
      <c r="D385" s="37">
        <f>SUMPRODUCT($K366:$M366,$B375:$D375)</f>
        <v>1.4466323718692868</v>
      </c>
      <c r="E385" s="37">
        <f>SUMPRODUCT($O366:$Q366,$B375:$D375)</f>
        <v>1.4969594037839682</v>
      </c>
      <c r="F385" s="37">
        <f>SUMPRODUCT($S366:$U366,$B375:$D375)</f>
        <v>1.4969594037839682</v>
      </c>
      <c r="G385" s="37">
        <f>SUMPRODUCT($W366:$Y366,$B375:$D375)</f>
        <v>1.4466323718692868</v>
      </c>
      <c r="H385" s="37">
        <f>SUMPRODUCT($AA366:$AC366,$B375:$D375)</f>
        <v>1.4969594037839682</v>
      </c>
      <c r="I385" s="37">
        <f>SUMPRODUCT($AE366:$AG366,$B375:$D375)</f>
        <v>1.4969594037839682</v>
      </c>
      <c r="J385" s="37">
        <f>SUMPRODUCT($AI366:$AK366,$B375:$D375)</f>
        <v>1.4969594037839682</v>
      </c>
      <c r="K385" s="17"/>
    </row>
    <row r="387" spans="1:11" ht="21" customHeight="1" x14ac:dyDescent="0.3">
      <c r="A387" s="1" t="s">
        <v>683</v>
      </c>
    </row>
    <row r="388" spans="1:11" x14ac:dyDescent="0.25">
      <c r="A388" s="2" t="s">
        <v>381</v>
      </c>
    </row>
    <row r="389" spans="1:11" x14ac:dyDescent="0.25">
      <c r="A389" s="32" t="s">
        <v>608</v>
      </c>
    </row>
    <row r="390" spans="1:11" x14ac:dyDescent="0.25">
      <c r="A390" s="2" t="s">
        <v>667</v>
      </c>
    </row>
    <row r="392" spans="1:11" ht="45" x14ac:dyDescent="0.25">
      <c r="B392" s="15" t="s">
        <v>684</v>
      </c>
    </row>
    <row r="393" spans="1:11" x14ac:dyDescent="0.25">
      <c r="A393" s="4" t="s">
        <v>228</v>
      </c>
      <c r="B393" s="42">
        <f>B$130</f>
        <v>49584.948626394573</v>
      </c>
      <c r="C393" s="17"/>
    </row>
    <row r="394" spans="1:11" x14ac:dyDescent="0.25">
      <c r="A394" s="4" t="s">
        <v>229</v>
      </c>
      <c r="B394" s="42">
        <f>B$133</f>
        <v>18696.270931315648</v>
      </c>
      <c r="C394" s="17"/>
    </row>
    <row r="396" spans="1:11" ht="21" customHeight="1" x14ac:dyDescent="0.3">
      <c r="A396" s="1" t="s">
        <v>685</v>
      </c>
    </row>
    <row r="397" spans="1:11" x14ac:dyDescent="0.25">
      <c r="A397" s="2" t="s">
        <v>381</v>
      </c>
    </row>
    <row r="398" spans="1:11" x14ac:dyDescent="0.25">
      <c r="A398" s="32" t="s">
        <v>666</v>
      </c>
    </row>
    <row r="399" spans="1:11" x14ac:dyDescent="0.25">
      <c r="A399" s="2" t="s">
        <v>667</v>
      </c>
    </row>
    <row r="401" spans="1:38" x14ac:dyDescent="0.25">
      <c r="B401" s="28" t="s">
        <v>150</v>
      </c>
      <c r="C401" s="15" t="s">
        <v>348</v>
      </c>
      <c r="D401" s="15" t="s">
        <v>349</v>
      </c>
      <c r="E401" s="15" t="s">
        <v>350</v>
      </c>
      <c r="F401" s="28" t="s">
        <v>151</v>
      </c>
      <c r="G401" s="15" t="s">
        <v>348</v>
      </c>
      <c r="H401" s="15" t="s">
        <v>349</v>
      </c>
      <c r="I401" s="15" t="s">
        <v>350</v>
      </c>
      <c r="J401" s="28" t="s">
        <v>152</v>
      </c>
      <c r="K401" s="15" t="s">
        <v>348</v>
      </c>
      <c r="L401" s="15" t="s">
        <v>349</v>
      </c>
      <c r="M401" s="15" t="s">
        <v>350</v>
      </c>
      <c r="N401" s="28" t="s">
        <v>153</v>
      </c>
      <c r="O401" s="15" t="s">
        <v>348</v>
      </c>
      <c r="P401" s="15" t="s">
        <v>349</v>
      </c>
      <c r="Q401" s="15" t="s">
        <v>350</v>
      </c>
      <c r="R401" s="28" t="s">
        <v>154</v>
      </c>
      <c r="S401" s="15" t="s">
        <v>348</v>
      </c>
      <c r="T401" s="15" t="s">
        <v>349</v>
      </c>
      <c r="U401" s="15" t="s">
        <v>350</v>
      </c>
      <c r="V401" s="28" t="s">
        <v>159</v>
      </c>
      <c r="W401" s="15" t="s">
        <v>348</v>
      </c>
      <c r="X401" s="15" t="s">
        <v>349</v>
      </c>
      <c r="Y401" s="15" t="s">
        <v>350</v>
      </c>
      <c r="Z401" s="28" t="s">
        <v>155</v>
      </c>
      <c r="AA401" s="15" t="s">
        <v>348</v>
      </c>
      <c r="AB401" s="15" t="s">
        <v>349</v>
      </c>
      <c r="AC401" s="15" t="s">
        <v>350</v>
      </c>
      <c r="AD401" s="28" t="s">
        <v>156</v>
      </c>
      <c r="AE401" s="15" t="s">
        <v>348</v>
      </c>
      <c r="AF401" s="15" t="s">
        <v>349</v>
      </c>
      <c r="AG401" s="15" t="s">
        <v>350</v>
      </c>
      <c r="AH401" s="28" t="s">
        <v>157</v>
      </c>
      <c r="AI401" s="15" t="s">
        <v>348</v>
      </c>
      <c r="AJ401" s="15" t="s">
        <v>349</v>
      </c>
      <c r="AK401" s="15" t="s">
        <v>350</v>
      </c>
    </row>
    <row r="402" spans="1:38" x14ac:dyDescent="0.25">
      <c r="A402" s="4" t="s">
        <v>228</v>
      </c>
      <c r="C402" s="38">
        <f>C$294</f>
        <v>16.763358778625953</v>
      </c>
      <c r="D402" s="38">
        <f>D$294</f>
        <v>0</v>
      </c>
      <c r="E402" s="38">
        <f>E$294</f>
        <v>0</v>
      </c>
      <c r="G402" s="38">
        <f>G$294</f>
        <v>14.888709717698065</v>
      </c>
      <c r="H402" s="38">
        <f>H$294</f>
        <v>0.19793789499595785</v>
      </c>
      <c r="I402" s="38">
        <f>I$294</f>
        <v>6.2082169612860817E-2</v>
      </c>
      <c r="K402" s="38">
        <f>K$294</f>
        <v>14.888709717698065</v>
      </c>
      <c r="L402" s="38">
        <f>L$294</f>
        <v>0.19793789499595785</v>
      </c>
      <c r="M402" s="38">
        <f>M$294</f>
        <v>6.2082169612860817E-2</v>
      </c>
      <c r="O402" s="38">
        <f>O$294</f>
        <v>10.585210117746126</v>
      </c>
      <c r="P402" s="38">
        <f>P$294</f>
        <v>0.75180030274214127</v>
      </c>
      <c r="Q402" s="38">
        <f>Q$294</f>
        <v>0.13304081016323729</v>
      </c>
      <c r="S402" s="38">
        <f>S$294</f>
        <v>10.585210117746126</v>
      </c>
      <c r="T402" s="38">
        <f>T$294</f>
        <v>0.75180030274214127</v>
      </c>
      <c r="U402" s="38">
        <f>U$294</f>
        <v>0.13304081016323729</v>
      </c>
      <c r="W402" s="38">
        <f>W$294</f>
        <v>14.888709717698065</v>
      </c>
      <c r="X402" s="38">
        <f>X$294</f>
        <v>0.19793789499595785</v>
      </c>
      <c r="Y402" s="38">
        <f>Y$294</f>
        <v>6.2082169612860817E-2</v>
      </c>
      <c r="AA402" s="38">
        <f>AA$294</f>
        <v>10.585210117746126</v>
      </c>
      <c r="AB402" s="38">
        <f>AB$294</f>
        <v>0.75180030274214127</v>
      </c>
      <c r="AC402" s="38">
        <f>AC$294</f>
        <v>0.13304081016323729</v>
      </c>
      <c r="AE402" s="38">
        <f>AE$294</f>
        <v>10.585210117746126</v>
      </c>
      <c r="AF402" s="38">
        <f>AF$294</f>
        <v>0.75180030274214127</v>
      </c>
      <c r="AG402" s="38">
        <f>AG$294</f>
        <v>0.13304081016323729</v>
      </c>
      <c r="AI402" s="38">
        <f>AI$294</f>
        <v>10.585210117746126</v>
      </c>
      <c r="AJ402" s="38">
        <f>AJ$294</f>
        <v>0.75180030274214127</v>
      </c>
      <c r="AK402" s="38">
        <f>AK$294</f>
        <v>0.13304081016323729</v>
      </c>
      <c r="AL402" s="17"/>
    </row>
    <row r="403" spans="1:38" x14ac:dyDescent="0.25">
      <c r="A403" s="4" t="s">
        <v>229</v>
      </c>
      <c r="C403" s="38">
        <f>C$297</f>
        <v>16.763358778625953</v>
      </c>
      <c r="D403" s="38">
        <f>D$297</f>
        <v>0</v>
      </c>
      <c r="E403" s="38">
        <f>E$297</f>
        <v>0</v>
      </c>
      <c r="G403" s="38">
        <f>G$297</f>
        <v>14.888709717698065</v>
      </c>
      <c r="H403" s="38">
        <f>H$297</f>
        <v>0.19793789499595785</v>
      </c>
      <c r="I403" s="38">
        <f>I$297</f>
        <v>6.2082169612860817E-2</v>
      </c>
      <c r="K403" s="38">
        <f>K$297</f>
        <v>14.888709717698065</v>
      </c>
      <c r="L403" s="38">
        <f>L$297</f>
        <v>0.19793789499595785</v>
      </c>
      <c r="M403" s="38">
        <f>M$297</f>
        <v>6.2082169612860817E-2</v>
      </c>
      <c r="O403" s="38">
        <f>O$297</f>
        <v>10.585210117746126</v>
      </c>
      <c r="P403" s="38">
        <f>P$297</f>
        <v>0.75180030274214127</v>
      </c>
      <c r="Q403" s="38">
        <f>Q$297</f>
        <v>0.13304081016323729</v>
      </c>
      <c r="S403" s="38">
        <f>S$297</f>
        <v>10.585210117746126</v>
      </c>
      <c r="T403" s="38">
        <f>T$297</f>
        <v>0.75180030274214127</v>
      </c>
      <c r="U403" s="38">
        <f>U$297</f>
        <v>0.13304081016323729</v>
      </c>
      <c r="W403" s="38">
        <f>W$297</f>
        <v>14.888709717698065</v>
      </c>
      <c r="X403" s="38">
        <f>X$297</f>
        <v>0.19793789499595785</v>
      </c>
      <c r="Y403" s="38">
        <f>Y$297</f>
        <v>6.2082169612860817E-2</v>
      </c>
      <c r="AA403" s="38">
        <f>AA$297</f>
        <v>10.585210117746126</v>
      </c>
      <c r="AB403" s="38">
        <f>AB$297</f>
        <v>0.75180030274214127</v>
      </c>
      <c r="AC403" s="38">
        <f>AC$297</f>
        <v>0.13304081016323729</v>
      </c>
      <c r="AE403" s="38">
        <f>AE$297</f>
        <v>10.585210117746126</v>
      </c>
      <c r="AF403" s="38">
        <f>AF$297</f>
        <v>0.75180030274214127</v>
      </c>
      <c r="AG403" s="38">
        <f>AG$297</f>
        <v>0.13304081016323729</v>
      </c>
      <c r="AI403" s="38">
        <f>AI$297</f>
        <v>10.585210117746126</v>
      </c>
      <c r="AJ403" s="38">
        <f>AJ$297</f>
        <v>0.75180030274214127</v>
      </c>
      <c r="AK403" s="38">
        <f>AK$297</f>
        <v>0.13304081016323729</v>
      </c>
      <c r="AL403" s="17"/>
    </row>
    <row r="405" spans="1:38" ht="21" customHeight="1" x14ac:dyDescent="0.3">
      <c r="A405" s="1" t="s">
        <v>686</v>
      </c>
    </row>
    <row r="406" spans="1:38" x14ac:dyDescent="0.25">
      <c r="A406" s="2" t="s">
        <v>381</v>
      </c>
    </row>
    <row r="407" spans="1:38" x14ac:dyDescent="0.25">
      <c r="A407" s="32" t="s">
        <v>671</v>
      </c>
    </row>
    <row r="408" spans="1:38" x14ac:dyDescent="0.25">
      <c r="A408" s="2" t="s">
        <v>667</v>
      </c>
    </row>
    <row r="410" spans="1:38" x14ac:dyDescent="0.25">
      <c r="B410" s="15" t="s">
        <v>348</v>
      </c>
      <c r="C410" s="15" t="s">
        <v>349</v>
      </c>
      <c r="D410" s="15" t="s">
        <v>350</v>
      </c>
    </row>
    <row r="411" spans="1:38" x14ac:dyDescent="0.25">
      <c r="A411" s="4" t="s">
        <v>228</v>
      </c>
      <c r="B411" s="39">
        <f>B$45</f>
        <v>1.3457800006096276E-3</v>
      </c>
      <c r="C411" s="39">
        <f>C$45</f>
        <v>0.10887875607294449</v>
      </c>
      <c r="D411" s="39">
        <f>D$45</f>
        <v>0.88977546392644591</v>
      </c>
      <c r="E411" s="17"/>
    </row>
    <row r="412" spans="1:38" x14ac:dyDescent="0.25">
      <c r="A412" s="4" t="s">
        <v>229</v>
      </c>
      <c r="B412" s="39">
        <f>B$48</f>
        <v>2.1694223164720138E-3</v>
      </c>
      <c r="C412" s="39">
        <f>C$48</f>
        <v>0.1191021685284787</v>
      </c>
      <c r="D412" s="39">
        <f>D$48</f>
        <v>0.87872840915504924</v>
      </c>
      <c r="E412" s="17"/>
    </row>
    <row r="414" spans="1:38" ht="21" customHeight="1" x14ac:dyDescent="0.3">
      <c r="A414" s="1" t="s">
        <v>687</v>
      </c>
    </row>
    <row r="415" spans="1:38" x14ac:dyDescent="0.25">
      <c r="A415" s="2" t="s">
        <v>381</v>
      </c>
    </row>
    <row r="416" spans="1:38" x14ac:dyDescent="0.25">
      <c r="A416" s="32" t="s">
        <v>688</v>
      </c>
    </row>
    <row r="417" spans="1:11" x14ac:dyDescent="0.25">
      <c r="A417" s="32" t="s">
        <v>689</v>
      </c>
    </row>
    <row r="418" spans="1:11" x14ac:dyDescent="0.25">
      <c r="A418" s="2" t="s">
        <v>394</v>
      </c>
    </row>
    <row r="420" spans="1:11" x14ac:dyDescent="0.25">
      <c r="B420" s="15" t="s">
        <v>150</v>
      </c>
      <c r="C420" s="15" t="s">
        <v>151</v>
      </c>
      <c r="D420" s="15" t="s">
        <v>152</v>
      </c>
      <c r="E420" s="15" t="s">
        <v>153</v>
      </c>
      <c r="F420" s="15" t="s">
        <v>154</v>
      </c>
      <c r="G420" s="15" t="s">
        <v>159</v>
      </c>
      <c r="H420" s="15" t="s">
        <v>155</v>
      </c>
      <c r="I420" s="15" t="s">
        <v>156</v>
      </c>
      <c r="J420" s="15" t="s">
        <v>157</v>
      </c>
    </row>
    <row r="421" spans="1:11" x14ac:dyDescent="0.25">
      <c r="A421" s="4" t="s">
        <v>228</v>
      </c>
      <c r="B421" s="37">
        <f>SUMPRODUCT($C402:$E402,$B411:$D411)</f>
        <v>2.2559792987318642E-2</v>
      </c>
      <c r="C421" s="37">
        <f>SUMPRODUCT($G402:$I402,$B411:$D411)</f>
        <v>9.6827350828660799E-2</v>
      </c>
      <c r="D421" s="37">
        <f>SUMPRODUCT($K402:$M402,$B411:$D411)</f>
        <v>9.6827350828660799E-2</v>
      </c>
      <c r="E421" s="37">
        <f>SUMPRODUCT($O402:$Q402,$B411:$D411)</f>
        <v>0.21447689444068552</v>
      </c>
      <c r="F421" s="37">
        <f>SUMPRODUCT($S402:$U402,$B411:$D411)</f>
        <v>0.21447689444068552</v>
      </c>
      <c r="G421" s="37">
        <f>SUMPRODUCT($W402:$Y402,$B411:$D411)</f>
        <v>9.6827350828660799E-2</v>
      </c>
      <c r="H421" s="37">
        <f>SUMPRODUCT($AA402:$AC402,$B411:$D411)</f>
        <v>0.21447689444068552</v>
      </c>
      <c r="I421" s="37">
        <f>SUMPRODUCT($AE402:$AG402,$B411:$D411)</f>
        <v>0.21447689444068552</v>
      </c>
      <c r="J421" s="37">
        <f>SUMPRODUCT($AI402:$AK402,$B411:$D411)</f>
        <v>0.21447689444068552</v>
      </c>
      <c r="K421" s="17"/>
    </row>
    <row r="422" spans="1:11" x14ac:dyDescent="0.25">
      <c r="A422" s="4" t="s">
        <v>229</v>
      </c>
      <c r="B422" s="37">
        <f>SUMPRODUCT($C403:$E403,$B412:$D412)</f>
        <v>3.6366804633378186E-2</v>
      </c>
      <c r="C422" s="37">
        <f>SUMPRODUCT($G403:$I403,$B412:$D412)</f>
        <v>0.11042809779383193</v>
      </c>
      <c r="D422" s="37">
        <f>SUMPRODUCT($K403:$M403,$B412:$D412)</f>
        <v>0.11042809779383193</v>
      </c>
      <c r="E422" s="37">
        <f>SUMPRODUCT($O403:$Q403,$B412:$D412)</f>
        <v>0.22941157687838004</v>
      </c>
      <c r="F422" s="37">
        <f>SUMPRODUCT($S403:$U403,$B412:$D412)</f>
        <v>0.22941157687838004</v>
      </c>
      <c r="G422" s="37">
        <f>SUMPRODUCT($W403:$Y403,$B412:$D412)</f>
        <v>0.11042809779383193</v>
      </c>
      <c r="H422" s="37">
        <f>SUMPRODUCT($AA403:$AC403,$B412:$D412)</f>
        <v>0.22941157687838004</v>
      </c>
      <c r="I422" s="37">
        <f>SUMPRODUCT($AE403:$AG403,$B412:$D412)</f>
        <v>0.22941157687838004</v>
      </c>
      <c r="J422" s="37">
        <f>SUMPRODUCT($AI403:$AK403,$B412:$D412)</f>
        <v>0.22941157687838004</v>
      </c>
      <c r="K422" s="17"/>
    </row>
    <row r="424" spans="1:11" ht="21" customHeight="1" x14ac:dyDescent="0.3">
      <c r="A424" s="1" t="s">
        <v>690</v>
      </c>
    </row>
    <row r="425" spans="1:11" x14ac:dyDescent="0.25">
      <c r="A425" s="2" t="s">
        <v>381</v>
      </c>
    </row>
    <row r="426" spans="1:11" x14ac:dyDescent="0.25">
      <c r="A426" s="32" t="s">
        <v>608</v>
      </c>
    </row>
    <row r="427" spans="1:11" x14ac:dyDescent="0.25">
      <c r="A427" s="2" t="s">
        <v>667</v>
      </c>
    </row>
    <row r="429" spans="1:11" ht="45" x14ac:dyDescent="0.25">
      <c r="B429" s="15" t="s">
        <v>691</v>
      </c>
    </row>
    <row r="430" spans="1:11" x14ac:dyDescent="0.25">
      <c r="A430" s="4" t="s">
        <v>188</v>
      </c>
      <c r="B430" s="42">
        <f>B$137</f>
        <v>298.9704668372683</v>
      </c>
      <c r="C430" s="17"/>
    </row>
    <row r="431" spans="1:11" x14ac:dyDescent="0.25">
      <c r="A431" s="4" t="s">
        <v>189</v>
      </c>
      <c r="B431" s="42">
        <f>B$138</f>
        <v>369299.17801056313</v>
      </c>
      <c r="C431" s="17"/>
    </row>
    <row r="433" spans="1:38" ht="21" customHeight="1" x14ac:dyDescent="0.3">
      <c r="A433" s="1" t="s">
        <v>692</v>
      </c>
    </row>
    <row r="434" spans="1:38" x14ac:dyDescent="0.25">
      <c r="A434" s="2" t="s">
        <v>381</v>
      </c>
    </row>
    <row r="435" spans="1:38" x14ac:dyDescent="0.25">
      <c r="A435" s="32" t="s">
        <v>666</v>
      </c>
    </row>
    <row r="436" spans="1:38" x14ac:dyDescent="0.25">
      <c r="A436" s="2" t="s">
        <v>667</v>
      </c>
    </row>
    <row r="438" spans="1:38" x14ac:dyDescent="0.25">
      <c r="B438" s="28" t="s">
        <v>150</v>
      </c>
      <c r="C438" s="15" t="s">
        <v>348</v>
      </c>
      <c r="D438" s="15" t="s">
        <v>349</v>
      </c>
      <c r="E438" s="15" t="s">
        <v>350</v>
      </c>
      <c r="F438" s="28" t="s">
        <v>151</v>
      </c>
      <c r="G438" s="15" t="s">
        <v>348</v>
      </c>
      <c r="H438" s="15" t="s">
        <v>349</v>
      </c>
      <c r="I438" s="15" t="s">
        <v>350</v>
      </c>
      <c r="J438" s="28" t="s">
        <v>152</v>
      </c>
      <c r="K438" s="15" t="s">
        <v>348</v>
      </c>
      <c r="L438" s="15" t="s">
        <v>349</v>
      </c>
      <c r="M438" s="15" t="s">
        <v>350</v>
      </c>
      <c r="N438" s="28" t="s">
        <v>153</v>
      </c>
      <c r="O438" s="15" t="s">
        <v>348</v>
      </c>
      <c r="P438" s="15" t="s">
        <v>349</v>
      </c>
      <c r="Q438" s="15" t="s">
        <v>350</v>
      </c>
      <c r="R438" s="28" t="s">
        <v>154</v>
      </c>
      <c r="S438" s="15" t="s">
        <v>348</v>
      </c>
      <c r="T438" s="15" t="s">
        <v>349</v>
      </c>
      <c r="U438" s="15" t="s">
        <v>350</v>
      </c>
      <c r="V438" s="28" t="s">
        <v>159</v>
      </c>
      <c r="W438" s="15" t="s">
        <v>348</v>
      </c>
      <c r="X438" s="15" t="s">
        <v>349</v>
      </c>
      <c r="Y438" s="15" t="s">
        <v>350</v>
      </c>
      <c r="Z438" s="28" t="s">
        <v>155</v>
      </c>
      <c r="AA438" s="15" t="s">
        <v>348</v>
      </c>
      <c r="AB438" s="15" t="s">
        <v>349</v>
      </c>
      <c r="AC438" s="15" t="s">
        <v>350</v>
      </c>
      <c r="AD438" s="28" t="s">
        <v>156</v>
      </c>
      <c r="AE438" s="15" t="s">
        <v>348</v>
      </c>
      <c r="AF438" s="15" t="s">
        <v>349</v>
      </c>
      <c r="AG438" s="15" t="s">
        <v>350</v>
      </c>
      <c r="AH438" s="28" t="s">
        <v>157</v>
      </c>
      <c r="AI438" s="15" t="s">
        <v>348</v>
      </c>
      <c r="AJ438" s="15" t="s">
        <v>349</v>
      </c>
      <c r="AK438" s="15" t="s">
        <v>350</v>
      </c>
    </row>
    <row r="439" spans="1:38" x14ac:dyDescent="0.25">
      <c r="A439" s="4" t="s">
        <v>188</v>
      </c>
      <c r="C439" s="38">
        <f>C$301</f>
        <v>35.529153112687062</v>
      </c>
      <c r="D439" s="38">
        <f>D$301</f>
        <v>0</v>
      </c>
      <c r="E439" s="38">
        <f>E$301</f>
        <v>0</v>
      </c>
      <c r="G439" s="38">
        <f>G$301</f>
        <v>31.555922306269792</v>
      </c>
      <c r="H439" s="38">
        <f>H$301</f>
        <v>0.4195200896780425</v>
      </c>
      <c r="I439" s="38">
        <f>I$301</f>
        <v>0.13158024825881212</v>
      </c>
      <c r="K439" s="38">
        <f>K$301</f>
        <v>31.555922306269792</v>
      </c>
      <c r="L439" s="38">
        <f>L$301</f>
        <v>0.4195200896780425</v>
      </c>
      <c r="M439" s="38">
        <f>M$301</f>
        <v>0.13158024825881212</v>
      </c>
      <c r="O439" s="38">
        <f>O$301</f>
        <v>22.434856640000447</v>
      </c>
      <c r="P439" s="38">
        <f>P$301</f>
        <v>1.5934054994007256</v>
      </c>
      <c r="Q439" s="38">
        <f>Q$301</f>
        <v>0.28197376056596202</v>
      </c>
      <c r="S439" s="38">
        <f>S$301</f>
        <v>22.434856640000447</v>
      </c>
      <c r="T439" s="38">
        <f>T$301</f>
        <v>1.5934054994007256</v>
      </c>
      <c r="U439" s="38">
        <f>U$301</f>
        <v>0.28197376056596202</v>
      </c>
      <c r="W439" s="38">
        <f>W$301</f>
        <v>31.555922306269792</v>
      </c>
      <c r="X439" s="38">
        <f>X$301</f>
        <v>0.4195200896780425</v>
      </c>
      <c r="Y439" s="38">
        <f>Y$301</f>
        <v>0.13158024825881212</v>
      </c>
      <c r="AA439" s="38">
        <f>AA$301</f>
        <v>22.434856640000447</v>
      </c>
      <c r="AB439" s="38">
        <f>AB$301</f>
        <v>1.5934054994007256</v>
      </c>
      <c r="AC439" s="38">
        <f>AC$301</f>
        <v>0.28197376056596202</v>
      </c>
      <c r="AE439" s="38">
        <f>AE$301</f>
        <v>22.434856640000447</v>
      </c>
      <c r="AF439" s="38">
        <f>AF$301</f>
        <v>1.5934054994007256</v>
      </c>
      <c r="AG439" s="38">
        <f>AG$301</f>
        <v>0.28197376056596202</v>
      </c>
      <c r="AI439" s="38">
        <f>AI$301</f>
        <v>22.434856640000447</v>
      </c>
      <c r="AJ439" s="38">
        <f>AJ$301</f>
        <v>1.5934054994007256</v>
      </c>
      <c r="AK439" s="38">
        <f>AK$301</f>
        <v>0.28197376056596202</v>
      </c>
      <c r="AL439" s="17"/>
    </row>
    <row r="440" spans="1:38" x14ac:dyDescent="0.25">
      <c r="A440" s="4" t="s">
        <v>189</v>
      </c>
      <c r="C440" s="38">
        <f>C$302</f>
        <v>24.272299592367567</v>
      </c>
      <c r="D440" s="38">
        <f>D$302</f>
        <v>0</v>
      </c>
      <c r="E440" s="38">
        <f>E$302</f>
        <v>0</v>
      </c>
      <c r="G440" s="38">
        <f>G$302</f>
        <v>21.557924493779957</v>
      </c>
      <c r="H440" s="38">
        <f>H$302</f>
        <v>0.28660174559708884</v>
      </c>
      <c r="I440" s="38">
        <f>I$302</f>
        <v>8.9891115502990532E-2</v>
      </c>
      <c r="K440" s="38">
        <f>K$302</f>
        <v>21.557924493779957</v>
      </c>
      <c r="L440" s="38">
        <f>L$302</f>
        <v>0.28660174559708884</v>
      </c>
      <c r="M440" s="38">
        <f>M$302</f>
        <v>8.9891115502990532E-2</v>
      </c>
      <c r="O440" s="38">
        <f>O$302</f>
        <v>15.326725068587592</v>
      </c>
      <c r="P440" s="38">
        <f>P$302</f>
        <v>1.0885600208626938</v>
      </c>
      <c r="Q440" s="38">
        <f>Q$302</f>
        <v>0.19263480815138198</v>
      </c>
      <c r="S440" s="38">
        <f>S$302</f>
        <v>15.326725068587592</v>
      </c>
      <c r="T440" s="38">
        <f>T$302</f>
        <v>1.0885600208626938</v>
      </c>
      <c r="U440" s="38">
        <f>U$302</f>
        <v>0.19263480815138198</v>
      </c>
      <c r="W440" s="38">
        <f>W$302</f>
        <v>21.557924493779957</v>
      </c>
      <c r="X440" s="38">
        <f>X$302</f>
        <v>0.28660174559708884</v>
      </c>
      <c r="Y440" s="38">
        <f>Y$302</f>
        <v>8.9891115502990532E-2</v>
      </c>
      <c r="AA440" s="38">
        <f>AA$302</f>
        <v>15.326725068587592</v>
      </c>
      <c r="AB440" s="38">
        <f>AB$302</f>
        <v>1.0885600208626938</v>
      </c>
      <c r="AC440" s="38">
        <f>AC$302</f>
        <v>0.19263480815138198</v>
      </c>
      <c r="AE440" s="38">
        <f>AE$302</f>
        <v>15.326725068587592</v>
      </c>
      <c r="AF440" s="38">
        <f>AF$302</f>
        <v>1.0885600208626938</v>
      </c>
      <c r="AG440" s="38">
        <f>AG$302</f>
        <v>0.19263480815138198</v>
      </c>
      <c r="AI440" s="38">
        <f>AI$302</f>
        <v>15.326725068587592</v>
      </c>
      <c r="AJ440" s="38">
        <f>AJ$302</f>
        <v>1.0885600208626938</v>
      </c>
      <c r="AK440" s="38">
        <f>AK$302</f>
        <v>0.19263480815138198</v>
      </c>
      <c r="AL440" s="17"/>
    </row>
    <row r="442" spans="1:38" ht="21" customHeight="1" x14ac:dyDescent="0.3">
      <c r="A442" s="1" t="s">
        <v>693</v>
      </c>
    </row>
    <row r="443" spans="1:38" x14ac:dyDescent="0.25">
      <c r="A443" s="2" t="s">
        <v>381</v>
      </c>
    </row>
    <row r="444" spans="1:38" x14ac:dyDescent="0.25">
      <c r="A444" s="32" t="s">
        <v>694</v>
      </c>
    </row>
    <row r="445" spans="1:38" x14ac:dyDescent="0.25">
      <c r="A445" s="2" t="s">
        <v>667</v>
      </c>
    </row>
    <row r="447" spans="1:38" x14ac:dyDescent="0.25">
      <c r="B447" s="15" t="s">
        <v>348</v>
      </c>
      <c r="C447" s="15" t="s">
        <v>349</v>
      </c>
      <c r="D447" s="15" t="s">
        <v>350</v>
      </c>
    </row>
    <row r="448" spans="1:38" x14ac:dyDescent="0.25">
      <c r="A448" s="4" t="s">
        <v>188</v>
      </c>
      <c r="B448" s="39">
        <f>B$216</f>
        <v>5.9920636232795248E-2</v>
      </c>
      <c r="C448" s="39">
        <f>C$216</f>
        <v>0.49806311335763498</v>
      </c>
      <c r="D448" s="39">
        <f>D$216</f>
        <v>0.44201625040956982</v>
      </c>
      <c r="E448" s="17"/>
    </row>
    <row r="449" spans="1:11" x14ac:dyDescent="0.25">
      <c r="A449" s="4" t="s">
        <v>189</v>
      </c>
      <c r="B449" s="39">
        <f>B$217</f>
        <v>6.823728415423945E-2</v>
      </c>
      <c r="C449" s="39">
        <f>C$217</f>
        <v>0.49173721763898742</v>
      </c>
      <c r="D449" s="39">
        <f>D$217</f>
        <v>0.440025498206773</v>
      </c>
      <c r="E449" s="17"/>
    </row>
    <row r="451" spans="1:11" ht="21" customHeight="1" x14ac:dyDescent="0.3">
      <c r="A451" s="1" t="s">
        <v>695</v>
      </c>
    </row>
    <row r="452" spans="1:11" x14ac:dyDescent="0.25">
      <c r="A452" s="2" t="s">
        <v>381</v>
      </c>
    </row>
    <row r="453" spans="1:11" x14ac:dyDescent="0.25">
      <c r="A453" s="32" t="s">
        <v>696</v>
      </c>
    </row>
    <row r="454" spans="1:11" x14ac:dyDescent="0.25">
      <c r="A454" s="32" t="s">
        <v>697</v>
      </c>
    </row>
    <row r="455" spans="1:11" x14ac:dyDescent="0.25">
      <c r="A455" s="2" t="s">
        <v>394</v>
      </c>
    </row>
    <row r="457" spans="1:11" x14ac:dyDescent="0.25">
      <c r="B457" s="15" t="s">
        <v>150</v>
      </c>
      <c r="C457" s="15" t="s">
        <v>151</v>
      </c>
      <c r="D457" s="15" t="s">
        <v>152</v>
      </c>
      <c r="E457" s="15" t="s">
        <v>153</v>
      </c>
      <c r="F457" s="15" t="s">
        <v>154</v>
      </c>
      <c r="G457" s="15" t="s">
        <v>159</v>
      </c>
      <c r="H457" s="15" t="s">
        <v>155</v>
      </c>
      <c r="I457" s="15" t="s">
        <v>156</v>
      </c>
      <c r="J457" s="15" t="s">
        <v>157</v>
      </c>
    </row>
    <row r="458" spans="1:11" x14ac:dyDescent="0.25">
      <c r="A458" s="4" t="s">
        <v>188</v>
      </c>
      <c r="B458" s="37">
        <f>SUMPRODUCT($C439:$E439,$B448:$D448)</f>
        <v>2.1289294593246066</v>
      </c>
      <c r="C458" s="37">
        <f>SUMPRODUCT($G439:$I439,$B448:$D448)</f>
        <v>2.1579590314487822</v>
      </c>
      <c r="D458" s="37">
        <f>SUMPRODUCT($K439:$M439,$B448:$D448)</f>
        <v>2.1579590314487822</v>
      </c>
      <c r="E458" s="37">
        <f>SUMPRODUCT($O439:$Q439,$B448:$D448)</f>
        <v>2.2625643718923332</v>
      </c>
      <c r="F458" s="37">
        <f>SUMPRODUCT($S439:$U439,$B448:$D448)</f>
        <v>2.2625643718923332</v>
      </c>
      <c r="G458" s="37">
        <f>SUMPRODUCT($W439:$Y439,$B448:$D448)</f>
        <v>2.1579590314487822</v>
      </c>
      <c r="H458" s="37">
        <f>SUMPRODUCT($AA439:$AC439,$B448:$D448)</f>
        <v>2.2625643718923332</v>
      </c>
      <c r="I458" s="37">
        <f>SUMPRODUCT($AE439:$AG439,$B448:$D448)</f>
        <v>2.2625643718923332</v>
      </c>
      <c r="J458" s="37">
        <f>SUMPRODUCT($AI439:$AK439,$B448:$D448)</f>
        <v>2.2625643718923332</v>
      </c>
      <c r="K458" s="17"/>
    </row>
    <row r="459" spans="1:11" x14ac:dyDescent="0.25">
      <c r="A459" s="4" t="s">
        <v>189</v>
      </c>
      <c r="B459" s="37">
        <f>SUMPRODUCT($C440:$E440,$B449:$D449)</f>
        <v>1.656275804361216</v>
      </c>
      <c r="C459" s="37">
        <f>SUMPRODUCT($G440:$I440,$B449:$D449)</f>
        <v>1.6515413472916571</v>
      </c>
      <c r="D459" s="37">
        <f>SUMPRODUCT($K440:$M440,$B449:$D449)</f>
        <v>1.6515413472916571</v>
      </c>
      <c r="E459" s="37">
        <f>SUMPRODUCT($O440:$Q440,$B449:$D449)</f>
        <v>1.6659037969799539</v>
      </c>
      <c r="F459" s="37">
        <f>SUMPRODUCT($S440:$U440,$B449:$D449)</f>
        <v>1.6659037969799539</v>
      </c>
      <c r="G459" s="37">
        <f>SUMPRODUCT($W440:$Y440,$B449:$D449)</f>
        <v>1.6515413472916571</v>
      </c>
      <c r="H459" s="37">
        <f>SUMPRODUCT($AA440:$AC440,$B449:$D449)</f>
        <v>1.6659037969799539</v>
      </c>
      <c r="I459" s="37">
        <f>SUMPRODUCT($AE440:$AG440,$B449:$D449)</f>
        <v>1.6659037969799539</v>
      </c>
      <c r="J459" s="37">
        <f>SUMPRODUCT($AI440:$AK440,$B449:$D449)</f>
        <v>1.6659037969799539</v>
      </c>
      <c r="K459" s="17"/>
    </row>
    <row r="461" spans="1:11" ht="21" customHeight="1" x14ac:dyDescent="0.3">
      <c r="A461" s="1" t="s">
        <v>698</v>
      </c>
    </row>
    <row r="462" spans="1:11" x14ac:dyDescent="0.25">
      <c r="A462" s="2" t="s">
        <v>381</v>
      </c>
    </row>
    <row r="463" spans="1:11" x14ac:dyDescent="0.25">
      <c r="A463" s="32" t="s">
        <v>699</v>
      </c>
    </row>
    <row r="464" spans="1:11" x14ac:dyDescent="0.25">
      <c r="A464" s="32" t="s">
        <v>700</v>
      </c>
    </row>
    <row r="465" spans="1:11" x14ac:dyDescent="0.25">
      <c r="A465" s="32" t="s">
        <v>701</v>
      </c>
    </row>
    <row r="466" spans="1:11" x14ac:dyDescent="0.25">
      <c r="A466" s="32" t="s">
        <v>702</v>
      </c>
    </row>
    <row r="467" spans="1:11" x14ac:dyDescent="0.25">
      <c r="A467" s="32" t="s">
        <v>703</v>
      </c>
    </row>
    <row r="468" spans="1:11" x14ac:dyDescent="0.25">
      <c r="A468" s="32" t="s">
        <v>704</v>
      </c>
    </row>
    <row r="469" spans="1:11" x14ac:dyDescent="0.25">
      <c r="A469" s="2" t="s">
        <v>705</v>
      </c>
    </row>
    <row r="471" spans="1:11" x14ac:dyDescent="0.25">
      <c r="B471" s="15" t="s">
        <v>150</v>
      </c>
      <c r="C471" s="15" t="s">
        <v>151</v>
      </c>
      <c r="D471" s="15" t="s">
        <v>152</v>
      </c>
      <c r="E471" s="15" t="s">
        <v>153</v>
      </c>
      <c r="F471" s="15" t="s">
        <v>154</v>
      </c>
      <c r="G471" s="15" t="s">
        <v>159</v>
      </c>
      <c r="H471" s="15" t="s">
        <v>155</v>
      </c>
      <c r="I471" s="15" t="s">
        <v>156</v>
      </c>
      <c r="J471" s="15" t="s">
        <v>157</v>
      </c>
    </row>
    <row r="472" spans="1:11" x14ac:dyDescent="0.25">
      <c r="A472" s="4" t="s">
        <v>706</v>
      </c>
      <c r="B472" s="37">
        <f t="shared" ref="B472:J472" si="0">($B328*B347+$B356*B384+$B393*B421)/($B328+$B356+$B393)</f>
        <v>1.9968696496545288</v>
      </c>
      <c r="C472" s="37">
        <f t="shared" si="0"/>
        <v>1.9423390547592061</v>
      </c>
      <c r="D472" s="37">
        <f t="shared" si="0"/>
        <v>1.9423390547592061</v>
      </c>
      <c r="E472" s="37">
        <f t="shared" si="0"/>
        <v>1.8263069273156476</v>
      </c>
      <c r="F472" s="37">
        <f t="shared" si="0"/>
        <v>1.8263069273156476</v>
      </c>
      <c r="G472" s="37">
        <f t="shared" si="0"/>
        <v>1.9423390547592061</v>
      </c>
      <c r="H472" s="37">
        <f t="shared" si="0"/>
        <v>1.8263069273156476</v>
      </c>
      <c r="I472" s="37">
        <f t="shared" si="0"/>
        <v>1.8263069273156476</v>
      </c>
      <c r="J472" s="37">
        <f t="shared" si="0"/>
        <v>1.8263069273156476</v>
      </c>
      <c r="K472" s="17"/>
    </row>
    <row r="473" spans="1:11" x14ac:dyDescent="0.25">
      <c r="A473" s="4" t="s">
        <v>707</v>
      </c>
      <c r="B473" s="37">
        <f t="shared" ref="B473:J473" si="1">($B329*B348+$B357*B385+$B394*B422)/($B329+$B357+$B394)</f>
        <v>1.5878879815125826</v>
      </c>
      <c r="C473" s="37">
        <f t="shared" si="1"/>
        <v>1.6119101065304646</v>
      </c>
      <c r="D473" s="37">
        <f t="shared" si="1"/>
        <v>1.6119101065304646</v>
      </c>
      <c r="E473" s="37">
        <f t="shared" si="1"/>
        <v>1.7025266623448452</v>
      </c>
      <c r="F473" s="37">
        <f t="shared" si="1"/>
        <v>1.7025266623448452</v>
      </c>
      <c r="G473" s="37">
        <f t="shared" si="1"/>
        <v>1.6119101065304646</v>
      </c>
      <c r="H473" s="37">
        <f t="shared" si="1"/>
        <v>1.7025266623448452</v>
      </c>
      <c r="I473" s="37">
        <f t="shared" si="1"/>
        <v>1.7025266623448452</v>
      </c>
      <c r="J473" s="37">
        <f t="shared" si="1"/>
        <v>1.7025266623448452</v>
      </c>
      <c r="K473" s="17"/>
    </row>
    <row r="475" spans="1:11" ht="21" customHeight="1" x14ac:dyDescent="0.3">
      <c r="A475" s="1" t="s">
        <v>708</v>
      </c>
    </row>
    <row r="476" spans="1:11" x14ac:dyDescent="0.25">
      <c r="A476" s="2" t="s">
        <v>381</v>
      </c>
    </row>
    <row r="477" spans="1:11" x14ac:dyDescent="0.25">
      <c r="A477" s="32" t="s">
        <v>699</v>
      </c>
    </row>
    <row r="478" spans="1:11" x14ac:dyDescent="0.25">
      <c r="A478" s="32" t="s">
        <v>674</v>
      </c>
    </row>
    <row r="479" spans="1:11" x14ac:dyDescent="0.25">
      <c r="A479" s="32" t="s">
        <v>701</v>
      </c>
    </row>
    <row r="480" spans="1:11" x14ac:dyDescent="0.25">
      <c r="A480" s="32" t="s">
        <v>709</v>
      </c>
    </row>
    <row r="481" spans="1:11" x14ac:dyDescent="0.25">
      <c r="A481" s="32" t="s">
        <v>703</v>
      </c>
    </row>
    <row r="482" spans="1:11" x14ac:dyDescent="0.25">
      <c r="A482" s="32" t="s">
        <v>710</v>
      </c>
    </row>
    <row r="483" spans="1:11" x14ac:dyDescent="0.25">
      <c r="A483" s="2" t="s">
        <v>705</v>
      </c>
    </row>
    <row r="485" spans="1:11" x14ac:dyDescent="0.25">
      <c r="B485" s="15" t="s">
        <v>348</v>
      </c>
      <c r="C485" s="15" t="s">
        <v>349</v>
      </c>
      <c r="D485" s="15" t="s">
        <v>350</v>
      </c>
    </row>
    <row r="486" spans="1:11" x14ac:dyDescent="0.25">
      <c r="A486" s="4" t="s">
        <v>188</v>
      </c>
      <c r="B486" s="39">
        <f t="shared" ref="B486:D487" si="2">($B328*B337+$B356*B374+$B393*B411)/($B328+$B356+$B393)</f>
        <v>8.0365314305461469E-2</v>
      </c>
      <c r="C486" s="39">
        <f t="shared" si="2"/>
        <v>0.41974459267216541</v>
      </c>
      <c r="D486" s="39">
        <f t="shared" si="2"/>
        <v>0.49989009302237297</v>
      </c>
      <c r="E486" s="17"/>
    </row>
    <row r="487" spans="1:11" x14ac:dyDescent="0.25">
      <c r="A487" s="4" t="s">
        <v>189</v>
      </c>
      <c r="B487" s="39">
        <f t="shared" si="2"/>
        <v>6.0687265653384455E-2</v>
      </c>
      <c r="C487" s="39">
        <f t="shared" si="2"/>
        <v>0.5227653421443218</v>
      </c>
      <c r="D487" s="39">
        <f t="shared" si="2"/>
        <v>0.41654739220229381</v>
      </c>
      <c r="E487" s="17"/>
    </row>
    <row r="489" spans="1:11" ht="21" customHeight="1" x14ac:dyDescent="0.3">
      <c r="A489" s="1" t="s">
        <v>711</v>
      </c>
    </row>
    <row r="490" spans="1:11" x14ac:dyDescent="0.25">
      <c r="A490" s="2" t="s">
        <v>381</v>
      </c>
    </row>
    <row r="491" spans="1:11" x14ac:dyDescent="0.25">
      <c r="A491" s="32" t="s">
        <v>696</v>
      </c>
    </row>
    <row r="492" spans="1:11" x14ac:dyDescent="0.25">
      <c r="A492" s="32" t="s">
        <v>712</v>
      </c>
    </row>
    <row r="493" spans="1:11" x14ac:dyDescent="0.25">
      <c r="A493" s="2" t="s">
        <v>394</v>
      </c>
    </row>
    <row r="495" spans="1:11" x14ac:dyDescent="0.25">
      <c r="B495" s="15" t="s">
        <v>150</v>
      </c>
      <c r="C495" s="15" t="s">
        <v>151</v>
      </c>
      <c r="D495" s="15" t="s">
        <v>152</v>
      </c>
      <c r="E495" s="15" t="s">
        <v>153</v>
      </c>
      <c r="F495" s="15" t="s">
        <v>154</v>
      </c>
      <c r="G495" s="15" t="s">
        <v>159</v>
      </c>
      <c r="H495" s="15" t="s">
        <v>155</v>
      </c>
      <c r="I495" s="15" t="s">
        <v>156</v>
      </c>
      <c r="J495" s="15" t="s">
        <v>157</v>
      </c>
    </row>
    <row r="496" spans="1:11" x14ac:dyDescent="0.25">
      <c r="A496" s="4" t="s">
        <v>188</v>
      </c>
      <c r="B496" s="37">
        <f>SUMPRODUCT($C439:$E439,$B486:$D486)</f>
        <v>2.8553115569079606</v>
      </c>
      <c r="C496" s="37">
        <f>SUMPRODUCT($G439:$I439,$B486:$D486)</f>
        <v>2.7778685660437992</v>
      </c>
      <c r="D496" s="37">
        <f>SUMPRODUCT($K439:$M439,$B486:$D486)</f>
        <v>2.7778685660437992</v>
      </c>
      <c r="E496" s="37">
        <f>SUMPRODUCT($O439:$Q439,$B486:$D486)</f>
        <v>2.6127635369783384</v>
      </c>
      <c r="F496" s="37">
        <f>SUMPRODUCT($S439:$U439,$B486:$D486)</f>
        <v>2.6127635369783384</v>
      </c>
      <c r="G496" s="37">
        <f>SUMPRODUCT($W439:$Y439,$B486:$D486)</f>
        <v>2.7778685660437992</v>
      </c>
      <c r="H496" s="37">
        <f>SUMPRODUCT($AA439:$AC439,$B486:$D486)</f>
        <v>2.6127635369783384</v>
      </c>
      <c r="I496" s="37">
        <f>SUMPRODUCT($AE439:$AG439,$B486:$D486)</f>
        <v>2.6127635369783384</v>
      </c>
      <c r="J496" s="37">
        <f>SUMPRODUCT($AI439:$AK439,$B486:$D486)</f>
        <v>2.6127635369783384</v>
      </c>
      <c r="K496" s="17"/>
    </row>
    <row r="497" spans="1:11" x14ac:dyDescent="0.25">
      <c r="A497" s="4" t="s">
        <v>189</v>
      </c>
      <c r="B497" s="37">
        <f>SUMPRODUCT($C440:$E440,$B487:$D487)</f>
        <v>1.4730194933805458</v>
      </c>
      <c r="C497" s="37">
        <f>SUMPRODUCT($G440:$I440,$B487:$D487)</f>
        <v>1.4955608600307759</v>
      </c>
      <c r="D497" s="37">
        <f>SUMPRODUCT($K440:$M440,$B487:$D487)</f>
        <v>1.4955608600307759</v>
      </c>
      <c r="E497" s="37">
        <f>SUMPRODUCT($O440:$Q440,$B487:$D487)</f>
        <v>1.5794400145675258</v>
      </c>
      <c r="F497" s="37">
        <f>SUMPRODUCT($S440:$U440,$B487:$D487)</f>
        <v>1.5794400145675258</v>
      </c>
      <c r="G497" s="37">
        <f>SUMPRODUCT($W440:$Y440,$B487:$D487)</f>
        <v>1.4955608600307759</v>
      </c>
      <c r="H497" s="37">
        <f>SUMPRODUCT($AA440:$AC440,$B487:$D487)</f>
        <v>1.5794400145675258</v>
      </c>
      <c r="I497" s="37">
        <f>SUMPRODUCT($AE440:$AG440,$B487:$D487)</f>
        <v>1.5794400145675258</v>
      </c>
      <c r="J497" s="37">
        <f>SUMPRODUCT($AI440:$AK440,$B487:$D487)</f>
        <v>1.5794400145675258</v>
      </c>
      <c r="K497" s="17"/>
    </row>
    <row r="499" spans="1:11" ht="21" customHeight="1" x14ac:dyDescent="0.3">
      <c r="A499" s="1" t="s">
        <v>713</v>
      </c>
    </row>
    <row r="500" spans="1:11" x14ac:dyDescent="0.25">
      <c r="A500" s="2" t="s">
        <v>381</v>
      </c>
    </row>
    <row r="501" spans="1:11" x14ac:dyDescent="0.25">
      <c r="A501" s="32" t="s">
        <v>714</v>
      </c>
    </row>
    <row r="502" spans="1:11" x14ac:dyDescent="0.25">
      <c r="A502" s="32" t="s">
        <v>715</v>
      </c>
    </row>
    <row r="503" spans="1:11" x14ac:dyDescent="0.25">
      <c r="A503" s="2" t="s">
        <v>461</v>
      </c>
    </row>
    <row r="505" spans="1:11" x14ac:dyDescent="0.25">
      <c r="B505" s="15" t="s">
        <v>150</v>
      </c>
      <c r="C505" s="15" t="s">
        <v>151</v>
      </c>
      <c r="D505" s="15" t="s">
        <v>152</v>
      </c>
      <c r="E505" s="15" t="s">
        <v>153</v>
      </c>
      <c r="F505" s="15" t="s">
        <v>154</v>
      </c>
      <c r="G505" s="15" t="s">
        <v>159</v>
      </c>
      <c r="H505" s="15" t="s">
        <v>155</v>
      </c>
      <c r="I505" s="15" t="s">
        <v>156</v>
      </c>
      <c r="J505" s="15" t="s">
        <v>157</v>
      </c>
    </row>
    <row r="506" spans="1:11" x14ac:dyDescent="0.25">
      <c r="A506" s="4" t="s">
        <v>706</v>
      </c>
      <c r="B506" s="37">
        <f t="shared" ref="B506:J506" si="3">B472/B496</f>
        <v>0.69935263100218559</v>
      </c>
      <c r="C506" s="37">
        <f t="shared" si="3"/>
        <v>0.6992192065895535</v>
      </c>
      <c r="D506" s="37">
        <f t="shared" si="3"/>
        <v>0.6992192065895535</v>
      </c>
      <c r="E506" s="37">
        <f t="shared" si="3"/>
        <v>0.6989943412283578</v>
      </c>
      <c r="F506" s="37">
        <f t="shared" si="3"/>
        <v>0.6989943412283578</v>
      </c>
      <c r="G506" s="37">
        <f t="shared" si="3"/>
        <v>0.6992192065895535</v>
      </c>
      <c r="H506" s="37">
        <f t="shared" si="3"/>
        <v>0.6989943412283578</v>
      </c>
      <c r="I506" s="37">
        <f t="shared" si="3"/>
        <v>0.6989943412283578</v>
      </c>
      <c r="J506" s="37">
        <f t="shared" si="3"/>
        <v>0.6989943412283578</v>
      </c>
      <c r="K506" s="17"/>
    </row>
    <row r="507" spans="1:11" x14ac:dyDescent="0.25">
      <c r="A507" s="4" t="s">
        <v>707</v>
      </c>
      <c r="B507" s="37">
        <f t="shared" ref="B507:J507" si="4">B473/B497</f>
        <v>1.0779816483408622</v>
      </c>
      <c r="C507" s="37">
        <f t="shared" si="4"/>
        <v>1.0777963970635702</v>
      </c>
      <c r="D507" s="37">
        <f t="shared" si="4"/>
        <v>1.0777963970635702</v>
      </c>
      <c r="E507" s="37">
        <f t="shared" si="4"/>
        <v>1.0779305618713366</v>
      </c>
      <c r="F507" s="37">
        <f t="shared" si="4"/>
        <v>1.0779305618713366</v>
      </c>
      <c r="G507" s="37">
        <f t="shared" si="4"/>
        <v>1.0777963970635702</v>
      </c>
      <c r="H507" s="37">
        <f t="shared" si="4"/>
        <v>1.0779305618713366</v>
      </c>
      <c r="I507" s="37">
        <f t="shared" si="4"/>
        <v>1.0779305618713366</v>
      </c>
      <c r="J507" s="37">
        <f t="shared" si="4"/>
        <v>1.0779305618713366</v>
      </c>
      <c r="K507" s="17"/>
    </row>
    <row r="509" spans="1:11" ht="21" customHeight="1" x14ac:dyDescent="0.3">
      <c r="A509" s="1" t="s">
        <v>716</v>
      </c>
    </row>
    <row r="510" spans="1:11" x14ac:dyDescent="0.25">
      <c r="A510" s="2" t="s">
        <v>381</v>
      </c>
    </row>
    <row r="511" spans="1:11" x14ac:dyDescent="0.25">
      <c r="A511" s="32" t="s">
        <v>699</v>
      </c>
    </row>
    <row r="512" spans="1:11" x14ac:dyDescent="0.25">
      <c r="A512" s="32" t="s">
        <v>700</v>
      </c>
    </row>
    <row r="513" spans="1:11" x14ac:dyDescent="0.25">
      <c r="A513" s="32" t="s">
        <v>701</v>
      </c>
    </row>
    <row r="514" spans="1:11" x14ac:dyDescent="0.25">
      <c r="A514" s="32" t="s">
        <v>702</v>
      </c>
    </row>
    <row r="515" spans="1:11" x14ac:dyDescent="0.25">
      <c r="A515" s="32" t="s">
        <v>703</v>
      </c>
    </row>
    <row r="516" spans="1:11" x14ac:dyDescent="0.25">
      <c r="A516" s="32" t="s">
        <v>704</v>
      </c>
    </row>
    <row r="517" spans="1:11" x14ac:dyDescent="0.25">
      <c r="A517" s="32" t="s">
        <v>717</v>
      </c>
    </row>
    <row r="518" spans="1:11" x14ac:dyDescent="0.25">
      <c r="A518" s="32" t="s">
        <v>718</v>
      </c>
    </row>
    <row r="519" spans="1:11" x14ac:dyDescent="0.25">
      <c r="A519" s="32" t="s">
        <v>719</v>
      </c>
    </row>
    <row r="520" spans="1:11" x14ac:dyDescent="0.25">
      <c r="A520" s="2" t="s">
        <v>720</v>
      </c>
    </row>
    <row r="522" spans="1:11" x14ac:dyDescent="0.25">
      <c r="B522" s="15" t="s">
        <v>150</v>
      </c>
      <c r="C522" s="15" t="s">
        <v>151</v>
      </c>
      <c r="D522" s="15" t="s">
        <v>152</v>
      </c>
      <c r="E522" s="15" t="s">
        <v>153</v>
      </c>
      <c r="F522" s="15" t="s">
        <v>154</v>
      </c>
      <c r="G522" s="15" t="s">
        <v>159</v>
      </c>
      <c r="H522" s="15" t="s">
        <v>155</v>
      </c>
      <c r="I522" s="15" t="s">
        <v>156</v>
      </c>
      <c r="J522" s="15" t="s">
        <v>157</v>
      </c>
    </row>
    <row r="523" spans="1:11" x14ac:dyDescent="0.25">
      <c r="A523" s="4" t="s">
        <v>706</v>
      </c>
      <c r="B523" s="37">
        <f t="shared" ref="B523:J523" si="5">($B328*B347+$B356*B384+$B393*B421+$B430*B458)/($B328*B347+$B356*B384+$B393*B421+$B430*B458*B506)</f>
        <v>1.0000169416219407</v>
      </c>
      <c r="C523" s="37">
        <f t="shared" si="5"/>
        <v>1.0000176625563064</v>
      </c>
      <c r="D523" s="37">
        <f t="shared" si="5"/>
        <v>1.0000176625563064</v>
      </c>
      <c r="E523" s="37">
        <f t="shared" si="5"/>
        <v>1.0000197099307326</v>
      </c>
      <c r="F523" s="37">
        <f t="shared" si="5"/>
        <v>1.0000197099307326</v>
      </c>
      <c r="G523" s="37">
        <f t="shared" si="5"/>
        <v>1.0000176625563064</v>
      </c>
      <c r="H523" s="37">
        <f t="shared" si="5"/>
        <v>1.0000197099307326</v>
      </c>
      <c r="I523" s="37">
        <f t="shared" si="5"/>
        <v>1.0000197099307326</v>
      </c>
      <c r="J523" s="37">
        <f t="shared" si="5"/>
        <v>1.0000197099307326</v>
      </c>
      <c r="K523" s="17"/>
    </row>
    <row r="524" spans="1:11" x14ac:dyDescent="0.25">
      <c r="A524" s="4" t="s">
        <v>707</v>
      </c>
      <c r="B524" s="37">
        <f t="shared" ref="B524:J524" si="6">($B329*B348+$B357*B385+$B394*B422+$B431*B459)/($B329*B348+$B357*B385+$B394*B422+$B431*B459*B507)</f>
        <v>0.98639421211287515</v>
      </c>
      <c r="C524" s="37">
        <f t="shared" si="6"/>
        <v>0.98662203159149009</v>
      </c>
      <c r="D524" s="37">
        <f t="shared" si="6"/>
        <v>0.98662203159149009</v>
      </c>
      <c r="E524" s="37">
        <f t="shared" si="6"/>
        <v>0.98709456012070584</v>
      </c>
      <c r="F524" s="37">
        <f t="shared" si="6"/>
        <v>0.98709456012070584</v>
      </c>
      <c r="G524" s="37">
        <f t="shared" si="6"/>
        <v>0.98662203159149009</v>
      </c>
      <c r="H524" s="37">
        <f t="shared" si="6"/>
        <v>0.98709456012070584</v>
      </c>
      <c r="I524" s="37">
        <f t="shared" si="6"/>
        <v>0.98709456012070584</v>
      </c>
      <c r="J524" s="37">
        <f t="shared" si="6"/>
        <v>0.98709456012070584</v>
      </c>
      <c r="K524" s="17"/>
    </row>
    <row r="526" spans="1:11" ht="21" customHeight="1" x14ac:dyDescent="0.3">
      <c r="A526" s="1" t="s">
        <v>721</v>
      </c>
    </row>
    <row r="527" spans="1:11" x14ac:dyDescent="0.25">
      <c r="A527" s="2" t="s">
        <v>381</v>
      </c>
    </row>
    <row r="528" spans="1:11" x14ac:dyDescent="0.25">
      <c r="A528" s="32" t="s">
        <v>673</v>
      </c>
    </row>
    <row r="529" spans="1:38" x14ac:dyDescent="0.25">
      <c r="A529" s="32" t="s">
        <v>722</v>
      </c>
    </row>
    <row r="530" spans="1:38" x14ac:dyDescent="0.25">
      <c r="A530" s="2" t="s">
        <v>723</v>
      </c>
    </row>
    <row r="532" spans="1:38" x14ac:dyDescent="0.25">
      <c r="B532" s="28" t="s">
        <v>150</v>
      </c>
      <c r="C532" s="15" t="s">
        <v>348</v>
      </c>
      <c r="D532" s="15" t="s">
        <v>349</v>
      </c>
      <c r="E532" s="15" t="s">
        <v>350</v>
      </c>
      <c r="F532" s="28" t="s">
        <v>151</v>
      </c>
      <c r="G532" s="15" t="s">
        <v>348</v>
      </c>
      <c r="H532" s="15" t="s">
        <v>349</v>
      </c>
      <c r="I532" s="15" t="s">
        <v>350</v>
      </c>
      <c r="J532" s="28" t="s">
        <v>152</v>
      </c>
      <c r="K532" s="15" t="s">
        <v>348</v>
      </c>
      <c r="L532" s="15" t="s">
        <v>349</v>
      </c>
      <c r="M532" s="15" t="s">
        <v>350</v>
      </c>
      <c r="N532" s="28" t="s">
        <v>153</v>
      </c>
      <c r="O532" s="15" t="s">
        <v>348</v>
      </c>
      <c r="P532" s="15" t="s">
        <v>349</v>
      </c>
      <c r="Q532" s="15" t="s">
        <v>350</v>
      </c>
      <c r="R532" s="28" t="s">
        <v>154</v>
      </c>
      <c r="S532" s="15" t="s">
        <v>348</v>
      </c>
      <c r="T532" s="15" t="s">
        <v>349</v>
      </c>
      <c r="U532" s="15" t="s">
        <v>350</v>
      </c>
      <c r="V532" s="28" t="s">
        <v>159</v>
      </c>
      <c r="W532" s="15" t="s">
        <v>348</v>
      </c>
      <c r="X532" s="15" t="s">
        <v>349</v>
      </c>
      <c r="Y532" s="15" t="s">
        <v>350</v>
      </c>
      <c r="Z532" s="28" t="s">
        <v>155</v>
      </c>
      <c r="AA532" s="15" t="s">
        <v>348</v>
      </c>
      <c r="AB532" s="15" t="s">
        <v>349</v>
      </c>
      <c r="AC532" s="15" t="s">
        <v>350</v>
      </c>
      <c r="AD532" s="28" t="s">
        <v>156</v>
      </c>
      <c r="AE532" s="15" t="s">
        <v>348</v>
      </c>
      <c r="AF532" s="15" t="s">
        <v>349</v>
      </c>
      <c r="AG532" s="15" t="s">
        <v>350</v>
      </c>
      <c r="AH532" s="28" t="s">
        <v>157</v>
      </c>
      <c r="AI532" s="15" t="s">
        <v>348</v>
      </c>
      <c r="AJ532" s="15" t="s">
        <v>349</v>
      </c>
      <c r="AK532" s="15" t="s">
        <v>350</v>
      </c>
    </row>
    <row r="533" spans="1:38" x14ac:dyDescent="0.25">
      <c r="A533" s="4" t="s">
        <v>182</v>
      </c>
      <c r="C533" s="37">
        <f t="shared" ref="C533:E534" si="7">C319*$B523</f>
        <v>24.879488233284437</v>
      </c>
      <c r="D533" s="37">
        <f t="shared" si="7"/>
        <v>0</v>
      </c>
      <c r="E533" s="37">
        <f t="shared" si="7"/>
        <v>0</v>
      </c>
      <c r="G533" s="37">
        <f t="shared" ref="G533:I534" si="8">G319*$C523</f>
        <v>22.097227063412546</v>
      </c>
      <c r="H533" s="37">
        <f t="shared" si="8"/>
        <v>0.29377150156809118</v>
      </c>
      <c r="I533" s="37">
        <f t="shared" si="8"/>
        <v>9.2139871388182082E-2</v>
      </c>
      <c r="K533" s="37">
        <f t="shared" ref="K533:M534" si="9">K319*$D523</f>
        <v>22.097227063412546</v>
      </c>
      <c r="L533" s="37">
        <f t="shared" si="9"/>
        <v>0.29377150156809118</v>
      </c>
      <c r="M533" s="37">
        <f t="shared" si="9"/>
        <v>9.2139871388182082E-2</v>
      </c>
      <c r="O533" s="37">
        <f t="shared" ref="O533:Q534" si="10">O319*$E523</f>
        <v>15.710177362643519</v>
      </c>
      <c r="P533" s="37">
        <f t="shared" si="10"/>
        <v>1.1157942039872315</v>
      </c>
      <c r="Q533" s="37">
        <f t="shared" si="10"/>
        <v>0.19745424992841629</v>
      </c>
      <c r="S533" s="37">
        <f t="shared" ref="S533:U534" si="11">S319*$F523</f>
        <v>15.710177362643519</v>
      </c>
      <c r="T533" s="37">
        <f t="shared" si="11"/>
        <v>1.1157942039872315</v>
      </c>
      <c r="U533" s="37">
        <f t="shared" si="11"/>
        <v>0.19745424992841629</v>
      </c>
      <c r="W533" s="37">
        <f t="shared" ref="W533:Y534" si="12">W319*$G523</f>
        <v>22.097227063412546</v>
      </c>
      <c r="X533" s="37">
        <f t="shared" si="12"/>
        <v>0.29377150156809118</v>
      </c>
      <c r="Y533" s="37">
        <f t="shared" si="12"/>
        <v>9.2139871388182082E-2</v>
      </c>
      <c r="AA533" s="37">
        <f t="shared" ref="AA533:AC534" si="13">AA319*$H523</f>
        <v>15.710177362643519</v>
      </c>
      <c r="AB533" s="37">
        <f t="shared" si="13"/>
        <v>1.1157942039872315</v>
      </c>
      <c r="AC533" s="37">
        <f t="shared" si="13"/>
        <v>0.19745424992841629</v>
      </c>
      <c r="AE533" s="37">
        <f t="shared" ref="AE533:AG534" si="14">AE319*$I523</f>
        <v>15.710177362643519</v>
      </c>
      <c r="AF533" s="37">
        <f t="shared" si="14"/>
        <v>1.1157942039872315</v>
      </c>
      <c r="AG533" s="37">
        <f t="shared" si="14"/>
        <v>0.19745424992841629</v>
      </c>
      <c r="AI533" s="37">
        <f t="shared" ref="AI533:AK534" si="15">AI319*$J523</f>
        <v>15.710177362643519</v>
      </c>
      <c r="AJ533" s="37">
        <f t="shared" si="15"/>
        <v>1.1157942039872315</v>
      </c>
      <c r="AK533" s="37">
        <f t="shared" si="15"/>
        <v>0.19745424992841629</v>
      </c>
      <c r="AL533" s="17"/>
    </row>
    <row r="534" spans="1:38" x14ac:dyDescent="0.25">
      <c r="A534" s="4" t="s">
        <v>184</v>
      </c>
      <c r="C534" s="37">
        <f t="shared" si="7"/>
        <v>26.508442528184851</v>
      </c>
      <c r="D534" s="37">
        <f t="shared" si="7"/>
        <v>0</v>
      </c>
      <c r="E534" s="37">
        <f t="shared" si="7"/>
        <v>0</v>
      </c>
      <c r="G534" s="37">
        <f t="shared" si="8"/>
        <v>23.549436978485993</v>
      </c>
      <c r="H534" s="37">
        <f t="shared" si="8"/>
        <v>0.3130779007881801</v>
      </c>
      <c r="I534" s="37">
        <f t="shared" si="8"/>
        <v>9.8195220976595346E-2</v>
      </c>
      <c r="K534" s="37">
        <f t="shared" si="9"/>
        <v>23.549436978485993</v>
      </c>
      <c r="L534" s="37">
        <f t="shared" si="9"/>
        <v>0.3130779007881801</v>
      </c>
      <c r="M534" s="37">
        <f t="shared" si="9"/>
        <v>9.8195220976595346E-2</v>
      </c>
      <c r="O534" s="37">
        <f t="shared" si="10"/>
        <v>16.750620460401567</v>
      </c>
      <c r="P534" s="37">
        <f t="shared" si="10"/>
        <v>1.1896902747481799</v>
      </c>
      <c r="Q534" s="37">
        <f t="shared" si="10"/>
        <v>0.21053111766318294</v>
      </c>
      <c r="S534" s="37">
        <f t="shared" si="11"/>
        <v>16.750620460401567</v>
      </c>
      <c r="T534" s="37">
        <f t="shared" si="11"/>
        <v>1.1896902747481799</v>
      </c>
      <c r="U534" s="37">
        <f t="shared" si="11"/>
        <v>0.21053111766318294</v>
      </c>
      <c r="W534" s="37">
        <f t="shared" si="12"/>
        <v>23.549436978485993</v>
      </c>
      <c r="X534" s="37">
        <f t="shared" si="12"/>
        <v>0.3130779007881801</v>
      </c>
      <c r="Y534" s="37">
        <f t="shared" si="12"/>
        <v>9.8195220976595346E-2</v>
      </c>
      <c r="AA534" s="37">
        <f t="shared" si="13"/>
        <v>16.750620460401567</v>
      </c>
      <c r="AB534" s="37">
        <f t="shared" si="13"/>
        <v>1.1896902747481799</v>
      </c>
      <c r="AC534" s="37">
        <f t="shared" si="13"/>
        <v>0.21053111766318294</v>
      </c>
      <c r="AE534" s="37">
        <f t="shared" si="14"/>
        <v>16.750620460401567</v>
      </c>
      <c r="AF534" s="37">
        <f t="shared" si="14"/>
        <v>1.1896902747481799</v>
      </c>
      <c r="AG534" s="37">
        <f t="shared" si="14"/>
        <v>0.21053111766318294</v>
      </c>
      <c r="AI534" s="37">
        <f t="shared" si="15"/>
        <v>16.750620460401567</v>
      </c>
      <c r="AJ534" s="37">
        <f t="shared" si="15"/>
        <v>1.1896902747481799</v>
      </c>
      <c r="AK534" s="37">
        <f t="shared" si="15"/>
        <v>0.21053111766318294</v>
      </c>
      <c r="AL534" s="17"/>
    </row>
    <row r="536" spans="1:38" ht="21" customHeight="1" x14ac:dyDescent="0.3">
      <c r="A536" s="1" t="s">
        <v>724</v>
      </c>
    </row>
    <row r="537" spans="1:38" x14ac:dyDescent="0.25">
      <c r="A537" s="2" t="s">
        <v>381</v>
      </c>
    </row>
    <row r="538" spans="1:38" x14ac:dyDescent="0.25">
      <c r="A538" s="32" t="s">
        <v>681</v>
      </c>
    </row>
    <row r="539" spans="1:38" x14ac:dyDescent="0.25">
      <c r="A539" s="32" t="s">
        <v>722</v>
      </c>
    </row>
    <row r="540" spans="1:38" x14ac:dyDescent="0.25">
      <c r="A540" s="2" t="s">
        <v>723</v>
      </c>
    </row>
    <row r="542" spans="1:38" x14ac:dyDescent="0.25">
      <c r="B542" s="28" t="s">
        <v>150</v>
      </c>
      <c r="C542" s="15" t="s">
        <v>348</v>
      </c>
      <c r="D542" s="15" t="s">
        <v>349</v>
      </c>
      <c r="E542" s="15" t="s">
        <v>350</v>
      </c>
      <c r="F542" s="28" t="s">
        <v>151</v>
      </c>
      <c r="G542" s="15" t="s">
        <v>348</v>
      </c>
      <c r="H542" s="15" t="s">
        <v>349</v>
      </c>
      <c r="I542" s="15" t="s">
        <v>350</v>
      </c>
      <c r="J542" s="28" t="s">
        <v>152</v>
      </c>
      <c r="K542" s="15" t="s">
        <v>348</v>
      </c>
      <c r="L542" s="15" t="s">
        <v>349</v>
      </c>
      <c r="M542" s="15" t="s">
        <v>350</v>
      </c>
      <c r="N542" s="28" t="s">
        <v>153</v>
      </c>
      <c r="O542" s="15" t="s">
        <v>348</v>
      </c>
      <c r="P542" s="15" t="s">
        <v>349</v>
      </c>
      <c r="Q542" s="15" t="s">
        <v>350</v>
      </c>
      <c r="R542" s="28" t="s">
        <v>154</v>
      </c>
      <c r="S542" s="15" t="s">
        <v>348</v>
      </c>
      <c r="T542" s="15" t="s">
        <v>349</v>
      </c>
      <c r="U542" s="15" t="s">
        <v>350</v>
      </c>
      <c r="V542" s="28" t="s">
        <v>159</v>
      </c>
      <c r="W542" s="15" t="s">
        <v>348</v>
      </c>
      <c r="X542" s="15" t="s">
        <v>349</v>
      </c>
      <c r="Y542" s="15" t="s">
        <v>350</v>
      </c>
      <c r="Z542" s="28" t="s">
        <v>155</v>
      </c>
      <c r="AA542" s="15" t="s">
        <v>348</v>
      </c>
      <c r="AB542" s="15" t="s">
        <v>349</v>
      </c>
      <c r="AC542" s="15" t="s">
        <v>350</v>
      </c>
      <c r="AD542" s="28" t="s">
        <v>156</v>
      </c>
      <c r="AE542" s="15" t="s">
        <v>348</v>
      </c>
      <c r="AF542" s="15" t="s">
        <v>349</v>
      </c>
      <c r="AG542" s="15" t="s">
        <v>350</v>
      </c>
      <c r="AH542" s="28" t="s">
        <v>157</v>
      </c>
      <c r="AI542" s="15" t="s">
        <v>348</v>
      </c>
      <c r="AJ542" s="15" t="s">
        <v>349</v>
      </c>
      <c r="AK542" s="15" t="s">
        <v>350</v>
      </c>
    </row>
    <row r="543" spans="1:38" x14ac:dyDescent="0.25">
      <c r="A543" s="4" t="s">
        <v>183</v>
      </c>
      <c r="C543" s="37">
        <f t="shared" ref="C543:E544" si="16">C365*$B523</f>
        <v>24.676052897499812</v>
      </c>
      <c r="D543" s="37">
        <f t="shared" si="16"/>
        <v>0</v>
      </c>
      <c r="E543" s="37">
        <f t="shared" si="16"/>
        <v>0</v>
      </c>
      <c r="G543" s="37">
        <f t="shared" ref="G543:I544" si="17">G365*$C523</f>
        <v>21.916541803112843</v>
      </c>
      <c r="H543" s="37">
        <f t="shared" si="17"/>
        <v>0.29136938205883584</v>
      </c>
      <c r="I543" s="37">
        <f t="shared" si="17"/>
        <v>9.1386459360601455E-2</v>
      </c>
      <c r="K543" s="37">
        <f t="shared" ref="K543:M544" si="18">K365*$D523</f>
        <v>21.916541803112843</v>
      </c>
      <c r="L543" s="37">
        <f t="shared" si="18"/>
        <v>0.29136938205883584</v>
      </c>
      <c r="M543" s="37">
        <f t="shared" si="18"/>
        <v>9.1386459360601455E-2</v>
      </c>
      <c r="O543" s="37">
        <f t="shared" ref="O543:Q544" si="19">O365*$E523</f>
        <v>15.58171791938496</v>
      </c>
      <c r="P543" s="37">
        <f t="shared" si="19"/>
        <v>1.1066705449140917</v>
      </c>
      <c r="Q543" s="37">
        <f t="shared" si="19"/>
        <v>0.19583970017322677</v>
      </c>
      <c r="S543" s="37">
        <f t="shared" ref="S543:U544" si="20">S365*$F523</f>
        <v>15.58171791938496</v>
      </c>
      <c r="T543" s="37">
        <f t="shared" si="20"/>
        <v>1.1066705449140917</v>
      </c>
      <c r="U543" s="37">
        <f t="shared" si="20"/>
        <v>0.19583970017322677</v>
      </c>
      <c r="W543" s="37">
        <f t="shared" ref="W543:Y544" si="21">W365*$G523</f>
        <v>21.916541803112843</v>
      </c>
      <c r="X543" s="37">
        <f t="shared" si="21"/>
        <v>0.29136938205883584</v>
      </c>
      <c r="Y543" s="37">
        <f t="shared" si="21"/>
        <v>9.1386459360601455E-2</v>
      </c>
      <c r="AA543" s="37">
        <f t="shared" ref="AA543:AC544" si="22">AA365*$H523</f>
        <v>15.58171791938496</v>
      </c>
      <c r="AB543" s="37">
        <f t="shared" si="22"/>
        <v>1.1066705449140917</v>
      </c>
      <c r="AC543" s="37">
        <f t="shared" si="22"/>
        <v>0.19583970017322677</v>
      </c>
      <c r="AE543" s="37">
        <f t="shared" ref="AE543:AG544" si="23">AE365*$I523</f>
        <v>15.58171791938496</v>
      </c>
      <c r="AF543" s="37">
        <f t="shared" si="23"/>
        <v>1.1066705449140917</v>
      </c>
      <c r="AG543" s="37">
        <f t="shared" si="23"/>
        <v>0.19583970017322677</v>
      </c>
      <c r="AI543" s="37">
        <f t="shared" ref="AI543:AK544" si="24">AI365*$J523</f>
        <v>15.58171791938496</v>
      </c>
      <c r="AJ543" s="37">
        <f t="shared" si="24"/>
        <v>1.1066705449140917</v>
      </c>
      <c r="AK543" s="37">
        <f t="shared" si="24"/>
        <v>0.19583970017322677</v>
      </c>
      <c r="AL543" s="17"/>
    </row>
    <row r="544" spans="1:38" x14ac:dyDescent="0.25">
      <c r="A544" s="4" t="s">
        <v>185</v>
      </c>
      <c r="C544" s="37">
        <f t="shared" si="16"/>
        <v>24.26614007790786</v>
      </c>
      <c r="D544" s="37">
        <f t="shared" si="16"/>
        <v>0</v>
      </c>
      <c r="E544" s="37">
        <f t="shared" si="16"/>
        <v>0</v>
      </c>
      <c r="G544" s="37">
        <f t="shared" si="17"/>
        <v>21.557431594414169</v>
      </c>
      <c r="H544" s="37">
        <f t="shared" si="17"/>
        <v>0.28659519274833573</v>
      </c>
      <c r="I544" s="37">
        <f t="shared" si="17"/>
        <v>8.9889060236778104E-2</v>
      </c>
      <c r="K544" s="37">
        <f t="shared" si="18"/>
        <v>21.557431594414169</v>
      </c>
      <c r="L544" s="37">
        <f t="shared" si="18"/>
        <v>0.28659519274833573</v>
      </c>
      <c r="M544" s="37">
        <f t="shared" si="18"/>
        <v>8.9889060236778104E-2</v>
      </c>
      <c r="O544" s="37">
        <f t="shared" si="19"/>
        <v>15.333714987283591</v>
      </c>
      <c r="P544" s="37">
        <f t="shared" si="19"/>
        <v>1.0890564704308496</v>
      </c>
      <c r="Q544" s="37">
        <f t="shared" si="19"/>
        <v>0.19272266133860705</v>
      </c>
      <c r="S544" s="37">
        <f t="shared" si="20"/>
        <v>15.333714987283591</v>
      </c>
      <c r="T544" s="37">
        <f t="shared" si="20"/>
        <v>1.0890564704308496</v>
      </c>
      <c r="U544" s="37">
        <f t="shared" si="20"/>
        <v>0.19272266133860705</v>
      </c>
      <c r="W544" s="37">
        <f t="shared" si="21"/>
        <v>21.557431594414169</v>
      </c>
      <c r="X544" s="37">
        <f t="shared" si="21"/>
        <v>0.28659519274833573</v>
      </c>
      <c r="Y544" s="37">
        <f t="shared" si="21"/>
        <v>8.9889060236778104E-2</v>
      </c>
      <c r="AA544" s="37">
        <f t="shared" si="22"/>
        <v>15.333714987283591</v>
      </c>
      <c r="AB544" s="37">
        <f t="shared" si="22"/>
        <v>1.0890564704308496</v>
      </c>
      <c r="AC544" s="37">
        <f t="shared" si="22"/>
        <v>0.19272266133860705</v>
      </c>
      <c r="AE544" s="37">
        <f t="shared" si="23"/>
        <v>15.333714987283591</v>
      </c>
      <c r="AF544" s="37">
        <f t="shared" si="23"/>
        <v>1.0890564704308496</v>
      </c>
      <c r="AG544" s="37">
        <f t="shared" si="23"/>
        <v>0.19272266133860705</v>
      </c>
      <c r="AI544" s="37">
        <f t="shared" si="24"/>
        <v>15.333714987283591</v>
      </c>
      <c r="AJ544" s="37">
        <f t="shared" si="24"/>
        <v>1.0890564704308496</v>
      </c>
      <c r="AK544" s="37">
        <f t="shared" si="24"/>
        <v>0.19272266133860705</v>
      </c>
      <c r="AL544" s="17"/>
    </row>
    <row r="546" spans="1:38" ht="21" customHeight="1" x14ac:dyDescent="0.3">
      <c r="A546" s="1" t="s">
        <v>725</v>
      </c>
    </row>
    <row r="547" spans="1:38" x14ac:dyDescent="0.25">
      <c r="A547" s="2" t="s">
        <v>381</v>
      </c>
    </row>
    <row r="548" spans="1:38" x14ac:dyDescent="0.25">
      <c r="A548" s="32" t="s">
        <v>688</v>
      </c>
    </row>
    <row r="549" spans="1:38" x14ac:dyDescent="0.25">
      <c r="A549" s="32" t="s">
        <v>722</v>
      </c>
    </row>
    <row r="550" spans="1:38" x14ac:dyDescent="0.25">
      <c r="A550" s="2" t="s">
        <v>723</v>
      </c>
    </row>
    <row r="552" spans="1:38" x14ac:dyDescent="0.25">
      <c r="B552" s="28" t="s">
        <v>150</v>
      </c>
      <c r="C552" s="15" t="s">
        <v>348</v>
      </c>
      <c r="D552" s="15" t="s">
        <v>349</v>
      </c>
      <c r="E552" s="15" t="s">
        <v>350</v>
      </c>
      <c r="F552" s="28" t="s">
        <v>151</v>
      </c>
      <c r="G552" s="15" t="s">
        <v>348</v>
      </c>
      <c r="H552" s="15" t="s">
        <v>349</v>
      </c>
      <c r="I552" s="15" t="s">
        <v>350</v>
      </c>
      <c r="J552" s="28" t="s">
        <v>152</v>
      </c>
      <c r="K552" s="15" t="s">
        <v>348</v>
      </c>
      <c r="L552" s="15" t="s">
        <v>349</v>
      </c>
      <c r="M552" s="15" t="s">
        <v>350</v>
      </c>
      <c r="N552" s="28" t="s">
        <v>153</v>
      </c>
      <c r="O552" s="15" t="s">
        <v>348</v>
      </c>
      <c r="P552" s="15" t="s">
        <v>349</v>
      </c>
      <c r="Q552" s="15" t="s">
        <v>350</v>
      </c>
      <c r="R552" s="28" t="s">
        <v>154</v>
      </c>
      <c r="S552" s="15" t="s">
        <v>348</v>
      </c>
      <c r="T552" s="15" t="s">
        <v>349</v>
      </c>
      <c r="U552" s="15" t="s">
        <v>350</v>
      </c>
      <c r="V552" s="28" t="s">
        <v>159</v>
      </c>
      <c r="W552" s="15" t="s">
        <v>348</v>
      </c>
      <c r="X552" s="15" t="s">
        <v>349</v>
      </c>
      <c r="Y552" s="15" t="s">
        <v>350</v>
      </c>
      <c r="Z552" s="28" t="s">
        <v>155</v>
      </c>
      <c r="AA552" s="15" t="s">
        <v>348</v>
      </c>
      <c r="AB552" s="15" t="s">
        <v>349</v>
      </c>
      <c r="AC552" s="15" t="s">
        <v>350</v>
      </c>
      <c r="AD552" s="28" t="s">
        <v>156</v>
      </c>
      <c r="AE552" s="15" t="s">
        <v>348</v>
      </c>
      <c r="AF552" s="15" t="s">
        <v>349</v>
      </c>
      <c r="AG552" s="15" t="s">
        <v>350</v>
      </c>
      <c r="AH552" s="28" t="s">
        <v>157</v>
      </c>
      <c r="AI552" s="15" t="s">
        <v>348</v>
      </c>
      <c r="AJ552" s="15" t="s">
        <v>349</v>
      </c>
      <c r="AK552" s="15" t="s">
        <v>350</v>
      </c>
    </row>
    <row r="553" spans="1:38" x14ac:dyDescent="0.25">
      <c r="A553" s="4" t="s">
        <v>228</v>
      </c>
      <c r="C553" s="37">
        <f t="shared" ref="C553:E554" si="25">C402*$B523</f>
        <v>16.763642777112835</v>
      </c>
      <c r="D553" s="37">
        <f t="shared" si="25"/>
        <v>0</v>
      </c>
      <c r="E553" s="37">
        <f t="shared" si="25"/>
        <v>0</v>
      </c>
      <c r="G553" s="37">
        <f t="shared" ref="G553:I554" si="26">G402*$C523</f>
        <v>14.888972690371784</v>
      </c>
      <c r="H553" s="37">
        <f t="shared" si="26"/>
        <v>0.19794139108517339</v>
      </c>
      <c r="I553" s="37">
        <f t="shared" si="26"/>
        <v>6.2083266142677229E-2</v>
      </c>
      <c r="K553" s="37">
        <f t="shared" ref="K553:M554" si="27">K402*$D523</f>
        <v>14.888972690371784</v>
      </c>
      <c r="L553" s="37">
        <f t="shared" si="27"/>
        <v>0.19794139108517339</v>
      </c>
      <c r="M553" s="37">
        <f t="shared" si="27"/>
        <v>6.2083266142677229E-2</v>
      </c>
      <c r="O553" s="37">
        <f t="shared" ref="O553:Q554" si="28">O402*$E523</f>
        <v>10.585418751504337</v>
      </c>
      <c r="P553" s="37">
        <f t="shared" si="28"/>
        <v>0.75181512067403311</v>
      </c>
      <c r="Q553" s="37">
        <f t="shared" si="28"/>
        <v>0.13304343238839023</v>
      </c>
      <c r="S553" s="37">
        <f t="shared" ref="S553:U554" si="29">S402*$F523</f>
        <v>10.585418751504337</v>
      </c>
      <c r="T553" s="37">
        <f t="shared" si="29"/>
        <v>0.75181512067403311</v>
      </c>
      <c r="U553" s="37">
        <f t="shared" si="29"/>
        <v>0.13304343238839023</v>
      </c>
      <c r="W553" s="37">
        <f t="shared" ref="W553:Y554" si="30">W402*$G523</f>
        <v>14.888972690371784</v>
      </c>
      <c r="X553" s="37">
        <f t="shared" si="30"/>
        <v>0.19794139108517339</v>
      </c>
      <c r="Y553" s="37">
        <f t="shared" si="30"/>
        <v>6.2083266142677229E-2</v>
      </c>
      <c r="AA553" s="37">
        <f t="shared" ref="AA553:AC554" si="31">AA402*$H523</f>
        <v>10.585418751504337</v>
      </c>
      <c r="AB553" s="37">
        <f t="shared" si="31"/>
        <v>0.75181512067403311</v>
      </c>
      <c r="AC553" s="37">
        <f t="shared" si="31"/>
        <v>0.13304343238839023</v>
      </c>
      <c r="AE553" s="37">
        <f t="shared" ref="AE553:AG554" si="32">AE402*$I523</f>
        <v>10.585418751504337</v>
      </c>
      <c r="AF553" s="37">
        <f t="shared" si="32"/>
        <v>0.75181512067403311</v>
      </c>
      <c r="AG553" s="37">
        <f t="shared" si="32"/>
        <v>0.13304343238839023</v>
      </c>
      <c r="AI553" s="37">
        <f t="shared" ref="AI553:AK554" si="33">AI402*$J523</f>
        <v>10.585418751504337</v>
      </c>
      <c r="AJ553" s="37">
        <f t="shared" si="33"/>
        <v>0.75181512067403311</v>
      </c>
      <c r="AK553" s="37">
        <f t="shared" si="33"/>
        <v>0.13304343238839023</v>
      </c>
      <c r="AL553" s="17"/>
    </row>
    <row r="554" spans="1:38" x14ac:dyDescent="0.25">
      <c r="A554" s="4" t="s">
        <v>229</v>
      </c>
      <c r="C554" s="37">
        <f t="shared" si="25"/>
        <v>16.535280074808195</v>
      </c>
      <c r="D554" s="37">
        <f t="shared" si="25"/>
        <v>0</v>
      </c>
      <c r="E554" s="37">
        <f t="shared" si="25"/>
        <v>0</v>
      </c>
      <c r="G554" s="37">
        <f t="shared" si="26"/>
        <v>14.689529029451226</v>
      </c>
      <c r="H554" s="37">
        <f t="shared" si="26"/>
        <v>0.19528988808985498</v>
      </c>
      <c r="I554" s="37">
        <f t="shared" si="26"/>
        <v>6.1251636309048209E-2</v>
      </c>
      <c r="K554" s="37">
        <f t="shared" si="27"/>
        <v>14.689529029451226</v>
      </c>
      <c r="L554" s="37">
        <f t="shared" si="27"/>
        <v>0.19528988808985498</v>
      </c>
      <c r="M554" s="37">
        <f t="shared" si="27"/>
        <v>6.1251636309048209E-2</v>
      </c>
      <c r="O554" s="37">
        <f t="shared" si="28"/>
        <v>10.448603324961857</v>
      </c>
      <c r="P554" s="37">
        <f t="shared" si="28"/>
        <v>0.74209798913386738</v>
      </c>
      <c r="Q554" s="37">
        <f t="shared" si="28"/>
        <v>0.13132385998618304</v>
      </c>
      <c r="S554" s="37">
        <f t="shared" si="29"/>
        <v>10.448603324961857</v>
      </c>
      <c r="T554" s="37">
        <f t="shared" si="29"/>
        <v>0.74209798913386738</v>
      </c>
      <c r="U554" s="37">
        <f t="shared" si="29"/>
        <v>0.13132385998618304</v>
      </c>
      <c r="W554" s="37">
        <f t="shared" si="30"/>
        <v>14.689529029451226</v>
      </c>
      <c r="X554" s="37">
        <f t="shared" si="30"/>
        <v>0.19528988808985498</v>
      </c>
      <c r="Y554" s="37">
        <f t="shared" si="30"/>
        <v>6.1251636309048209E-2</v>
      </c>
      <c r="AA554" s="37">
        <f t="shared" si="31"/>
        <v>10.448603324961857</v>
      </c>
      <c r="AB554" s="37">
        <f t="shared" si="31"/>
        <v>0.74209798913386738</v>
      </c>
      <c r="AC554" s="37">
        <f t="shared" si="31"/>
        <v>0.13132385998618304</v>
      </c>
      <c r="AE554" s="37">
        <f t="shared" si="32"/>
        <v>10.448603324961857</v>
      </c>
      <c r="AF554" s="37">
        <f t="shared" si="32"/>
        <v>0.74209798913386738</v>
      </c>
      <c r="AG554" s="37">
        <f t="shared" si="32"/>
        <v>0.13132385998618304</v>
      </c>
      <c r="AI554" s="37">
        <f t="shared" si="33"/>
        <v>10.448603324961857</v>
      </c>
      <c r="AJ554" s="37">
        <f t="shared" si="33"/>
        <v>0.74209798913386738</v>
      </c>
      <c r="AK554" s="37">
        <f t="shared" si="33"/>
        <v>0.13132385998618304</v>
      </c>
      <c r="AL554" s="17"/>
    </row>
    <row r="556" spans="1:38" ht="21" customHeight="1" x14ac:dyDescent="0.3">
      <c r="A556" s="1" t="s">
        <v>726</v>
      </c>
    </row>
    <row r="557" spans="1:38" x14ac:dyDescent="0.25">
      <c r="A557" s="2" t="s">
        <v>381</v>
      </c>
    </row>
    <row r="558" spans="1:38" x14ac:dyDescent="0.25">
      <c r="A558" s="32" t="s">
        <v>696</v>
      </c>
    </row>
    <row r="559" spans="1:38" x14ac:dyDescent="0.25">
      <c r="A559" s="32" t="s">
        <v>722</v>
      </c>
    </row>
    <row r="560" spans="1:38" x14ac:dyDescent="0.25">
      <c r="A560" s="32" t="s">
        <v>727</v>
      </c>
    </row>
    <row r="561" spans="1:38" x14ac:dyDescent="0.25">
      <c r="A561" s="2" t="s">
        <v>728</v>
      </c>
    </row>
    <row r="563" spans="1:38" x14ac:dyDescent="0.25">
      <c r="B563" s="28" t="s">
        <v>150</v>
      </c>
      <c r="C563" s="15" t="s">
        <v>348</v>
      </c>
      <c r="D563" s="15" t="s">
        <v>349</v>
      </c>
      <c r="E563" s="15" t="s">
        <v>350</v>
      </c>
      <c r="F563" s="28" t="s">
        <v>151</v>
      </c>
      <c r="G563" s="15" t="s">
        <v>348</v>
      </c>
      <c r="H563" s="15" t="s">
        <v>349</v>
      </c>
      <c r="I563" s="15" t="s">
        <v>350</v>
      </c>
      <c r="J563" s="28" t="s">
        <v>152</v>
      </c>
      <c r="K563" s="15" t="s">
        <v>348</v>
      </c>
      <c r="L563" s="15" t="s">
        <v>349</v>
      </c>
      <c r="M563" s="15" t="s">
        <v>350</v>
      </c>
      <c r="N563" s="28" t="s">
        <v>153</v>
      </c>
      <c r="O563" s="15" t="s">
        <v>348</v>
      </c>
      <c r="P563" s="15" t="s">
        <v>349</v>
      </c>
      <c r="Q563" s="15" t="s">
        <v>350</v>
      </c>
      <c r="R563" s="28" t="s">
        <v>154</v>
      </c>
      <c r="S563" s="15" t="s">
        <v>348</v>
      </c>
      <c r="T563" s="15" t="s">
        <v>349</v>
      </c>
      <c r="U563" s="15" t="s">
        <v>350</v>
      </c>
      <c r="V563" s="28" t="s">
        <v>159</v>
      </c>
      <c r="W563" s="15" t="s">
        <v>348</v>
      </c>
      <c r="X563" s="15" t="s">
        <v>349</v>
      </c>
      <c r="Y563" s="15" t="s">
        <v>350</v>
      </c>
      <c r="Z563" s="28" t="s">
        <v>155</v>
      </c>
      <c r="AA563" s="15" t="s">
        <v>348</v>
      </c>
      <c r="AB563" s="15" t="s">
        <v>349</v>
      </c>
      <c r="AC563" s="15" t="s">
        <v>350</v>
      </c>
      <c r="AD563" s="28" t="s">
        <v>156</v>
      </c>
      <c r="AE563" s="15" t="s">
        <v>348</v>
      </c>
      <c r="AF563" s="15" t="s">
        <v>349</v>
      </c>
      <c r="AG563" s="15" t="s">
        <v>350</v>
      </c>
      <c r="AH563" s="28" t="s">
        <v>157</v>
      </c>
      <c r="AI563" s="15" t="s">
        <v>348</v>
      </c>
      <c r="AJ563" s="15" t="s">
        <v>349</v>
      </c>
      <c r="AK563" s="15" t="s">
        <v>350</v>
      </c>
    </row>
    <row r="564" spans="1:38" x14ac:dyDescent="0.25">
      <c r="A564" s="4" t="s">
        <v>188</v>
      </c>
      <c r="C564" s="37">
        <f t="shared" ref="C564:E565" si="34">C439*$B523*$B506</f>
        <v>24.847827662007816</v>
      </c>
      <c r="D564" s="37">
        <f t="shared" si="34"/>
        <v>0</v>
      </c>
      <c r="E564" s="37">
        <f t="shared" si="34"/>
        <v>0</v>
      </c>
      <c r="G564" s="37">
        <f t="shared" ref="G564:I565" si="35">G439*$C523*$C506</f>
        <v>22.064896673788081</v>
      </c>
      <c r="H564" s="37">
        <f t="shared" si="35"/>
        <v>0.2933416853255823</v>
      </c>
      <c r="I564" s="37">
        <f t="shared" si="35"/>
        <v>9.2005061806265789E-2</v>
      </c>
      <c r="K564" s="37">
        <f t="shared" ref="K564:M565" si="36">K439*$D523*$D506</f>
        <v>22.064896673788081</v>
      </c>
      <c r="L564" s="37">
        <f t="shared" si="36"/>
        <v>0.2933416853255823</v>
      </c>
      <c r="M564" s="37">
        <f t="shared" si="36"/>
        <v>9.2005061806265789E-2</v>
      </c>
      <c r="O564" s="37">
        <f t="shared" ref="O564:Q565" si="37">O439*$E523*$E506</f>
        <v>15.6821469255673</v>
      </c>
      <c r="P564" s="37">
        <f t="shared" si="37"/>
        <v>1.1138033799180371</v>
      </c>
      <c r="Q564" s="37">
        <f t="shared" si="37"/>
        <v>0.19710194779965678</v>
      </c>
      <c r="S564" s="37">
        <f t="shared" ref="S564:U565" si="38">S439*$F523*$F506</f>
        <v>15.6821469255673</v>
      </c>
      <c r="T564" s="37">
        <f t="shared" si="38"/>
        <v>1.1138033799180371</v>
      </c>
      <c r="U564" s="37">
        <f t="shared" si="38"/>
        <v>0.19710194779965678</v>
      </c>
      <c r="W564" s="37">
        <f t="shared" ref="W564:Y565" si="39">W439*$G523*$G506</f>
        <v>22.064896673788081</v>
      </c>
      <c r="X564" s="37">
        <f t="shared" si="39"/>
        <v>0.2933416853255823</v>
      </c>
      <c r="Y564" s="37">
        <f t="shared" si="39"/>
        <v>9.2005061806265789E-2</v>
      </c>
      <c r="AA564" s="37">
        <f t="shared" ref="AA564:AC565" si="40">AA439*$H523*$H506</f>
        <v>15.6821469255673</v>
      </c>
      <c r="AB564" s="37">
        <f t="shared" si="40"/>
        <v>1.1138033799180371</v>
      </c>
      <c r="AC564" s="37">
        <f t="shared" si="40"/>
        <v>0.19710194779965678</v>
      </c>
      <c r="AE564" s="37">
        <f t="shared" ref="AE564:AG565" si="41">AE439*$I523*$I506</f>
        <v>15.6821469255673</v>
      </c>
      <c r="AF564" s="37">
        <f t="shared" si="41"/>
        <v>1.1138033799180371</v>
      </c>
      <c r="AG564" s="37">
        <f t="shared" si="41"/>
        <v>0.19710194779965678</v>
      </c>
      <c r="AI564" s="37">
        <f t="shared" ref="AI564:AK565" si="42">AI439*$J523*$J506</f>
        <v>15.6821469255673</v>
      </c>
      <c r="AJ564" s="37">
        <f t="shared" si="42"/>
        <v>1.1138033799180371</v>
      </c>
      <c r="AK564" s="37">
        <f t="shared" si="42"/>
        <v>0.19710194779965678</v>
      </c>
      <c r="AL564" s="17"/>
    </row>
    <row r="565" spans="1:38" x14ac:dyDescent="0.25">
      <c r="A565" s="4" t="s">
        <v>189</v>
      </c>
      <c r="C565" s="37">
        <f t="shared" si="34"/>
        <v>25.809096811074692</v>
      </c>
      <c r="D565" s="37">
        <f t="shared" si="34"/>
        <v>0</v>
      </c>
      <c r="E565" s="37">
        <f t="shared" si="34"/>
        <v>0</v>
      </c>
      <c r="G565" s="37">
        <f t="shared" si="35"/>
        <v>22.924215537910769</v>
      </c>
      <c r="H565" s="37">
        <f t="shared" si="35"/>
        <v>0.30476589671258891</v>
      </c>
      <c r="I565" s="37">
        <f t="shared" si="35"/>
        <v>9.558820503932787E-2</v>
      </c>
      <c r="K565" s="37">
        <f t="shared" si="36"/>
        <v>22.924215537910769</v>
      </c>
      <c r="L565" s="37">
        <f t="shared" si="36"/>
        <v>0.30476589671258891</v>
      </c>
      <c r="M565" s="37">
        <f t="shared" si="36"/>
        <v>9.558820503932787E-2</v>
      </c>
      <c r="O565" s="37">
        <f t="shared" si="37"/>
        <v>16.307932716587228</v>
      </c>
      <c r="P565" s="37">
        <f t="shared" si="37"/>
        <v>1.1582489735252699</v>
      </c>
      <c r="Q565" s="37">
        <f t="shared" si="37"/>
        <v>0.20496717179614179</v>
      </c>
      <c r="S565" s="37">
        <f t="shared" si="38"/>
        <v>16.307932716587228</v>
      </c>
      <c r="T565" s="37">
        <f t="shared" si="38"/>
        <v>1.1582489735252699</v>
      </c>
      <c r="U565" s="37">
        <f t="shared" si="38"/>
        <v>0.20496717179614179</v>
      </c>
      <c r="W565" s="37">
        <f t="shared" si="39"/>
        <v>22.924215537910769</v>
      </c>
      <c r="X565" s="37">
        <f t="shared" si="39"/>
        <v>0.30476589671258891</v>
      </c>
      <c r="Y565" s="37">
        <f t="shared" si="39"/>
        <v>9.558820503932787E-2</v>
      </c>
      <c r="AA565" s="37">
        <f t="shared" si="40"/>
        <v>16.307932716587228</v>
      </c>
      <c r="AB565" s="37">
        <f t="shared" si="40"/>
        <v>1.1582489735252699</v>
      </c>
      <c r="AC565" s="37">
        <f t="shared" si="40"/>
        <v>0.20496717179614179</v>
      </c>
      <c r="AE565" s="37">
        <f t="shared" si="41"/>
        <v>16.307932716587228</v>
      </c>
      <c r="AF565" s="37">
        <f t="shared" si="41"/>
        <v>1.1582489735252699</v>
      </c>
      <c r="AG565" s="37">
        <f t="shared" si="41"/>
        <v>0.20496717179614179</v>
      </c>
      <c r="AI565" s="37">
        <f t="shared" si="42"/>
        <v>16.307932716587228</v>
      </c>
      <c r="AJ565" s="37">
        <f t="shared" si="42"/>
        <v>1.1582489735252699</v>
      </c>
      <c r="AK565" s="37">
        <f t="shared" si="42"/>
        <v>0.20496717179614179</v>
      </c>
      <c r="AL565" s="17"/>
    </row>
    <row r="567" spans="1:38" ht="21" customHeight="1" x14ac:dyDescent="0.3">
      <c r="A567" s="1" t="s">
        <v>729</v>
      </c>
    </row>
    <row r="568" spans="1:38" x14ac:dyDescent="0.25">
      <c r="A568" s="2" t="s">
        <v>381</v>
      </c>
    </row>
    <row r="569" spans="1:38" x14ac:dyDescent="0.25">
      <c r="A569" s="32" t="s">
        <v>730</v>
      </c>
    </row>
    <row r="570" spans="1:38" x14ac:dyDescent="0.25">
      <c r="A570" s="32" t="s">
        <v>731</v>
      </c>
    </row>
    <row r="571" spans="1:38" x14ac:dyDescent="0.25">
      <c r="A571" s="32" t="s">
        <v>732</v>
      </c>
    </row>
    <row r="572" spans="1:38" x14ac:dyDescent="0.25">
      <c r="A572" s="32" t="s">
        <v>733</v>
      </c>
    </row>
    <row r="573" spans="1:38" x14ac:dyDescent="0.25">
      <c r="A573" s="32" t="s">
        <v>734</v>
      </c>
    </row>
    <row r="574" spans="1:38" x14ac:dyDescent="0.25">
      <c r="A574" s="2" t="s">
        <v>470</v>
      </c>
    </row>
    <row r="576" spans="1:38" x14ac:dyDescent="0.25">
      <c r="B576" s="28" t="s">
        <v>150</v>
      </c>
      <c r="C576" s="15" t="s">
        <v>348</v>
      </c>
      <c r="D576" s="15" t="s">
        <v>349</v>
      </c>
      <c r="E576" s="15" t="s">
        <v>350</v>
      </c>
      <c r="F576" s="28" t="s">
        <v>151</v>
      </c>
      <c r="G576" s="15" t="s">
        <v>348</v>
      </c>
      <c r="H576" s="15" t="s">
        <v>349</v>
      </c>
      <c r="I576" s="15" t="s">
        <v>350</v>
      </c>
      <c r="J576" s="28" t="s">
        <v>152</v>
      </c>
      <c r="K576" s="15" t="s">
        <v>348</v>
      </c>
      <c r="L576" s="15" t="s">
        <v>349</v>
      </c>
      <c r="M576" s="15" t="s">
        <v>350</v>
      </c>
      <c r="N576" s="28" t="s">
        <v>153</v>
      </c>
      <c r="O576" s="15" t="s">
        <v>348</v>
      </c>
      <c r="P576" s="15" t="s">
        <v>349</v>
      </c>
      <c r="Q576" s="15" t="s">
        <v>350</v>
      </c>
      <c r="R576" s="28" t="s">
        <v>154</v>
      </c>
      <c r="S576" s="15" t="s">
        <v>348</v>
      </c>
      <c r="T576" s="15" t="s">
        <v>349</v>
      </c>
      <c r="U576" s="15" t="s">
        <v>350</v>
      </c>
      <c r="V576" s="28" t="s">
        <v>159</v>
      </c>
      <c r="W576" s="15" t="s">
        <v>348</v>
      </c>
      <c r="X576" s="15" t="s">
        <v>349</v>
      </c>
      <c r="Y576" s="15" t="s">
        <v>350</v>
      </c>
      <c r="Z576" s="28" t="s">
        <v>155</v>
      </c>
      <c r="AA576" s="15" t="s">
        <v>348</v>
      </c>
      <c r="AB576" s="15" t="s">
        <v>349</v>
      </c>
      <c r="AC576" s="15" t="s">
        <v>350</v>
      </c>
      <c r="AD576" s="28" t="s">
        <v>156</v>
      </c>
      <c r="AE576" s="15" t="s">
        <v>348</v>
      </c>
      <c r="AF576" s="15" t="s">
        <v>349</v>
      </c>
      <c r="AG576" s="15" t="s">
        <v>350</v>
      </c>
      <c r="AH576" s="28" t="s">
        <v>157</v>
      </c>
      <c r="AI576" s="15" t="s">
        <v>348</v>
      </c>
      <c r="AJ576" s="15" t="s">
        <v>349</v>
      </c>
      <c r="AK576" s="15" t="s">
        <v>350</v>
      </c>
    </row>
    <row r="577" spans="1:38" x14ac:dyDescent="0.25">
      <c r="A577" s="4" t="s">
        <v>182</v>
      </c>
      <c r="C577" s="38">
        <f>C$533</f>
        <v>24.879488233284437</v>
      </c>
      <c r="D577" s="38">
        <f>D$533</f>
        <v>0</v>
      </c>
      <c r="E577" s="38">
        <f>E$533</f>
        <v>0</v>
      </c>
      <c r="G577" s="38">
        <f>G$533</f>
        <v>22.097227063412546</v>
      </c>
      <c r="H577" s="38">
        <f>H$533</f>
        <v>0.29377150156809118</v>
      </c>
      <c r="I577" s="38">
        <f>I$533</f>
        <v>9.2139871388182082E-2</v>
      </c>
      <c r="K577" s="38">
        <f>K$533</f>
        <v>22.097227063412546</v>
      </c>
      <c r="L577" s="38">
        <f>L$533</f>
        <v>0.29377150156809118</v>
      </c>
      <c r="M577" s="38">
        <f>M$533</f>
        <v>9.2139871388182082E-2</v>
      </c>
      <c r="O577" s="38">
        <f>O$533</f>
        <v>15.710177362643519</v>
      </c>
      <c r="P577" s="38">
        <f>P$533</f>
        <v>1.1157942039872315</v>
      </c>
      <c r="Q577" s="38">
        <f>Q$533</f>
        <v>0.19745424992841629</v>
      </c>
      <c r="S577" s="38">
        <f>S$533</f>
        <v>15.710177362643519</v>
      </c>
      <c r="T577" s="38">
        <f>T$533</f>
        <v>1.1157942039872315</v>
      </c>
      <c r="U577" s="38">
        <f>U$533</f>
        <v>0.19745424992841629</v>
      </c>
      <c r="W577" s="38">
        <f>W$533</f>
        <v>22.097227063412546</v>
      </c>
      <c r="X577" s="38">
        <f>X$533</f>
        <v>0.29377150156809118</v>
      </c>
      <c r="Y577" s="38">
        <f>Y$533</f>
        <v>9.2139871388182082E-2</v>
      </c>
      <c r="AA577" s="38">
        <f>AA$533</f>
        <v>15.710177362643519</v>
      </c>
      <c r="AB577" s="38">
        <f>AB$533</f>
        <v>1.1157942039872315</v>
      </c>
      <c r="AC577" s="38">
        <f>AC$533</f>
        <v>0.19745424992841629</v>
      </c>
      <c r="AE577" s="38">
        <f>AE$533</f>
        <v>15.710177362643519</v>
      </c>
      <c r="AF577" s="38">
        <f>AF$533</f>
        <v>1.1157942039872315</v>
      </c>
      <c r="AG577" s="38">
        <f>AG$533</f>
        <v>0.19745424992841629</v>
      </c>
      <c r="AI577" s="38">
        <f>AI$533</f>
        <v>15.710177362643519</v>
      </c>
      <c r="AJ577" s="38">
        <f>AJ$533</f>
        <v>1.1157942039872315</v>
      </c>
      <c r="AK577" s="38">
        <f>AK$533</f>
        <v>0.19745424992841629</v>
      </c>
      <c r="AL577" s="17"/>
    </row>
    <row r="578" spans="1:38" x14ac:dyDescent="0.25">
      <c r="A578" s="4" t="s">
        <v>183</v>
      </c>
      <c r="C578" s="38">
        <f>C$543</f>
        <v>24.676052897499812</v>
      </c>
      <c r="D578" s="38">
        <f>D$543</f>
        <v>0</v>
      </c>
      <c r="E578" s="38">
        <f>E$543</f>
        <v>0</v>
      </c>
      <c r="G578" s="38">
        <f>G$543</f>
        <v>21.916541803112843</v>
      </c>
      <c r="H578" s="38">
        <f>H$543</f>
        <v>0.29136938205883584</v>
      </c>
      <c r="I578" s="38">
        <f>I$543</f>
        <v>9.1386459360601455E-2</v>
      </c>
      <c r="K578" s="38">
        <f>K$543</f>
        <v>21.916541803112843</v>
      </c>
      <c r="L578" s="38">
        <f>L$543</f>
        <v>0.29136938205883584</v>
      </c>
      <c r="M578" s="38">
        <f>M$543</f>
        <v>9.1386459360601455E-2</v>
      </c>
      <c r="O578" s="38">
        <f>O$543</f>
        <v>15.58171791938496</v>
      </c>
      <c r="P578" s="38">
        <f>P$543</f>
        <v>1.1066705449140917</v>
      </c>
      <c r="Q578" s="38">
        <f>Q$543</f>
        <v>0.19583970017322677</v>
      </c>
      <c r="S578" s="38">
        <f>S$543</f>
        <v>15.58171791938496</v>
      </c>
      <c r="T578" s="38">
        <f>T$543</f>
        <v>1.1066705449140917</v>
      </c>
      <c r="U578" s="38">
        <f>U$543</f>
        <v>0.19583970017322677</v>
      </c>
      <c r="W578" s="38">
        <f>W$543</f>
        <v>21.916541803112843</v>
      </c>
      <c r="X578" s="38">
        <f>X$543</f>
        <v>0.29136938205883584</v>
      </c>
      <c r="Y578" s="38">
        <f>Y$543</f>
        <v>9.1386459360601455E-2</v>
      </c>
      <c r="AA578" s="38">
        <f>AA$543</f>
        <v>15.58171791938496</v>
      </c>
      <c r="AB578" s="38">
        <f>AB$543</f>
        <v>1.1066705449140917</v>
      </c>
      <c r="AC578" s="38">
        <f>AC$543</f>
        <v>0.19583970017322677</v>
      </c>
      <c r="AE578" s="38">
        <f>AE$543</f>
        <v>15.58171791938496</v>
      </c>
      <c r="AF578" s="38">
        <f>AF$543</f>
        <v>1.1066705449140917</v>
      </c>
      <c r="AG578" s="38">
        <f>AG$543</f>
        <v>0.19583970017322677</v>
      </c>
      <c r="AI578" s="38">
        <f>AI$543</f>
        <v>15.58171791938496</v>
      </c>
      <c r="AJ578" s="38">
        <f>AJ$543</f>
        <v>1.1066705449140917</v>
      </c>
      <c r="AK578" s="38">
        <f>AK$543</f>
        <v>0.19583970017322677</v>
      </c>
      <c r="AL578" s="17"/>
    </row>
    <row r="579" spans="1:38" x14ac:dyDescent="0.25">
      <c r="A579" s="4" t="s">
        <v>228</v>
      </c>
      <c r="C579" s="38">
        <f>C$553</f>
        <v>16.763642777112835</v>
      </c>
      <c r="D579" s="38">
        <f>D$553</f>
        <v>0</v>
      </c>
      <c r="E579" s="38">
        <f>E$553</f>
        <v>0</v>
      </c>
      <c r="G579" s="38">
        <f>G$553</f>
        <v>14.888972690371784</v>
      </c>
      <c r="H579" s="38">
        <f>H$553</f>
        <v>0.19794139108517339</v>
      </c>
      <c r="I579" s="38">
        <f>I$553</f>
        <v>6.2083266142677229E-2</v>
      </c>
      <c r="K579" s="38">
        <f>K$553</f>
        <v>14.888972690371784</v>
      </c>
      <c r="L579" s="38">
        <f>L$553</f>
        <v>0.19794139108517339</v>
      </c>
      <c r="M579" s="38">
        <f>M$553</f>
        <v>6.2083266142677229E-2</v>
      </c>
      <c r="O579" s="38">
        <f>O$553</f>
        <v>10.585418751504337</v>
      </c>
      <c r="P579" s="38">
        <f>P$553</f>
        <v>0.75181512067403311</v>
      </c>
      <c r="Q579" s="38">
        <f>Q$553</f>
        <v>0.13304343238839023</v>
      </c>
      <c r="S579" s="38">
        <f>S$553</f>
        <v>10.585418751504337</v>
      </c>
      <c r="T579" s="38">
        <f>T$553</f>
        <v>0.75181512067403311</v>
      </c>
      <c r="U579" s="38">
        <f>U$553</f>
        <v>0.13304343238839023</v>
      </c>
      <c r="W579" s="38">
        <f>W$553</f>
        <v>14.888972690371784</v>
      </c>
      <c r="X579" s="38">
        <f>X$553</f>
        <v>0.19794139108517339</v>
      </c>
      <c r="Y579" s="38">
        <f>Y$553</f>
        <v>6.2083266142677229E-2</v>
      </c>
      <c r="AA579" s="38">
        <f>AA$553</f>
        <v>10.585418751504337</v>
      </c>
      <c r="AB579" s="38">
        <f>AB$553</f>
        <v>0.75181512067403311</v>
      </c>
      <c r="AC579" s="38">
        <f>AC$553</f>
        <v>0.13304343238839023</v>
      </c>
      <c r="AE579" s="38">
        <f>AE$553</f>
        <v>10.585418751504337</v>
      </c>
      <c r="AF579" s="38">
        <f>AF$553</f>
        <v>0.75181512067403311</v>
      </c>
      <c r="AG579" s="38">
        <f>AG$553</f>
        <v>0.13304343238839023</v>
      </c>
      <c r="AI579" s="38">
        <f>AI$553</f>
        <v>10.585418751504337</v>
      </c>
      <c r="AJ579" s="38">
        <f>AJ$553</f>
        <v>0.75181512067403311</v>
      </c>
      <c r="AK579" s="38">
        <f>AK$553</f>
        <v>0.13304343238839023</v>
      </c>
      <c r="AL579" s="17"/>
    </row>
    <row r="580" spans="1:38" x14ac:dyDescent="0.25">
      <c r="A580" s="4" t="s">
        <v>184</v>
      </c>
      <c r="C580" s="38">
        <f>C$534</f>
        <v>26.508442528184851</v>
      </c>
      <c r="D580" s="38">
        <f>D$534</f>
        <v>0</v>
      </c>
      <c r="E580" s="38">
        <f>E$534</f>
        <v>0</v>
      </c>
      <c r="G580" s="38">
        <f>G$534</f>
        <v>23.549436978485993</v>
      </c>
      <c r="H580" s="38">
        <f>H$534</f>
        <v>0.3130779007881801</v>
      </c>
      <c r="I580" s="38">
        <f>I$534</f>
        <v>9.8195220976595346E-2</v>
      </c>
      <c r="K580" s="38">
        <f>K$534</f>
        <v>23.549436978485993</v>
      </c>
      <c r="L580" s="38">
        <f>L$534</f>
        <v>0.3130779007881801</v>
      </c>
      <c r="M580" s="38">
        <f>M$534</f>
        <v>9.8195220976595346E-2</v>
      </c>
      <c r="O580" s="38">
        <f>O$534</f>
        <v>16.750620460401567</v>
      </c>
      <c r="P580" s="38">
        <f>P$534</f>
        <v>1.1896902747481799</v>
      </c>
      <c r="Q580" s="38">
        <f>Q$534</f>
        <v>0.21053111766318294</v>
      </c>
      <c r="S580" s="38">
        <f>S$534</f>
        <v>16.750620460401567</v>
      </c>
      <c r="T580" s="38">
        <f>T$534</f>
        <v>1.1896902747481799</v>
      </c>
      <c r="U580" s="38">
        <f>U$534</f>
        <v>0.21053111766318294</v>
      </c>
      <c r="W580" s="38">
        <f>W$534</f>
        <v>23.549436978485993</v>
      </c>
      <c r="X580" s="38">
        <f>X$534</f>
        <v>0.3130779007881801</v>
      </c>
      <c r="Y580" s="38">
        <f>Y$534</f>
        <v>9.8195220976595346E-2</v>
      </c>
      <c r="AA580" s="38">
        <f>AA$534</f>
        <v>16.750620460401567</v>
      </c>
      <c r="AB580" s="38">
        <f>AB$534</f>
        <v>1.1896902747481799</v>
      </c>
      <c r="AC580" s="38">
        <f>AC$534</f>
        <v>0.21053111766318294</v>
      </c>
      <c r="AE580" s="38">
        <f>AE$534</f>
        <v>16.750620460401567</v>
      </c>
      <c r="AF580" s="38">
        <f>AF$534</f>
        <v>1.1896902747481799</v>
      </c>
      <c r="AG580" s="38">
        <f>AG$534</f>
        <v>0.21053111766318294</v>
      </c>
      <c r="AI580" s="38">
        <f>AI$534</f>
        <v>16.750620460401567</v>
      </c>
      <c r="AJ580" s="38">
        <f>AJ$534</f>
        <v>1.1896902747481799</v>
      </c>
      <c r="AK580" s="38">
        <f>AK$534</f>
        <v>0.21053111766318294</v>
      </c>
      <c r="AL580" s="17"/>
    </row>
    <row r="581" spans="1:38" x14ac:dyDescent="0.25">
      <c r="A581" s="4" t="s">
        <v>185</v>
      </c>
      <c r="C581" s="38">
        <f>C$544</f>
        <v>24.26614007790786</v>
      </c>
      <c r="D581" s="38">
        <f>D$544</f>
        <v>0</v>
      </c>
      <c r="E581" s="38">
        <f>E$544</f>
        <v>0</v>
      </c>
      <c r="G581" s="38">
        <f>G$544</f>
        <v>21.557431594414169</v>
      </c>
      <c r="H581" s="38">
        <f>H$544</f>
        <v>0.28659519274833573</v>
      </c>
      <c r="I581" s="38">
        <f>I$544</f>
        <v>8.9889060236778104E-2</v>
      </c>
      <c r="K581" s="38">
        <f>K$544</f>
        <v>21.557431594414169</v>
      </c>
      <c r="L581" s="38">
        <f>L$544</f>
        <v>0.28659519274833573</v>
      </c>
      <c r="M581" s="38">
        <f>M$544</f>
        <v>8.9889060236778104E-2</v>
      </c>
      <c r="O581" s="38">
        <f>O$544</f>
        <v>15.333714987283591</v>
      </c>
      <c r="P581" s="38">
        <f>P$544</f>
        <v>1.0890564704308496</v>
      </c>
      <c r="Q581" s="38">
        <f>Q$544</f>
        <v>0.19272266133860705</v>
      </c>
      <c r="S581" s="38">
        <f>S$544</f>
        <v>15.333714987283591</v>
      </c>
      <c r="T581" s="38">
        <f>T$544</f>
        <v>1.0890564704308496</v>
      </c>
      <c r="U581" s="38">
        <f>U$544</f>
        <v>0.19272266133860705</v>
      </c>
      <c r="W581" s="38">
        <f>W$544</f>
        <v>21.557431594414169</v>
      </c>
      <c r="X581" s="38">
        <f>X$544</f>
        <v>0.28659519274833573</v>
      </c>
      <c r="Y581" s="38">
        <f>Y$544</f>
        <v>8.9889060236778104E-2</v>
      </c>
      <c r="AA581" s="38">
        <f>AA$544</f>
        <v>15.333714987283591</v>
      </c>
      <c r="AB581" s="38">
        <f>AB$544</f>
        <v>1.0890564704308496</v>
      </c>
      <c r="AC581" s="38">
        <f>AC$544</f>
        <v>0.19272266133860705</v>
      </c>
      <c r="AE581" s="38">
        <f>AE$544</f>
        <v>15.333714987283591</v>
      </c>
      <c r="AF581" s="38">
        <f>AF$544</f>
        <v>1.0890564704308496</v>
      </c>
      <c r="AG581" s="38">
        <f>AG$544</f>
        <v>0.19272266133860705</v>
      </c>
      <c r="AI581" s="38">
        <f>AI$544</f>
        <v>15.333714987283591</v>
      </c>
      <c r="AJ581" s="38">
        <f>AJ$544</f>
        <v>1.0890564704308496</v>
      </c>
      <c r="AK581" s="38">
        <f>AK$544</f>
        <v>0.19272266133860705</v>
      </c>
      <c r="AL581" s="17"/>
    </row>
    <row r="582" spans="1:38" x14ac:dyDescent="0.25">
      <c r="A582" s="4" t="s">
        <v>229</v>
      </c>
      <c r="C582" s="38">
        <f>C$554</f>
        <v>16.535280074808195</v>
      </c>
      <c r="D582" s="38">
        <f>D$554</f>
        <v>0</v>
      </c>
      <c r="E582" s="38">
        <f>E$554</f>
        <v>0</v>
      </c>
      <c r="G582" s="38">
        <f>G$554</f>
        <v>14.689529029451226</v>
      </c>
      <c r="H582" s="38">
        <f>H$554</f>
        <v>0.19528988808985498</v>
      </c>
      <c r="I582" s="38">
        <f>I$554</f>
        <v>6.1251636309048209E-2</v>
      </c>
      <c r="K582" s="38">
        <f>K$554</f>
        <v>14.689529029451226</v>
      </c>
      <c r="L582" s="38">
        <f>L$554</f>
        <v>0.19528988808985498</v>
      </c>
      <c r="M582" s="38">
        <f>M$554</f>
        <v>6.1251636309048209E-2</v>
      </c>
      <c r="O582" s="38">
        <f>O$554</f>
        <v>10.448603324961857</v>
      </c>
      <c r="P582" s="38">
        <f>P$554</f>
        <v>0.74209798913386738</v>
      </c>
      <c r="Q582" s="38">
        <f>Q$554</f>
        <v>0.13132385998618304</v>
      </c>
      <c r="S582" s="38">
        <f>S$554</f>
        <v>10.448603324961857</v>
      </c>
      <c r="T582" s="38">
        <f>T$554</f>
        <v>0.74209798913386738</v>
      </c>
      <c r="U582" s="38">
        <f>U$554</f>
        <v>0.13132385998618304</v>
      </c>
      <c r="W582" s="38">
        <f>W$554</f>
        <v>14.689529029451226</v>
      </c>
      <c r="X582" s="38">
        <f>X$554</f>
        <v>0.19528988808985498</v>
      </c>
      <c r="Y582" s="38">
        <f>Y$554</f>
        <v>6.1251636309048209E-2</v>
      </c>
      <c r="AA582" s="38">
        <f>AA$554</f>
        <v>10.448603324961857</v>
      </c>
      <c r="AB582" s="38">
        <f>AB$554</f>
        <v>0.74209798913386738</v>
      </c>
      <c r="AC582" s="38">
        <f>AC$554</f>
        <v>0.13132385998618304</v>
      </c>
      <c r="AE582" s="38">
        <f>AE$554</f>
        <v>10.448603324961857</v>
      </c>
      <c r="AF582" s="38">
        <f>AF$554</f>
        <v>0.74209798913386738</v>
      </c>
      <c r="AG582" s="38">
        <f>AG$554</f>
        <v>0.13132385998618304</v>
      </c>
      <c r="AI582" s="38">
        <f>AI$554</f>
        <v>10.448603324961857</v>
      </c>
      <c r="AJ582" s="38">
        <f>AJ$554</f>
        <v>0.74209798913386738</v>
      </c>
      <c r="AK582" s="38">
        <f>AK$554</f>
        <v>0.13132385998618304</v>
      </c>
      <c r="AL582" s="17"/>
    </row>
    <row r="583" spans="1:38" x14ac:dyDescent="0.25">
      <c r="A583" s="4" t="s">
        <v>186</v>
      </c>
      <c r="C583" s="38">
        <f t="shared" ref="C583:E585" si="43">C298</f>
        <v>21.81285643011471</v>
      </c>
      <c r="D583" s="38">
        <f t="shared" si="43"/>
        <v>0</v>
      </c>
      <c r="E583" s="38">
        <f t="shared" si="43"/>
        <v>0</v>
      </c>
      <c r="G583" s="38">
        <f t="shared" ref="G583:I585" si="44">G298</f>
        <v>19.373521248969038</v>
      </c>
      <c r="H583" s="38">
        <f t="shared" si="44"/>
        <v>0.25756120492577383</v>
      </c>
      <c r="I583" s="38">
        <f t="shared" si="44"/>
        <v>8.0782704141727044E-2</v>
      </c>
      <c r="K583" s="38">
        <f t="shared" ref="K583:M585" si="45">K298</f>
        <v>19.373521248969038</v>
      </c>
      <c r="L583" s="38">
        <f t="shared" si="45"/>
        <v>0.25756120492577383</v>
      </c>
      <c r="M583" s="38">
        <f t="shared" si="45"/>
        <v>8.0782704141727044E-2</v>
      </c>
      <c r="O583" s="38">
        <f t="shared" ref="O583:Q585" si="46">O298</f>
        <v>13.773711559248721</v>
      </c>
      <c r="P583" s="38">
        <f t="shared" si="46"/>
        <v>0.9782593264507623</v>
      </c>
      <c r="Q583" s="38">
        <f t="shared" si="46"/>
        <v>0.17311567029973873</v>
      </c>
      <c r="S583" s="38">
        <f t="shared" ref="S583:U585" si="47">S298</f>
        <v>13.773711559248721</v>
      </c>
      <c r="T583" s="38">
        <f t="shared" si="47"/>
        <v>0.9782593264507623</v>
      </c>
      <c r="U583" s="38">
        <f t="shared" si="47"/>
        <v>0.17311567029973873</v>
      </c>
      <c r="W583" s="38">
        <f t="shared" ref="W583:Y585" si="48">W298</f>
        <v>19.373521248969038</v>
      </c>
      <c r="X583" s="38">
        <f t="shared" si="48"/>
        <v>0.25756120492577383</v>
      </c>
      <c r="Y583" s="38">
        <f t="shared" si="48"/>
        <v>8.0782704141727044E-2</v>
      </c>
      <c r="AA583" s="38">
        <f t="shared" ref="AA583:AC585" si="49">AA298</f>
        <v>13.773711559248721</v>
      </c>
      <c r="AB583" s="38">
        <f t="shared" si="49"/>
        <v>0.9782593264507623</v>
      </c>
      <c r="AC583" s="38">
        <f t="shared" si="49"/>
        <v>0.17311567029973873</v>
      </c>
      <c r="AE583" s="38">
        <f t="shared" ref="AE583:AG585" si="50">AE298</f>
        <v>13.773711559248721</v>
      </c>
      <c r="AF583" s="38">
        <f t="shared" si="50"/>
        <v>0.9782593264507623</v>
      </c>
      <c r="AG583" s="38">
        <f t="shared" si="50"/>
        <v>0.17311567029973873</v>
      </c>
      <c r="AI583" s="38">
        <f t="shared" ref="AI583:AK585" si="51">AI298</f>
        <v>13.773711559248721</v>
      </c>
      <c r="AJ583" s="38">
        <f t="shared" si="51"/>
        <v>0.9782593264507623</v>
      </c>
      <c r="AK583" s="38">
        <f t="shared" si="51"/>
        <v>0.17311567029973873</v>
      </c>
      <c r="AL583" s="17"/>
    </row>
    <row r="584" spans="1:38" x14ac:dyDescent="0.25">
      <c r="A584" s="4" t="s">
        <v>187</v>
      </c>
      <c r="C584" s="38">
        <f t="shared" si="43"/>
        <v>21.390417875119432</v>
      </c>
      <c r="D584" s="38">
        <f t="shared" si="43"/>
        <v>0</v>
      </c>
      <c r="E584" s="38">
        <f t="shared" si="43"/>
        <v>0</v>
      </c>
      <c r="G584" s="38">
        <f t="shared" si="44"/>
        <v>18.998324064326777</v>
      </c>
      <c r="H584" s="38">
        <f t="shared" si="44"/>
        <v>0.2525731473744724</v>
      </c>
      <c r="I584" s="38">
        <f t="shared" si="44"/>
        <v>7.9218226379927426E-2</v>
      </c>
      <c r="K584" s="38">
        <f t="shared" si="45"/>
        <v>18.998324064326777</v>
      </c>
      <c r="L584" s="38">
        <f t="shared" si="45"/>
        <v>0.2525731473744724</v>
      </c>
      <c r="M584" s="38">
        <f t="shared" si="45"/>
        <v>7.9218226379927426E-2</v>
      </c>
      <c r="O584" s="38">
        <f t="shared" si="46"/>
        <v>13.506963055830445</v>
      </c>
      <c r="P584" s="38">
        <f t="shared" si="46"/>
        <v>0.95931387299304927</v>
      </c>
      <c r="Q584" s="38">
        <f t="shared" si="46"/>
        <v>0.16976302669513968</v>
      </c>
      <c r="S584" s="38">
        <f t="shared" si="47"/>
        <v>13.506963055830445</v>
      </c>
      <c r="T584" s="38">
        <f t="shared" si="47"/>
        <v>0.95931387299304927</v>
      </c>
      <c r="U584" s="38">
        <f t="shared" si="47"/>
        <v>0.16976302669513968</v>
      </c>
      <c r="W584" s="38">
        <f t="shared" si="48"/>
        <v>18.998324064326777</v>
      </c>
      <c r="X584" s="38">
        <f t="shared" si="48"/>
        <v>0.2525731473744724</v>
      </c>
      <c r="Y584" s="38">
        <f t="shared" si="48"/>
        <v>7.9218226379927426E-2</v>
      </c>
      <c r="AA584" s="38">
        <f t="shared" si="49"/>
        <v>13.506963055830445</v>
      </c>
      <c r="AB584" s="38">
        <f t="shared" si="49"/>
        <v>0.95931387299304927</v>
      </c>
      <c r="AC584" s="38">
        <f t="shared" si="49"/>
        <v>0.16976302669513968</v>
      </c>
      <c r="AE584" s="38">
        <f t="shared" si="50"/>
        <v>13.506963055830445</v>
      </c>
      <c r="AF584" s="38">
        <f t="shared" si="50"/>
        <v>0.95931387299304927</v>
      </c>
      <c r="AG584" s="38">
        <f t="shared" si="50"/>
        <v>0.16976302669513968</v>
      </c>
      <c r="AI584" s="38">
        <f t="shared" si="51"/>
        <v>13.506963055830445</v>
      </c>
      <c r="AJ584" s="38">
        <f t="shared" si="51"/>
        <v>0.95931387299304927</v>
      </c>
      <c r="AK584" s="38">
        <f t="shared" si="51"/>
        <v>0.16976302669513968</v>
      </c>
      <c r="AL584" s="17"/>
    </row>
    <row r="585" spans="1:38" x14ac:dyDescent="0.25">
      <c r="A585" s="4" t="s">
        <v>207</v>
      </c>
      <c r="C585" s="38">
        <f t="shared" si="43"/>
        <v>25.252542811333708</v>
      </c>
      <c r="D585" s="38">
        <f t="shared" si="43"/>
        <v>0</v>
      </c>
      <c r="E585" s="38">
        <f t="shared" si="43"/>
        <v>0</v>
      </c>
      <c r="G585" s="38">
        <f t="shared" si="44"/>
        <v>22.428546958684638</v>
      </c>
      <c r="H585" s="38">
        <f t="shared" si="44"/>
        <v>0.2981762326619134</v>
      </c>
      <c r="I585" s="38">
        <f t="shared" si="44"/>
        <v>9.3521391904358625E-2</v>
      </c>
      <c r="K585" s="38">
        <f t="shared" si="45"/>
        <v>22.428546958684638</v>
      </c>
      <c r="L585" s="38">
        <f t="shared" si="45"/>
        <v>0.2981762326619134</v>
      </c>
      <c r="M585" s="38">
        <f t="shared" si="45"/>
        <v>9.3521391904358625E-2</v>
      </c>
      <c r="O585" s="38">
        <f t="shared" si="46"/>
        <v>15.945698901712396</v>
      </c>
      <c r="P585" s="38">
        <f t="shared" si="46"/>
        <v>1.1325218043281478</v>
      </c>
      <c r="Q585" s="38">
        <f t="shared" si="46"/>
        <v>0.20041441567100132</v>
      </c>
      <c r="S585" s="38">
        <f t="shared" si="47"/>
        <v>15.945698901712396</v>
      </c>
      <c r="T585" s="38">
        <f t="shared" si="47"/>
        <v>1.1325218043281478</v>
      </c>
      <c r="U585" s="38">
        <f t="shared" si="47"/>
        <v>0.20041441567100132</v>
      </c>
      <c r="W585" s="38">
        <f t="shared" si="48"/>
        <v>22.428546958684638</v>
      </c>
      <c r="X585" s="38">
        <f t="shared" si="48"/>
        <v>0.2981762326619134</v>
      </c>
      <c r="Y585" s="38">
        <f t="shared" si="48"/>
        <v>9.3521391904358625E-2</v>
      </c>
      <c r="AA585" s="38">
        <f t="shared" si="49"/>
        <v>15.945698901712396</v>
      </c>
      <c r="AB585" s="38">
        <f t="shared" si="49"/>
        <v>1.1325218043281478</v>
      </c>
      <c r="AC585" s="38">
        <f t="shared" si="49"/>
        <v>0.20041441567100132</v>
      </c>
      <c r="AE585" s="38">
        <f t="shared" si="50"/>
        <v>15.945698901712396</v>
      </c>
      <c r="AF585" s="38">
        <f t="shared" si="50"/>
        <v>1.1325218043281478</v>
      </c>
      <c r="AG585" s="38">
        <f t="shared" si="50"/>
        <v>0.20041441567100132</v>
      </c>
      <c r="AI585" s="38">
        <f t="shared" si="51"/>
        <v>15.945698901712396</v>
      </c>
      <c r="AJ585" s="38">
        <f t="shared" si="51"/>
        <v>1.1325218043281478</v>
      </c>
      <c r="AK585" s="38">
        <f t="shared" si="51"/>
        <v>0.20041441567100132</v>
      </c>
      <c r="AL585" s="17"/>
    </row>
    <row r="586" spans="1:38" x14ac:dyDescent="0.25">
      <c r="A586" s="4" t="s">
        <v>188</v>
      </c>
      <c r="C586" s="38">
        <f>C$564</f>
        <v>24.847827662007816</v>
      </c>
      <c r="D586" s="38">
        <f>D$564</f>
        <v>0</v>
      </c>
      <c r="E586" s="38">
        <f>E$564</f>
        <v>0</v>
      </c>
      <c r="G586" s="38">
        <f>G$564</f>
        <v>22.064896673788081</v>
      </c>
      <c r="H586" s="38">
        <f>H$564</f>
        <v>0.2933416853255823</v>
      </c>
      <c r="I586" s="38">
        <f>I$564</f>
        <v>9.2005061806265789E-2</v>
      </c>
      <c r="K586" s="38">
        <f>K$564</f>
        <v>22.064896673788081</v>
      </c>
      <c r="L586" s="38">
        <f>L$564</f>
        <v>0.2933416853255823</v>
      </c>
      <c r="M586" s="38">
        <f>M$564</f>
        <v>9.2005061806265789E-2</v>
      </c>
      <c r="O586" s="38">
        <f>O$564</f>
        <v>15.6821469255673</v>
      </c>
      <c r="P586" s="38">
        <f>P$564</f>
        <v>1.1138033799180371</v>
      </c>
      <c r="Q586" s="38">
        <f>Q$564</f>
        <v>0.19710194779965678</v>
      </c>
      <c r="S586" s="38">
        <f>S$564</f>
        <v>15.6821469255673</v>
      </c>
      <c r="T586" s="38">
        <f>T$564</f>
        <v>1.1138033799180371</v>
      </c>
      <c r="U586" s="38">
        <f>U$564</f>
        <v>0.19710194779965678</v>
      </c>
      <c r="W586" s="38">
        <f>W$564</f>
        <v>22.064896673788081</v>
      </c>
      <c r="X586" s="38">
        <f>X$564</f>
        <v>0.2933416853255823</v>
      </c>
      <c r="Y586" s="38">
        <f>Y$564</f>
        <v>9.2005061806265789E-2</v>
      </c>
      <c r="AA586" s="38">
        <f>AA$564</f>
        <v>15.6821469255673</v>
      </c>
      <c r="AB586" s="38">
        <f>AB$564</f>
        <v>1.1138033799180371</v>
      </c>
      <c r="AC586" s="38">
        <f>AC$564</f>
        <v>0.19710194779965678</v>
      </c>
      <c r="AE586" s="38">
        <f>AE$564</f>
        <v>15.6821469255673</v>
      </c>
      <c r="AF586" s="38">
        <f>AF$564</f>
        <v>1.1138033799180371</v>
      </c>
      <c r="AG586" s="38">
        <f>AG$564</f>
        <v>0.19710194779965678</v>
      </c>
      <c r="AI586" s="38">
        <f>AI$564</f>
        <v>15.6821469255673</v>
      </c>
      <c r="AJ586" s="38">
        <f>AJ$564</f>
        <v>1.1138033799180371</v>
      </c>
      <c r="AK586" s="38">
        <f>AK$564</f>
        <v>0.19710194779965678</v>
      </c>
      <c r="AL586" s="17"/>
    </row>
    <row r="587" spans="1:38" x14ac:dyDescent="0.25">
      <c r="A587" s="4" t="s">
        <v>189</v>
      </c>
      <c r="C587" s="38">
        <f>C$565</f>
        <v>25.809096811074692</v>
      </c>
      <c r="D587" s="38">
        <f>D$565</f>
        <v>0</v>
      </c>
      <c r="E587" s="38">
        <f>E$565</f>
        <v>0</v>
      </c>
      <c r="G587" s="38">
        <f>G$565</f>
        <v>22.924215537910769</v>
      </c>
      <c r="H587" s="38">
        <f>H$565</f>
        <v>0.30476589671258891</v>
      </c>
      <c r="I587" s="38">
        <f>I$565</f>
        <v>9.558820503932787E-2</v>
      </c>
      <c r="K587" s="38">
        <f>K$565</f>
        <v>22.924215537910769</v>
      </c>
      <c r="L587" s="38">
        <f>L$565</f>
        <v>0.30476589671258891</v>
      </c>
      <c r="M587" s="38">
        <f>M$565</f>
        <v>9.558820503932787E-2</v>
      </c>
      <c r="O587" s="38">
        <f>O$565</f>
        <v>16.307932716587228</v>
      </c>
      <c r="P587" s="38">
        <f>P$565</f>
        <v>1.1582489735252699</v>
      </c>
      <c r="Q587" s="38">
        <f>Q$565</f>
        <v>0.20496717179614179</v>
      </c>
      <c r="S587" s="38">
        <f>S$565</f>
        <v>16.307932716587228</v>
      </c>
      <c r="T587" s="38">
        <f>T$565</f>
        <v>1.1582489735252699</v>
      </c>
      <c r="U587" s="38">
        <f>U$565</f>
        <v>0.20496717179614179</v>
      </c>
      <c r="W587" s="38">
        <f>W$565</f>
        <v>22.924215537910769</v>
      </c>
      <c r="X587" s="38">
        <f>X$565</f>
        <v>0.30476589671258891</v>
      </c>
      <c r="Y587" s="38">
        <f>Y$565</f>
        <v>9.558820503932787E-2</v>
      </c>
      <c r="AA587" s="38">
        <f>AA$565</f>
        <v>16.307932716587228</v>
      </c>
      <c r="AB587" s="38">
        <f>AB$565</f>
        <v>1.1582489735252699</v>
      </c>
      <c r="AC587" s="38">
        <f>AC$565</f>
        <v>0.20496717179614179</v>
      </c>
      <c r="AE587" s="38">
        <f>AE$565</f>
        <v>16.307932716587228</v>
      </c>
      <c r="AF587" s="38">
        <f>AF$565</f>
        <v>1.1582489735252699</v>
      </c>
      <c r="AG587" s="38">
        <f>AG$565</f>
        <v>0.20496717179614179</v>
      </c>
      <c r="AI587" s="38">
        <f>AI$565</f>
        <v>16.307932716587228</v>
      </c>
      <c r="AJ587" s="38">
        <f>AJ$565</f>
        <v>1.1582489735252699</v>
      </c>
      <c r="AK587" s="38">
        <f>AK$565</f>
        <v>0.20496717179614179</v>
      </c>
      <c r="AL587" s="17"/>
    </row>
    <row r="588" spans="1:38" x14ac:dyDescent="0.25">
      <c r="A588" s="4" t="s">
        <v>190</v>
      </c>
      <c r="C588" s="38">
        <f t="shared" ref="C588:E596" si="52">C303</f>
        <v>19.49881636563557</v>
      </c>
      <c r="D588" s="38">
        <f t="shared" si="52"/>
        <v>0</v>
      </c>
      <c r="E588" s="38">
        <f t="shared" si="52"/>
        <v>0</v>
      </c>
      <c r="G588" s="38">
        <f t="shared" ref="G588:I596" si="53">G303</f>
        <v>17.318260650533215</v>
      </c>
      <c r="H588" s="38">
        <f t="shared" si="53"/>
        <v>0.23023755067795515</v>
      </c>
      <c r="I588" s="38">
        <f t="shared" si="53"/>
        <v>7.221278508963809E-2</v>
      </c>
      <c r="K588" s="38">
        <f t="shared" ref="K588:M596" si="54">K303</f>
        <v>17.318260650533215</v>
      </c>
      <c r="L588" s="38">
        <f t="shared" si="54"/>
        <v>0.23023755067795515</v>
      </c>
      <c r="M588" s="38">
        <f t="shared" si="54"/>
        <v>7.221278508963809E-2</v>
      </c>
      <c r="O588" s="38">
        <f t="shared" ref="O588:Q596" si="55">O303</f>
        <v>12.312512725120909</v>
      </c>
      <c r="P588" s="38">
        <f t="shared" si="55"/>
        <v>0.87447964577894777</v>
      </c>
      <c r="Q588" s="38">
        <f t="shared" si="55"/>
        <v>0.15475051037003346</v>
      </c>
      <c r="S588" s="38">
        <f t="shared" ref="S588:U596" si="56">S303</f>
        <v>12.312512725120909</v>
      </c>
      <c r="T588" s="38">
        <f t="shared" si="56"/>
        <v>0.87447964577894777</v>
      </c>
      <c r="U588" s="38">
        <f t="shared" si="56"/>
        <v>0.15475051037003346</v>
      </c>
      <c r="W588" s="38">
        <f t="shared" ref="W588:Y596" si="57">W303</f>
        <v>17.318260650533215</v>
      </c>
      <c r="X588" s="38">
        <f t="shared" si="57"/>
        <v>0.23023755067795515</v>
      </c>
      <c r="Y588" s="38">
        <f t="shared" si="57"/>
        <v>7.221278508963809E-2</v>
      </c>
      <c r="AA588" s="38">
        <f t="shared" ref="AA588:AC596" si="58">AA303</f>
        <v>12.312512725120909</v>
      </c>
      <c r="AB588" s="38">
        <f t="shared" si="58"/>
        <v>0.87447964577894777</v>
      </c>
      <c r="AC588" s="38">
        <f t="shared" si="58"/>
        <v>0.15475051037003346</v>
      </c>
      <c r="AE588" s="38">
        <f t="shared" ref="AE588:AG596" si="59">AE303</f>
        <v>12.312512725120909</v>
      </c>
      <c r="AF588" s="38">
        <f t="shared" si="59"/>
        <v>0.87447964577894777</v>
      </c>
      <c r="AG588" s="38">
        <f t="shared" si="59"/>
        <v>0.15475051037003346</v>
      </c>
      <c r="AI588" s="38">
        <f t="shared" ref="AI588:AK596" si="60">AI303</f>
        <v>12.312512725120909</v>
      </c>
      <c r="AJ588" s="38">
        <f t="shared" si="60"/>
        <v>0.87447964577894777</v>
      </c>
      <c r="AK588" s="38">
        <f t="shared" si="60"/>
        <v>0.15475051037003346</v>
      </c>
      <c r="AL588" s="17"/>
    </row>
    <row r="589" spans="1:38" x14ac:dyDescent="0.25">
      <c r="A589" s="4" t="s">
        <v>191</v>
      </c>
      <c r="C589" s="38">
        <f t="shared" si="52"/>
        <v>18.916612824577768</v>
      </c>
      <c r="D589" s="38">
        <f t="shared" si="52"/>
        <v>0</v>
      </c>
      <c r="E589" s="38">
        <f t="shared" si="52"/>
        <v>0</v>
      </c>
      <c r="G589" s="38">
        <f t="shared" si="53"/>
        <v>16.80116502346366</v>
      </c>
      <c r="H589" s="38">
        <f t="shared" si="53"/>
        <v>0.22336302482081544</v>
      </c>
      <c r="I589" s="38">
        <f t="shared" si="53"/>
        <v>7.0056626561834895E-2</v>
      </c>
      <c r="K589" s="38">
        <f t="shared" si="54"/>
        <v>16.80116502346366</v>
      </c>
      <c r="L589" s="38">
        <f t="shared" si="54"/>
        <v>0.22336302482081544</v>
      </c>
      <c r="M589" s="38">
        <f t="shared" si="54"/>
        <v>7.0056626561834895E-2</v>
      </c>
      <c r="O589" s="38">
        <f t="shared" si="55"/>
        <v>11.944880743083369</v>
      </c>
      <c r="P589" s="38">
        <f t="shared" si="55"/>
        <v>0.84836907902409842</v>
      </c>
      <c r="Q589" s="38">
        <f t="shared" si="55"/>
        <v>0.15012990707655763</v>
      </c>
      <c r="S589" s="38">
        <f t="shared" si="56"/>
        <v>11.944880743083369</v>
      </c>
      <c r="T589" s="38">
        <f t="shared" si="56"/>
        <v>0.84836907902409842</v>
      </c>
      <c r="U589" s="38">
        <f t="shared" si="56"/>
        <v>0.15012990707655763</v>
      </c>
      <c r="W589" s="38">
        <f t="shared" si="57"/>
        <v>16.80116502346366</v>
      </c>
      <c r="X589" s="38">
        <f t="shared" si="57"/>
        <v>0.22336302482081544</v>
      </c>
      <c r="Y589" s="38">
        <f t="shared" si="57"/>
        <v>7.0056626561834895E-2</v>
      </c>
      <c r="AA589" s="38">
        <f t="shared" si="58"/>
        <v>11.944880743083369</v>
      </c>
      <c r="AB589" s="38">
        <f t="shared" si="58"/>
        <v>0.84836907902409842</v>
      </c>
      <c r="AC589" s="38">
        <f t="shared" si="58"/>
        <v>0.15012990707655763</v>
      </c>
      <c r="AE589" s="38">
        <f t="shared" si="59"/>
        <v>11.944880743083369</v>
      </c>
      <c r="AF589" s="38">
        <f t="shared" si="59"/>
        <v>0.84836907902409842</v>
      </c>
      <c r="AG589" s="38">
        <f t="shared" si="59"/>
        <v>0.15012990707655763</v>
      </c>
      <c r="AI589" s="38">
        <f t="shared" si="60"/>
        <v>11.944880743083369</v>
      </c>
      <c r="AJ589" s="38">
        <f t="shared" si="60"/>
        <v>0.84836907902409842</v>
      </c>
      <c r="AK589" s="38">
        <f t="shared" si="60"/>
        <v>0.15012990707655763</v>
      </c>
      <c r="AL589" s="17"/>
    </row>
    <row r="590" spans="1:38" x14ac:dyDescent="0.25">
      <c r="A590" s="4" t="s">
        <v>208</v>
      </c>
      <c r="C590" s="38">
        <f t="shared" si="52"/>
        <v>17.70707021938442</v>
      </c>
      <c r="D590" s="38">
        <f t="shared" si="52"/>
        <v>0</v>
      </c>
      <c r="E590" s="38">
        <f t="shared" si="52"/>
        <v>0</v>
      </c>
      <c r="G590" s="38">
        <f t="shared" si="53"/>
        <v>15.726885758924283</v>
      </c>
      <c r="H590" s="38">
        <f t="shared" si="53"/>
        <v>0.20908102320398181</v>
      </c>
      <c r="I590" s="38">
        <f t="shared" si="53"/>
        <v>6.5577152599532104E-2</v>
      </c>
      <c r="K590" s="38">
        <f t="shared" si="54"/>
        <v>15.726885758924283</v>
      </c>
      <c r="L590" s="38">
        <f t="shared" si="54"/>
        <v>0.20908102320398181</v>
      </c>
      <c r="M590" s="38">
        <f t="shared" si="54"/>
        <v>6.5577152599532104E-2</v>
      </c>
      <c r="O590" s="38">
        <f t="shared" si="55"/>
        <v>11.181115987379258</v>
      </c>
      <c r="P590" s="38">
        <f t="shared" si="55"/>
        <v>0.79412371514610758</v>
      </c>
      <c r="Q590" s="38">
        <f t="shared" si="55"/>
        <v>0.14053048668313062</v>
      </c>
      <c r="S590" s="38">
        <f t="shared" si="56"/>
        <v>11.181115987379258</v>
      </c>
      <c r="T590" s="38">
        <f t="shared" si="56"/>
        <v>0.79412371514610758</v>
      </c>
      <c r="U590" s="38">
        <f t="shared" si="56"/>
        <v>0.14053048668313062</v>
      </c>
      <c r="W590" s="38">
        <f t="shared" si="57"/>
        <v>15.726885758924283</v>
      </c>
      <c r="X590" s="38">
        <f t="shared" si="57"/>
        <v>0.20908102320398181</v>
      </c>
      <c r="Y590" s="38">
        <f t="shared" si="57"/>
        <v>6.5577152599532104E-2</v>
      </c>
      <c r="AA590" s="38">
        <f t="shared" si="58"/>
        <v>11.181115987379258</v>
      </c>
      <c r="AB590" s="38">
        <f t="shared" si="58"/>
        <v>0.79412371514610758</v>
      </c>
      <c r="AC590" s="38">
        <f t="shared" si="58"/>
        <v>0.14053048668313062</v>
      </c>
      <c r="AE590" s="38">
        <f t="shared" si="59"/>
        <v>11.181115987379258</v>
      </c>
      <c r="AF590" s="38">
        <f t="shared" si="59"/>
        <v>0.79412371514610758</v>
      </c>
      <c r="AG590" s="38">
        <f t="shared" si="59"/>
        <v>0.14053048668313062</v>
      </c>
      <c r="AI590" s="38">
        <f t="shared" si="60"/>
        <v>11.181115987379258</v>
      </c>
      <c r="AJ590" s="38">
        <f t="shared" si="60"/>
        <v>0.79412371514610758</v>
      </c>
      <c r="AK590" s="38">
        <f t="shared" si="60"/>
        <v>0.14053048668313062</v>
      </c>
      <c r="AL590" s="17"/>
    </row>
    <row r="591" spans="1:38" x14ac:dyDescent="0.25">
      <c r="A591" s="4" t="s">
        <v>196</v>
      </c>
      <c r="C591" s="38">
        <f t="shared" si="52"/>
        <v>-16.763358778625953</v>
      </c>
      <c r="D591" s="38">
        <f t="shared" si="52"/>
        <v>0</v>
      </c>
      <c r="E591" s="38">
        <f t="shared" si="52"/>
        <v>0</v>
      </c>
      <c r="G591" s="38">
        <f t="shared" si="53"/>
        <v>-14.888709717698065</v>
      </c>
      <c r="H591" s="38">
        <f t="shared" si="53"/>
        <v>-0.19793789499595785</v>
      </c>
      <c r="I591" s="38">
        <f t="shared" si="53"/>
        <v>-6.2082169612860817E-2</v>
      </c>
      <c r="K591" s="38">
        <f t="shared" si="54"/>
        <v>-14.888709717698065</v>
      </c>
      <c r="L591" s="38">
        <f t="shared" si="54"/>
        <v>-0.19793789499595785</v>
      </c>
      <c r="M591" s="38">
        <f t="shared" si="54"/>
        <v>-6.2082169612860817E-2</v>
      </c>
      <c r="O591" s="38">
        <f t="shared" si="55"/>
        <v>-10.585210117746126</v>
      </c>
      <c r="P591" s="38">
        <f t="shared" si="55"/>
        <v>-0.75180030274214127</v>
      </c>
      <c r="Q591" s="38">
        <f t="shared" si="55"/>
        <v>-0.13304081016323729</v>
      </c>
      <c r="S591" s="38">
        <f t="shared" si="56"/>
        <v>-10.585210117746126</v>
      </c>
      <c r="T591" s="38">
        <f t="shared" si="56"/>
        <v>-0.75180030274214127</v>
      </c>
      <c r="U591" s="38">
        <f t="shared" si="56"/>
        <v>-0.13304081016323729</v>
      </c>
      <c r="W591" s="38">
        <f t="shared" si="57"/>
        <v>-14.888709717698065</v>
      </c>
      <c r="X591" s="38">
        <f t="shared" si="57"/>
        <v>-0.19793789499595785</v>
      </c>
      <c r="Y591" s="38">
        <f t="shared" si="57"/>
        <v>-6.2082169612860817E-2</v>
      </c>
      <c r="AA591" s="38">
        <f t="shared" si="58"/>
        <v>-10.585210117746126</v>
      </c>
      <c r="AB591" s="38">
        <f t="shared" si="58"/>
        <v>-0.75180030274214127</v>
      </c>
      <c r="AC591" s="38">
        <f t="shared" si="58"/>
        <v>-0.13304081016323729</v>
      </c>
      <c r="AE591" s="38">
        <f t="shared" si="59"/>
        <v>-10.585210117746126</v>
      </c>
      <c r="AF591" s="38">
        <f t="shared" si="59"/>
        <v>-0.75180030274214127</v>
      </c>
      <c r="AG591" s="38">
        <f t="shared" si="59"/>
        <v>-0.13304081016323729</v>
      </c>
      <c r="AI591" s="38">
        <f t="shared" si="60"/>
        <v>-10.585210117746126</v>
      </c>
      <c r="AJ591" s="38">
        <f t="shared" si="60"/>
        <v>-0.75180030274214127</v>
      </c>
      <c r="AK591" s="38">
        <f t="shared" si="60"/>
        <v>-0.13304081016323729</v>
      </c>
      <c r="AL591" s="17"/>
    </row>
    <row r="592" spans="1:38" x14ac:dyDescent="0.25">
      <c r="A592" s="4" t="s">
        <v>197</v>
      </c>
      <c r="C592" s="38">
        <f t="shared" si="52"/>
        <v>-16.763358778625953</v>
      </c>
      <c r="D592" s="38">
        <f t="shared" si="52"/>
        <v>0</v>
      </c>
      <c r="E592" s="38">
        <f t="shared" si="52"/>
        <v>0</v>
      </c>
      <c r="G592" s="38">
        <f t="shared" si="53"/>
        <v>-14.888709717698065</v>
      </c>
      <c r="H592" s="38">
        <f t="shared" si="53"/>
        <v>-0.19793789499595785</v>
      </c>
      <c r="I592" s="38">
        <f t="shared" si="53"/>
        <v>-6.2082169612860817E-2</v>
      </c>
      <c r="K592" s="38">
        <f t="shared" si="54"/>
        <v>-14.888709717698065</v>
      </c>
      <c r="L592" s="38">
        <f t="shared" si="54"/>
        <v>-0.19793789499595785</v>
      </c>
      <c r="M592" s="38">
        <f t="shared" si="54"/>
        <v>-6.2082169612860817E-2</v>
      </c>
      <c r="O592" s="38">
        <f t="shared" si="55"/>
        <v>-10.585210117746126</v>
      </c>
      <c r="P592" s="38">
        <f t="shared" si="55"/>
        <v>-0.75180030274214127</v>
      </c>
      <c r="Q592" s="38">
        <f t="shared" si="55"/>
        <v>-0.13304081016323729</v>
      </c>
      <c r="S592" s="38">
        <f t="shared" si="56"/>
        <v>-10.585210117746126</v>
      </c>
      <c r="T592" s="38">
        <f t="shared" si="56"/>
        <v>-0.75180030274214127</v>
      </c>
      <c r="U592" s="38">
        <f t="shared" si="56"/>
        <v>-0.13304081016323729</v>
      </c>
      <c r="W592" s="38">
        <f t="shared" si="57"/>
        <v>-14.888709717698065</v>
      </c>
      <c r="X592" s="38">
        <f t="shared" si="57"/>
        <v>-0.19793789499595785</v>
      </c>
      <c r="Y592" s="38">
        <f t="shared" si="57"/>
        <v>-6.2082169612860817E-2</v>
      </c>
      <c r="AA592" s="38">
        <f t="shared" si="58"/>
        <v>-10.585210117746126</v>
      </c>
      <c r="AB592" s="38">
        <f t="shared" si="58"/>
        <v>-0.75180030274214127</v>
      </c>
      <c r="AC592" s="38">
        <f t="shared" si="58"/>
        <v>-0.13304081016323729</v>
      </c>
      <c r="AE592" s="38">
        <f t="shared" si="59"/>
        <v>-10.585210117746126</v>
      </c>
      <c r="AF592" s="38">
        <f t="shared" si="59"/>
        <v>-0.75180030274214127</v>
      </c>
      <c r="AG592" s="38">
        <f t="shared" si="59"/>
        <v>-0.13304081016323729</v>
      </c>
      <c r="AI592" s="38">
        <f t="shared" si="60"/>
        <v>-10.585210117746126</v>
      </c>
      <c r="AJ592" s="38">
        <f t="shared" si="60"/>
        <v>-0.75180030274214127</v>
      </c>
      <c r="AK592" s="38">
        <f t="shared" si="60"/>
        <v>-0.13304081016323729</v>
      </c>
      <c r="AL592" s="17"/>
    </row>
    <row r="593" spans="1:38" x14ac:dyDescent="0.25">
      <c r="A593" s="4" t="s">
        <v>200</v>
      </c>
      <c r="C593" s="38">
        <f t="shared" si="52"/>
        <v>-16.763358778625953</v>
      </c>
      <c r="D593" s="38">
        <f t="shared" si="52"/>
        <v>0</v>
      </c>
      <c r="E593" s="38">
        <f t="shared" si="52"/>
        <v>0</v>
      </c>
      <c r="G593" s="38">
        <f t="shared" si="53"/>
        <v>-14.888709717698065</v>
      </c>
      <c r="H593" s="38">
        <f t="shared" si="53"/>
        <v>-0.19793789499595785</v>
      </c>
      <c r="I593" s="38">
        <f t="shared" si="53"/>
        <v>-6.2082169612860817E-2</v>
      </c>
      <c r="K593" s="38">
        <f t="shared" si="54"/>
        <v>-14.888709717698065</v>
      </c>
      <c r="L593" s="38">
        <f t="shared" si="54"/>
        <v>-0.19793789499595785</v>
      </c>
      <c r="M593" s="38">
        <f t="shared" si="54"/>
        <v>-6.2082169612860817E-2</v>
      </c>
      <c r="O593" s="38">
        <f t="shared" si="55"/>
        <v>-10.585210117746126</v>
      </c>
      <c r="P593" s="38">
        <f t="shared" si="55"/>
        <v>-0.75180030274214127</v>
      </c>
      <c r="Q593" s="38">
        <f t="shared" si="55"/>
        <v>-0.13304081016323729</v>
      </c>
      <c r="S593" s="38">
        <f t="shared" si="56"/>
        <v>-10.585210117746126</v>
      </c>
      <c r="T593" s="38">
        <f t="shared" si="56"/>
        <v>-0.75180030274214127</v>
      </c>
      <c r="U593" s="38">
        <f t="shared" si="56"/>
        <v>-0.13304081016323729</v>
      </c>
      <c r="W593" s="38">
        <f t="shared" si="57"/>
        <v>-14.888709717698065</v>
      </c>
      <c r="X593" s="38">
        <f t="shared" si="57"/>
        <v>-0.19793789499595785</v>
      </c>
      <c r="Y593" s="38">
        <f t="shared" si="57"/>
        <v>-6.2082169612860817E-2</v>
      </c>
      <c r="AA593" s="38">
        <f t="shared" si="58"/>
        <v>-10.585210117746126</v>
      </c>
      <c r="AB593" s="38">
        <f t="shared" si="58"/>
        <v>-0.75180030274214127</v>
      </c>
      <c r="AC593" s="38">
        <f t="shared" si="58"/>
        <v>-0.13304081016323729</v>
      </c>
      <c r="AE593" s="38">
        <f t="shared" si="59"/>
        <v>-10.585210117746126</v>
      </c>
      <c r="AF593" s="38">
        <f t="shared" si="59"/>
        <v>-0.75180030274214127</v>
      </c>
      <c r="AG593" s="38">
        <f t="shared" si="59"/>
        <v>-0.13304081016323729</v>
      </c>
      <c r="AI593" s="38">
        <f t="shared" si="60"/>
        <v>-10.585210117746126</v>
      </c>
      <c r="AJ593" s="38">
        <f t="shared" si="60"/>
        <v>-0.75180030274214127</v>
      </c>
      <c r="AK593" s="38">
        <f t="shared" si="60"/>
        <v>-0.13304081016323729</v>
      </c>
      <c r="AL593" s="17"/>
    </row>
    <row r="594" spans="1:38" x14ac:dyDescent="0.25">
      <c r="A594" s="4" t="s">
        <v>201</v>
      </c>
      <c r="C594" s="38">
        <f t="shared" si="52"/>
        <v>-16.763358778625953</v>
      </c>
      <c r="D594" s="38">
        <f t="shared" si="52"/>
        <v>0</v>
      </c>
      <c r="E594" s="38">
        <f t="shared" si="52"/>
        <v>0</v>
      </c>
      <c r="G594" s="38">
        <f t="shared" si="53"/>
        <v>-14.888709717698065</v>
      </c>
      <c r="H594" s="38">
        <f t="shared" si="53"/>
        <v>-0.19793789499595785</v>
      </c>
      <c r="I594" s="38">
        <f t="shared" si="53"/>
        <v>-6.2082169612860817E-2</v>
      </c>
      <c r="K594" s="38">
        <f t="shared" si="54"/>
        <v>-14.888709717698065</v>
      </c>
      <c r="L594" s="38">
        <f t="shared" si="54"/>
        <v>-0.19793789499595785</v>
      </c>
      <c r="M594" s="38">
        <f t="shared" si="54"/>
        <v>-6.2082169612860817E-2</v>
      </c>
      <c r="O594" s="38">
        <f t="shared" si="55"/>
        <v>-10.585210117746126</v>
      </c>
      <c r="P594" s="38">
        <f t="shared" si="55"/>
        <v>-0.75180030274214127</v>
      </c>
      <c r="Q594" s="38">
        <f t="shared" si="55"/>
        <v>-0.13304081016323729</v>
      </c>
      <c r="S594" s="38">
        <f t="shared" si="56"/>
        <v>-10.585210117746126</v>
      </c>
      <c r="T594" s="38">
        <f t="shared" si="56"/>
        <v>-0.75180030274214127</v>
      </c>
      <c r="U594" s="38">
        <f t="shared" si="56"/>
        <v>-0.13304081016323729</v>
      </c>
      <c r="W594" s="38">
        <f t="shared" si="57"/>
        <v>-14.888709717698065</v>
      </c>
      <c r="X594" s="38">
        <f t="shared" si="57"/>
        <v>-0.19793789499595785</v>
      </c>
      <c r="Y594" s="38">
        <f t="shared" si="57"/>
        <v>-6.2082169612860817E-2</v>
      </c>
      <c r="AA594" s="38">
        <f t="shared" si="58"/>
        <v>-10.585210117746126</v>
      </c>
      <c r="AB594" s="38">
        <f t="shared" si="58"/>
        <v>-0.75180030274214127</v>
      </c>
      <c r="AC594" s="38">
        <f t="shared" si="58"/>
        <v>-0.13304081016323729</v>
      </c>
      <c r="AE594" s="38">
        <f t="shared" si="59"/>
        <v>-10.585210117746126</v>
      </c>
      <c r="AF594" s="38">
        <f t="shared" si="59"/>
        <v>-0.75180030274214127</v>
      </c>
      <c r="AG594" s="38">
        <f t="shared" si="59"/>
        <v>-0.13304081016323729</v>
      </c>
      <c r="AI594" s="38">
        <f t="shared" si="60"/>
        <v>-10.585210117746126</v>
      </c>
      <c r="AJ594" s="38">
        <f t="shared" si="60"/>
        <v>-0.75180030274214127</v>
      </c>
      <c r="AK594" s="38">
        <f t="shared" si="60"/>
        <v>-0.13304081016323729</v>
      </c>
      <c r="AL594" s="17"/>
    </row>
    <row r="595" spans="1:38" x14ac:dyDescent="0.25">
      <c r="A595" s="4" t="s">
        <v>211</v>
      </c>
      <c r="C595" s="38">
        <f t="shared" si="52"/>
        <v>-16.763358778625953</v>
      </c>
      <c r="D595" s="38">
        <f t="shared" si="52"/>
        <v>0</v>
      </c>
      <c r="E595" s="38">
        <f t="shared" si="52"/>
        <v>0</v>
      </c>
      <c r="G595" s="38">
        <f t="shared" si="53"/>
        <v>-14.888709717698065</v>
      </c>
      <c r="H595" s="38">
        <f t="shared" si="53"/>
        <v>-0.19793789499595785</v>
      </c>
      <c r="I595" s="38">
        <f t="shared" si="53"/>
        <v>-6.2082169612860817E-2</v>
      </c>
      <c r="K595" s="38">
        <f t="shared" si="54"/>
        <v>-14.888709717698065</v>
      </c>
      <c r="L595" s="38">
        <f t="shared" si="54"/>
        <v>-0.19793789499595785</v>
      </c>
      <c r="M595" s="38">
        <f t="shared" si="54"/>
        <v>-6.2082169612860817E-2</v>
      </c>
      <c r="O595" s="38">
        <f t="shared" si="55"/>
        <v>-10.585210117746126</v>
      </c>
      <c r="P595" s="38">
        <f t="shared" si="55"/>
        <v>-0.75180030274214127</v>
      </c>
      <c r="Q595" s="38">
        <f t="shared" si="55"/>
        <v>-0.13304081016323729</v>
      </c>
      <c r="S595" s="38">
        <f t="shared" si="56"/>
        <v>-10.585210117746126</v>
      </c>
      <c r="T595" s="38">
        <f t="shared" si="56"/>
        <v>-0.75180030274214127</v>
      </c>
      <c r="U595" s="38">
        <f t="shared" si="56"/>
        <v>-0.13304081016323729</v>
      </c>
      <c r="W595" s="38">
        <f t="shared" si="57"/>
        <v>-14.888709717698065</v>
      </c>
      <c r="X595" s="38">
        <f t="shared" si="57"/>
        <v>-0.19793789499595785</v>
      </c>
      <c r="Y595" s="38">
        <f t="shared" si="57"/>
        <v>-6.2082169612860817E-2</v>
      </c>
      <c r="AA595" s="38">
        <f t="shared" si="58"/>
        <v>-10.585210117746126</v>
      </c>
      <c r="AB595" s="38">
        <f t="shared" si="58"/>
        <v>-0.75180030274214127</v>
      </c>
      <c r="AC595" s="38">
        <f t="shared" si="58"/>
        <v>-0.13304081016323729</v>
      </c>
      <c r="AE595" s="38">
        <f t="shared" si="59"/>
        <v>-10.585210117746126</v>
      </c>
      <c r="AF595" s="38">
        <f t="shared" si="59"/>
        <v>-0.75180030274214127</v>
      </c>
      <c r="AG595" s="38">
        <f t="shared" si="59"/>
        <v>-0.13304081016323729</v>
      </c>
      <c r="AI595" s="38">
        <f t="shared" si="60"/>
        <v>-10.585210117746126</v>
      </c>
      <c r="AJ595" s="38">
        <f t="shared" si="60"/>
        <v>-0.75180030274214127</v>
      </c>
      <c r="AK595" s="38">
        <f t="shared" si="60"/>
        <v>-0.13304081016323729</v>
      </c>
      <c r="AL595" s="17"/>
    </row>
    <row r="596" spans="1:38" x14ac:dyDescent="0.25">
      <c r="A596" s="4" t="s">
        <v>212</v>
      </c>
      <c r="C596" s="38">
        <f t="shared" si="52"/>
        <v>-16.763358778625953</v>
      </c>
      <c r="D596" s="38">
        <f t="shared" si="52"/>
        <v>0</v>
      </c>
      <c r="E596" s="38">
        <f t="shared" si="52"/>
        <v>0</v>
      </c>
      <c r="G596" s="38">
        <f t="shared" si="53"/>
        <v>-14.888709717698065</v>
      </c>
      <c r="H596" s="38">
        <f t="shared" si="53"/>
        <v>-0.19793789499595785</v>
      </c>
      <c r="I596" s="38">
        <f t="shared" si="53"/>
        <v>-6.2082169612860817E-2</v>
      </c>
      <c r="K596" s="38">
        <f t="shared" si="54"/>
        <v>-14.888709717698065</v>
      </c>
      <c r="L596" s="38">
        <f t="shared" si="54"/>
        <v>-0.19793789499595785</v>
      </c>
      <c r="M596" s="38">
        <f t="shared" si="54"/>
        <v>-6.2082169612860817E-2</v>
      </c>
      <c r="O596" s="38">
        <f t="shared" si="55"/>
        <v>-10.585210117746126</v>
      </c>
      <c r="P596" s="38">
        <f t="shared" si="55"/>
        <v>-0.75180030274214127</v>
      </c>
      <c r="Q596" s="38">
        <f t="shared" si="55"/>
        <v>-0.13304081016323729</v>
      </c>
      <c r="S596" s="38">
        <f t="shared" si="56"/>
        <v>-10.585210117746126</v>
      </c>
      <c r="T596" s="38">
        <f t="shared" si="56"/>
        <v>-0.75180030274214127</v>
      </c>
      <c r="U596" s="38">
        <f t="shared" si="56"/>
        <v>-0.13304081016323729</v>
      </c>
      <c r="W596" s="38">
        <f t="shared" si="57"/>
        <v>-14.888709717698065</v>
      </c>
      <c r="X596" s="38">
        <f t="shared" si="57"/>
        <v>-0.19793789499595785</v>
      </c>
      <c r="Y596" s="38">
        <f t="shared" si="57"/>
        <v>-6.2082169612860817E-2</v>
      </c>
      <c r="AA596" s="38">
        <f t="shared" si="58"/>
        <v>-10.585210117746126</v>
      </c>
      <c r="AB596" s="38">
        <f t="shared" si="58"/>
        <v>-0.75180030274214127</v>
      </c>
      <c r="AC596" s="38">
        <f t="shared" si="58"/>
        <v>-0.13304081016323729</v>
      </c>
      <c r="AE596" s="38">
        <f t="shared" si="59"/>
        <v>-10.585210117746126</v>
      </c>
      <c r="AF596" s="38">
        <f t="shared" si="59"/>
        <v>-0.75180030274214127</v>
      </c>
      <c r="AG596" s="38">
        <f t="shared" si="59"/>
        <v>-0.13304081016323729</v>
      </c>
      <c r="AI596" s="38">
        <f t="shared" si="60"/>
        <v>-10.585210117746126</v>
      </c>
      <c r="AJ596" s="38">
        <f t="shared" si="60"/>
        <v>-0.75180030274214127</v>
      </c>
      <c r="AK596" s="38">
        <f t="shared" si="60"/>
        <v>-0.13304081016323729</v>
      </c>
      <c r="AL596" s="17"/>
    </row>
    <row r="598" spans="1:38" ht="21" customHeight="1" x14ac:dyDescent="0.3">
      <c r="A598" s="1" t="s">
        <v>735</v>
      </c>
    </row>
    <row r="599" spans="1:38" x14ac:dyDescent="0.25">
      <c r="A599" s="2" t="s">
        <v>381</v>
      </c>
    </row>
    <row r="600" spans="1:38" x14ac:dyDescent="0.25">
      <c r="A600" s="32" t="s">
        <v>736</v>
      </c>
    </row>
    <row r="601" spans="1:38" x14ac:dyDescent="0.25">
      <c r="A601" s="32" t="s">
        <v>737</v>
      </c>
    </row>
    <row r="602" spans="1:38" x14ac:dyDescent="0.25">
      <c r="A602" s="2" t="s">
        <v>394</v>
      </c>
    </row>
    <row r="604" spans="1:38" x14ac:dyDescent="0.25">
      <c r="B604" s="15" t="s">
        <v>150</v>
      </c>
      <c r="C604" s="15" t="s">
        <v>151</v>
      </c>
      <c r="D604" s="15" t="s">
        <v>152</v>
      </c>
      <c r="E604" s="15" t="s">
        <v>153</v>
      </c>
      <c r="F604" s="15" t="s">
        <v>154</v>
      </c>
      <c r="G604" s="15" t="s">
        <v>159</v>
      </c>
      <c r="H604" s="15" t="s">
        <v>155</v>
      </c>
      <c r="I604" s="15" t="s">
        <v>156</v>
      </c>
      <c r="J604" s="15" t="s">
        <v>157</v>
      </c>
    </row>
    <row r="605" spans="1:38" x14ac:dyDescent="0.25">
      <c r="A605" s="4" t="s">
        <v>182</v>
      </c>
      <c r="B605" s="37">
        <f t="shared" ref="B605:B624" si="61">SUMPRODUCT($C577:$E577,$B43:$D43)</f>
        <v>2.2032048896968019</v>
      </c>
      <c r="C605" s="37">
        <f t="shared" ref="C605:C624" si="62">SUMPRODUCT($G577:$I577,$B43:$D43)</f>
        <v>2.1338112271107268</v>
      </c>
      <c r="D605" s="37">
        <f t="shared" ref="D605:D624" si="63">SUMPRODUCT($K577:$M577,$B43:$D43)</f>
        <v>2.1338112271107268</v>
      </c>
      <c r="E605" s="37">
        <f t="shared" ref="E605:E624" si="64">SUMPRODUCT($O577:$Q577,$B43:$D43)</f>
        <v>1.9947992551020823</v>
      </c>
      <c r="F605" s="37">
        <f t="shared" ref="F605:F624" si="65">SUMPRODUCT($S577:$U577,$B43:$D43)</f>
        <v>1.9947992551020823</v>
      </c>
      <c r="G605" s="37">
        <f t="shared" ref="G605:G624" si="66">SUMPRODUCT($W577:$Y577,$B43:$D43)</f>
        <v>2.1338112271107268</v>
      </c>
      <c r="H605" s="37">
        <f t="shared" ref="H605:H624" si="67">SUMPRODUCT($AA577:$AC577,$B43:$D43)</f>
        <v>1.9947992551020823</v>
      </c>
      <c r="I605" s="37">
        <f t="shared" ref="I605:I624" si="68">SUMPRODUCT($AE577:$AG577,$B43:$D43)</f>
        <v>1.9947992551020823</v>
      </c>
      <c r="J605" s="37">
        <f t="shared" ref="J605:J624" si="69">SUMPRODUCT($AI577:$AK577,$B43:$D43)</f>
        <v>1.9947992551020823</v>
      </c>
      <c r="K605" s="17"/>
    </row>
    <row r="606" spans="1:38" x14ac:dyDescent="0.25">
      <c r="A606" s="4" t="s">
        <v>183</v>
      </c>
      <c r="B606" s="37">
        <f t="shared" si="61"/>
        <v>2.65122404873365</v>
      </c>
      <c r="C606" s="37">
        <f t="shared" si="62"/>
        <v>2.5445669528820245</v>
      </c>
      <c r="D606" s="37">
        <f t="shared" si="63"/>
        <v>2.5445669528820245</v>
      </c>
      <c r="E606" s="37">
        <f t="shared" si="64"/>
        <v>2.3419923307677122</v>
      </c>
      <c r="F606" s="37">
        <f t="shared" si="65"/>
        <v>2.3419923307677122</v>
      </c>
      <c r="G606" s="37">
        <f t="shared" si="66"/>
        <v>2.5445669528820245</v>
      </c>
      <c r="H606" s="37">
        <f t="shared" si="67"/>
        <v>2.3419923307677122</v>
      </c>
      <c r="I606" s="37">
        <f t="shared" si="68"/>
        <v>2.3419923307677122</v>
      </c>
      <c r="J606" s="37">
        <f t="shared" si="69"/>
        <v>2.3419923307677122</v>
      </c>
      <c r="K606" s="17"/>
    </row>
    <row r="607" spans="1:38" x14ac:dyDescent="0.25">
      <c r="A607" s="4" t="s">
        <v>228</v>
      </c>
      <c r="B607" s="37">
        <f t="shared" si="61"/>
        <v>2.2560175186802492E-2</v>
      </c>
      <c r="C607" s="37">
        <f t="shared" si="62"/>
        <v>9.6829061047196824E-2</v>
      </c>
      <c r="D607" s="37">
        <f t="shared" si="63"/>
        <v>9.6829061047196824E-2</v>
      </c>
      <c r="E607" s="37">
        <f t="shared" si="64"/>
        <v>0.2144811217654187</v>
      </c>
      <c r="F607" s="37">
        <f t="shared" si="65"/>
        <v>0.2144811217654187</v>
      </c>
      <c r="G607" s="37">
        <f t="shared" si="66"/>
        <v>9.6829061047196824E-2</v>
      </c>
      <c r="H607" s="37">
        <f t="shared" si="67"/>
        <v>0.2144811217654187</v>
      </c>
      <c r="I607" s="37">
        <f t="shared" si="68"/>
        <v>0.2144811217654187</v>
      </c>
      <c r="J607" s="37">
        <f t="shared" si="69"/>
        <v>0.2144811217654187</v>
      </c>
      <c r="K607" s="17"/>
    </row>
    <row r="608" spans="1:38" x14ac:dyDescent="0.25">
      <c r="A608" s="4" t="s">
        <v>184</v>
      </c>
      <c r="B608" s="37">
        <f t="shared" si="61"/>
        <v>1.6655093400569618</v>
      </c>
      <c r="C608" s="37">
        <f t="shared" si="62"/>
        <v>1.6928124131737325</v>
      </c>
      <c r="D608" s="37">
        <f t="shared" si="63"/>
        <v>1.6928124131737325</v>
      </c>
      <c r="E608" s="37">
        <f t="shared" si="64"/>
        <v>1.8019628211005729</v>
      </c>
      <c r="F608" s="37">
        <f t="shared" si="65"/>
        <v>1.8019628211005729</v>
      </c>
      <c r="G608" s="37">
        <f t="shared" si="66"/>
        <v>1.6928124131737325</v>
      </c>
      <c r="H608" s="37">
        <f t="shared" si="67"/>
        <v>1.8019628211005729</v>
      </c>
      <c r="I608" s="37">
        <f t="shared" si="68"/>
        <v>1.8019628211005729</v>
      </c>
      <c r="J608" s="37">
        <f t="shared" si="69"/>
        <v>1.8019628211005729</v>
      </c>
      <c r="K608" s="17"/>
    </row>
    <row r="609" spans="1:11" x14ac:dyDescent="0.25">
      <c r="A609" s="4" t="s">
        <v>185</v>
      </c>
      <c r="B609" s="37">
        <f t="shared" si="61"/>
        <v>2.001149124793359</v>
      </c>
      <c r="C609" s="37">
        <f t="shared" si="62"/>
        <v>1.9837670660793199</v>
      </c>
      <c r="D609" s="37">
        <f t="shared" si="63"/>
        <v>1.9837670660793199</v>
      </c>
      <c r="E609" s="37">
        <f t="shared" si="64"/>
        <v>2.0041964426305428</v>
      </c>
      <c r="F609" s="37">
        <f t="shared" si="65"/>
        <v>2.0041964426305428</v>
      </c>
      <c r="G609" s="37">
        <f t="shared" si="66"/>
        <v>1.9837670660793199</v>
      </c>
      <c r="H609" s="37">
        <f t="shared" si="67"/>
        <v>2.0041964426305428</v>
      </c>
      <c r="I609" s="37">
        <f t="shared" si="68"/>
        <v>2.0041964426305428</v>
      </c>
      <c r="J609" s="37">
        <f t="shared" si="69"/>
        <v>2.0041964426305428</v>
      </c>
      <c r="K609" s="17"/>
    </row>
    <row r="610" spans="1:11" x14ac:dyDescent="0.25">
      <c r="A610" s="4" t="s">
        <v>229</v>
      </c>
      <c r="B610" s="37">
        <f t="shared" si="61"/>
        <v>3.5872005603403929E-2</v>
      </c>
      <c r="C610" s="37">
        <f t="shared" si="62"/>
        <v>0.1089507941901342</v>
      </c>
      <c r="D610" s="37">
        <f t="shared" si="63"/>
        <v>0.1089507941901342</v>
      </c>
      <c r="E610" s="37">
        <f t="shared" si="64"/>
        <v>0.22645091956536201</v>
      </c>
      <c r="F610" s="37">
        <f t="shared" si="65"/>
        <v>0.22645091956536201</v>
      </c>
      <c r="G610" s="37">
        <f t="shared" si="66"/>
        <v>0.1089507941901342</v>
      </c>
      <c r="H610" s="37">
        <f t="shared" si="67"/>
        <v>0.22645091956536201</v>
      </c>
      <c r="I610" s="37">
        <f t="shared" si="68"/>
        <v>0.22645091956536201</v>
      </c>
      <c r="J610" s="37">
        <f t="shared" si="69"/>
        <v>0.22645091956536201</v>
      </c>
      <c r="K610" s="17"/>
    </row>
    <row r="611" spans="1:11" x14ac:dyDescent="0.25">
      <c r="A611" s="4" t="s">
        <v>186</v>
      </c>
      <c r="B611" s="37">
        <f t="shared" si="61"/>
        <v>1.8105140931773773</v>
      </c>
      <c r="C611" s="37">
        <f t="shared" si="62"/>
        <v>1.7918227548719134</v>
      </c>
      <c r="D611" s="37">
        <f t="shared" si="63"/>
        <v>1.7918227548719134</v>
      </c>
      <c r="E611" s="37">
        <f t="shared" si="64"/>
        <v>1.8016321408754834</v>
      </c>
      <c r="F611" s="37">
        <f t="shared" si="65"/>
        <v>1.8016321408754834</v>
      </c>
      <c r="G611" s="37">
        <f t="shared" si="66"/>
        <v>1.7918227548719134</v>
      </c>
      <c r="H611" s="37">
        <f t="shared" si="67"/>
        <v>1.8016321408754834</v>
      </c>
      <c r="I611" s="37">
        <f t="shared" si="68"/>
        <v>1.8016321408754834</v>
      </c>
      <c r="J611" s="37">
        <f t="shared" si="69"/>
        <v>1.8016321408754834</v>
      </c>
      <c r="K611" s="17"/>
    </row>
    <row r="612" spans="1:11" x14ac:dyDescent="0.25">
      <c r="A612" s="4" t="s">
        <v>187</v>
      </c>
      <c r="B612" s="37">
        <f t="shared" si="61"/>
        <v>1.7618420822732581</v>
      </c>
      <c r="C612" s="37">
        <f t="shared" si="62"/>
        <v>1.7448126569410769</v>
      </c>
      <c r="D612" s="37">
        <f t="shared" si="63"/>
        <v>1.7448126569410769</v>
      </c>
      <c r="E612" s="37">
        <f t="shared" si="64"/>
        <v>1.7570152847979648</v>
      </c>
      <c r="F612" s="37">
        <f t="shared" si="65"/>
        <v>1.7570152847979648</v>
      </c>
      <c r="G612" s="37">
        <f t="shared" si="66"/>
        <v>1.7448126569410769</v>
      </c>
      <c r="H612" s="37">
        <f t="shared" si="67"/>
        <v>1.7570152847979648</v>
      </c>
      <c r="I612" s="37">
        <f t="shared" si="68"/>
        <v>1.7570152847979648</v>
      </c>
      <c r="J612" s="37">
        <f t="shared" si="69"/>
        <v>1.7570152847979648</v>
      </c>
      <c r="K612" s="17"/>
    </row>
    <row r="613" spans="1:11" x14ac:dyDescent="0.25">
      <c r="A613" s="4" t="s">
        <v>207</v>
      </c>
      <c r="B613" s="37">
        <f t="shared" si="61"/>
        <v>2.0261736090021305</v>
      </c>
      <c r="C613" s="37">
        <f t="shared" si="62"/>
        <v>2.0179795471332955</v>
      </c>
      <c r="D613" s="37">
        <f t="shared" si="63"/>
        <v>2.0179795471332955</v>
      </c>
      <c r="E613" s="37">
        <f t="shared" si="64"/>
        <v>2.0666691813685847</v>
      </c>
      <c r="F613" s="37">
        <f t="shared" si="65"/>
        <v>2.0666691813685847</v>
      </c>
      <c r="G613" s="37">
        <f t="shared" si="66"/>
        <v>2.0179795471332955</v>
      </c>
      <c r="H613" s="37">
        <f t="shared" si="67"/>
        <v>2.0666691813685847</v>
      </c>
      <c r="I613" s="37">
        <f t="shared" si="68"/>
        <v>2.0666691813685847</v>
      </c>
      <c r="J613" s="37">
        <f t="shared" si="69"/>
        <v>2.0666691813685847</v>
      </c>
      <c r="K613" s="17"/>
    </row>
    <row r="614" spans="1:11" x14ac:dyDescent="0.25">
      <c r="A614" s="4" t="s">
        <v>188</v>
      </c>
      <c r="B614" s="37">
        <f t="shared" si="61"/>
        <v>24.847827662007816</v>
      </c>
      <c r="C614" s="37">
        <f t="shared" si="62"/>
        <v>22.064896673788081</v>
      </c>
      <c r="D614" s="37">
        <f t="shared" si="63"/>
        <v>22.064896673788081</v>
      </c>
      <c r="E614" s="37">
        <f t="shared" si="64"/>
        <v>15.6821469255673</v>
      </c>
      <c r="F614" s="37">
        <f t="shared" si="65"/>
        <v>15.6821469255673</v>
      </c>
      <c r="G614" s="37">
        <f t="shared" si="66"/>
        <v>22.064896673788081</v>
      </c>
      <c r="H614" s="37">
        <f t="shared" si="67"/>
        <v>15.6821469255673</v>
      </c>
      <c r="I614" s="37">
        <f t="shared" si="68"/>
        <v>15.6821469255673</v>
      </c>
      <c r="J614" s="37">
        <f t="shared" si="69"/>
        <v>15.6821469255673</v>
      </c>
      <c r="K614" s="17"/>
    </row>
    <row r="615" spans="1:11" x14ac:dyDescent="0.25">
      <c r="A615" s="4" t="s">
        <v>189</v>
      </c>
      <c r="B615" s="37">
        <f t="shared" si="61"/>
        <v>25.809096811074692</v>
      </c>
      <c r="C615" s="37">
        <f t="shared" si="62"/>
        <v>22.924215537910769</v>
      </c>
      <c r="D615" s="37">
        <f t="shared" si="63"/>
        <v>22.924215537910769</v>
      </c>
      <c r="E615" s="37">
        <f t="shared" si="64"/>
        <v>16.307932716587228</v>
      </c>
      <c r="F615" s="37">
        <f t="shared" si="65"/>
        <v>16.307932716587228</v>
      </c>
      <c r="G615" s="37">
        <f t="shared" si="66"/>
        <v>22.924215537910769</v>
      </c>
      <c r="H615" s="37">
        <f t="shared" si="67"/>
        <v>16.307932716587228</v>
      </c>
      <c r="I615" s="37">
        <f t="shared" si="68"/>
        <v>16.307932716587228</v>
      </c>
      <c r="J615" s="37">
        <f t="shared" si="69"/>
        <v>16.307932716587228</v>
      </c>
      <c r="K615" s="17"/>
    </row>
    <row r="616" spans="1:11" x14ac:dyDescent="0.25">
      <c r="A616" s="4" t="s">
        <v>190</v>
      </c>
      <c r="B616" s="37">
        <f t="shared" si="61"/>
        <v>19.49881636563557</v>
      </c>
      <c r="C616" s="37">
        <f t="shared" si="62"/>
        <v>17.318260650533215</v>
      </c>
      <c r="D616" s="37">
        <f t="shared" si="63"/>
        <v>17.318260650533215</v>
      </c>
      <c r="E616" s="37">
        <f t="shared" si="64"/>
        <v>12.312512725120909</v>
      </c>
      <c r="F616" s="37">
        <f t="shared" si="65"/>
        <v>12.312512725120909</v>
      </c>
      <c r="G616" s="37">
        <f t="shared" si="66"/>
        <v>17.318260650533215</v>
      </c>
      <c r="H616" s="37">
        <f t="shared" si="67"/>
        <v>12.312512725120909</v>
      </c>
      <c r="I616" s="37">
        <f t="shared" si="68"/>
        <v>12.312512725120909</v>
      </c>
      <c r="J616" s="37">
        <f t="shared" si="69"/>
        <v>12.312512725120909</v>
      </c>
      <c r="K616" s="17"/>
    </row>
    <row r="617" spans="1:11" x14ac:dyDescent="0.25">
      <c r="A617" s="4" t="s">
        <v>191</v>
      </c>
      <c r="B617" s="37">
        <f t="shared" si="61"/>
        <v>18.916612824577768</v>
      </c>
      <c r="C617" s="37">
        <f t="shared" si="62"/>
        <v>16.80116502346366</v>
      </c>
      <c r="D617" s="37">
        <f t="shared" si="63"/>
        <v>16.80116502346366</v>
      </c>
      <c r="E617" s="37">
        <f t="shared" si="64"/>
        <v>11.944880743083369</v>
      </c>
      <c r="F617" s="37">
        <f t="shared" si="65"/>
        <v>11.944880743083369</v>
      </c>
      <c r="G617" s="37">
        <f t="shared" si="66"/>
        <v>16.80116502346366</v>
      </c>
      <c r="H617" s="37">
        <f t="shared" si="67"/>
        <v>11.944880743083369</v>
      </c>
      <c r="I617" s="37">
        <f t="shared" si="68"/>
        <v>11.944880743083369</v>
      </c>
      <c r="J617" s="37">
        <f t="shared" si="69"/>
        <v>11.944880743083369</v>
      </c>
      <c r="K617" s="17"/>
    </row>
    <row r="618" spans="1:11" x14ac:dyDescent="0.25">
      <c r="A618" s="4" t="s">
        <v>208</v>
      </c>
      <c r="B618" s="37">
        <f t="shared" si="61"/>
        <v>17.70707021938442</v>
      </c>
      <c r="C618" s="37">
        <f t="shared" si="62"/>
        <v>15.726885758924283</v>
      </c>
      <c r="D618" s="37">
        <f t="shared" si="63"/>
        <v>15.726885758924283</v>
      </c>
      <c r="E618" s="37">
        <f t="shared" si="64"/>
        <v>11.181115987379258</v>
      </c>
      <c r="F618" s="37">
        <f t="shared" si="65"/>
        <v>11.181115987379258</v>
      </c>
      <c r="G618" s="37">
        <f t="shared" si="66"/>
        <v>15.726885758924283</v>
      </c>
      <c r="H618" s="37">
        <f t="shared" si="67"/>
        <v>11.181115987379258</v>
      </c>
      <c r="I618" s="37">
        <f t="shared" si="68"/>
        <v>11.181115987379258</v>
      </c>
      <c r="J618" s="37">
        <f t="shared" si="69"/>
        <v>11.181115987379258</v>
      </c>
      <c r="K618" s="17"/>
    </row>
    <row r="619" spans="1:11" x14ac:dyDescent="0.25">
      <c r="A619" s="4" t="s">
        <v>196</v>
      </c>
      <c r="B619" s="37">
        <f t="shared" si="61"/>
        <v>-16.763358778625953</v>
      </c>
      <c r="C619" s="37">
        <f t="shared" si="62"/>
        <v>-14.888709717698065</v>
      </c>
      <c r="D619" s="37">
        <f t="shared" si="63"/>
        <v>-14.888709717698065</v>
      </c>
      <c r="E619" s="37">
        <f t="shared" si="64"/>
        <v>-10.585210117746126</v>
      </c>
      <c r="F619" s="37">
        <f t="shared" si="65"/>
        <v>-10.585210117746126</v>
      </c>
      <c r="G619" s="37">
        <f t="shared" si="66"/>
        <v>-14.888709717698065</v>
      </c>
      <c r="H619" s="37">
        <f t="shared" si="67"/>
        <v>-10.585210117746126</v>
      </c>
      <c r="I619" s="37">
        <f t="shared" si="68"/>
        <v>-10.585210117746126</v>
      </c>
      <c r="J619" s="37">
        <f t="shared" si="69"/>
        <v>-10.585210117746126</v>
      </c>
      <c r="K619" s="17"/>
    </row>
    <row r="620" spans="1:11" x14ac:dyDescent="0.25">
      <c r="A620" s="4" t="s">
        <v>197</v>
      </c>
      <c r="B620" s="37">
        <f t="shared" si="61"/>
        <v>-16.763358778625953</v>
      </c>
      <c r="C620" s="37">
        <f t="shared" si="62"/>
        <v>-14.888709717698065</v>
      </c>
      <c r="D620" s="37">
        <f t="shared" si="63"/>
        <v>-14.888709717698065</v>
      </c>
      <c r="E620" s="37">
        <f t="shared" si="64"/>
        <v>-10.585210117746126</v>
      </c>
      <c r="F620" s="37">
        <f t="shared" si="65"/>
        <v>-10.585210117746126</v>
      </c>
      <c r="G620" s="37">
        <f t="shared" si="66"/>
        <v>-14.888709717698065</v>
      </c>
      <c r="H620" s="37">
        <f t="shared" si="67"/>
        <v>-10.585210117746126</v>
      </c>
      <c r="I620" s="37">
        <f t="shared" si="68"/>
        <v>-10.585210117746126</v>
      </c>
      <c r="J620" s="37">
        <f t="shared" si="69"/>
        <v>-10.585210117746126</v>
      </c>
      <c r="K620" s="17"/>
    </row>
    <row r="621" spans="1:11" x14ac:dyDescent="0.25">
      <c r="A621" s="4" t="s">
        <v>200</v>
      </c>
      <c r="B621" s="37">
        <f t="shared" si="61"/>
        <v>-16.763358778625953</v>
      </c>
      <c r="C621" s="37">
        <f t="shared" si="62"/>
        <v>-14.888709717698065</v>
      </c>
      <c r="D621" s="37">
        <f t="shared" si="63"/>
        <v>-14.888709717698065</v>
      </c>
      <c r="E621" s="37">
        <f t="shared" si="64"/>
        <v>-10.585210117746126</v>
      </c>
      <c r="F621" s="37">
        <f t="shared" si="65"/>
        <v>-10.585210117746126</v>
      </c>
      <c r="G621" s="37">
        <f t="shared" si="66"/>
        <v>-14.888709717698065</v>
      </c>
      <c r="H621" s="37">
        <f t="shared" si="67"/>
        <v>-10.585210117746126</v>
      </c>
      <c r="I621" s="37">
        <f t="shared" si="68"/>
        <v>-10.585210117746126</v>
      </c>
      <c r="J621" s="37">
        <f t="shared" si="69"/>
        <v>-10.585210117746126</v>
      </c>
      <c r="K621" s="17"/>
    </row>
    <row r="622" spans="1:11" x14ac:dyDescent="0.25">
      <c r="A622" s="4" t="s">
        <v>201</v>
      </c>
      <c r="B622" s="37">
        <f t="shared" si="61"/>
        <v>-16.763358778625953</v>
      </c>
      <c r="C622" s="37">
        <f t="shared" si="62"/>
        <v>-14.888709717698065</v>
      </c>
      <c r="D622" s="37">
        <f t="shared" si="63"/>
        <v>-14.888709717698065</v>
      </c>
      <c r="E622" s="37">
        <f t="shared" si="64"/>
        <v>-10.585210117746126</v>
      </c>
      <c r="F622" s="37">
        <f t="shared" si="65"/>
        <v>-10.585210117746126</v>
      </c>
      <c r="G622" s="37">
        <f t="shared" si="66"/>
        <v>-14.888709717698065</v>
      </c>
      <c r="H622" s="37">
        <f t="shared" si="67"/>
        <v>-10.585210117746126</v>
      </c>
      <c r="I622" s="37">
        <f t="shared" si="68"/>
        <v>-10.585210117746126</v>
      </c>
      <c r="J622" s="37">
        <f t="shared" si="69"/>
        <v>-10.585210117746126</v>
      </c>
      <c r="K622" s="17"/>
    </row>
    <row r="623" spans="1:11" x14ac:dyDescent="0.25">
      <c r="A623" s="4" t="s">
        <v>211</v>
      </c>
      <c r="B623" s="37">
        <f t="shared" si="61"/>
        <v>-16.763358778625953</v>
      </c>
      <c r="C623" s="37">
        <f t="shared" si="62"/>
        <v>-14.888709717698065</v>
      </c>
      <c r="D623" s="37">
        <f t="shared" si="63"/>
        <v>-14.888709717698065</v>
      </c>
      <c r="E623" s="37">
        <f t="shared" si="64"/>
        <v>-10.585210117746126</v>
      </c>
      <c r="F623" s="37">
        <f t="shared" si="65"/>
        <v>-10.585210117746126</v>
      </c>
      <c r="G623" s="37">
        <f t="shared" si="66"/>
        <v>-14.888709717698065</v>
      </c>
      <c r="H623" s="37">
        <f t="shared" si="67"/>
        <v>-10.585210117746126</v>
      </c>
      <c r="I623" s="37">
        <f t="shared" si="68"/>
        <v>-10.585210117746126</v>
      </c>
      <c r="J623" s="37">
        <f t="shared" si="69"/>
        <v>-10.585210117746126</v>
      </c>
      <c r="K623" s="17"/>
    </row>
    <row r="624" spans="1:11" x14ac:dyDescent="0.25">
      <c r="A624" s="4" t="s">
        <v>212</v>
      </c>
      <c r="B624" s="37">
        <f t="shared" si="61"/>
        <v>-16.763358778625953</v>
      </c>
      <c r="C624" s="37">
        <f t="shared" si="62"/>
        <v>-14.888709717698065</v>
      </c>
      <c r="D624" s="37">
        <f t="shared" si="63"/>
        <v>-14.888709717698065</v>
      </c>
      <c r="E624" s="37">
        <f t="shared" si="64"/>
        <v>-10.585210117746126</v>
      </c>
      <c r="F624" s="37">
        <f t="shared" si="65"/>
        <v>-10.585210117746126</v>
      </c>
      <c r="G624" s="37">
        <f t="shared" si="66"/>
        <v>-14.888709717698065</v>
      </c>
      <c r="H624" s="37">
        <f t="shared" si="67"/>
        <v>-10.585210117746126</v>
      </c>
      <c r="I624" s="37">
        <f t="shared" si="68"/>
        <v>-10.585210117746126</v>
      </c>
      <c r="J624" s="37">
        <f t="shared" si="69"/>
        <v>-10.585210117746126</v>
      </c>
      <c r="K624" s="17"/>
    </row>
    <row r="626" spans="1:11" ht="21" customHeight="1" x14ac:dyDescent="0.3">
      <c r="A626" s="1" t="s">
        <v>738</v>
      </c>
    </row>
    <row r="627" spans="1:11" x14ac:dyDescent="0.25">
      <c r="A627" s="2" t="s">
        <v>381</v>
      </c>
    </row>
    <row r="628" spans="1:11" x14ac:dyDescent="0.25">
      <c r="A628" s="32" t="s">
        <v>736</v>
      </c>
    </row>
    <row r="629" spans="1:11" x14ac:dyDescent="0.25">
      <c r="A629" s="32" t="s">
        <v>739</v>
      </c>
    </row>
    <row r="630" spans="1:11" x14ac:dyDescent="0.25">
      <c r="A630" s="2" t="s">
        <v>394</v>
      </c>
    </row>
    <row r="632" spans="1:11" x14ac:dyDescent="0.25">
      <c r="B632" s="15" t="s">
        <v>150</v>
      </c>
      <c r="C632" s="15" t="s">
        <v>151</v>
      </c>
      <c r="D632" s="15" t="s">
        <v>152</v>
      </c>
      <c r="E632" s="15" t="s">
        <v>153</v>
      </c>
      <c r="F632" s="15" t="s">
        <v>154</v>
      </c>
      <c r="G632" s="15" t="s">
        <v>159</v>
      </c>
      <c r="H632" s="15" t="s">
        <v>155</v>
      </c>
      <c r="I632" s="15" t="s">
        <v>156</v>
      </c>
      <c r="J632" s="15" t="s">
        <v>157</v>
      </c>
    </row>
    <row r="633" spans="1:11" x14ac:dyDescent="0.25">
      <c r="A633" s="4" t="s">
        <v>183</v>
      </c>
      <c r="B633" s="37">
        <f>SUMPRODUCT($C$578:$E$578,$B88:$D88)</f>
        <v>0</v>
      </c>
      <c r="C633" s="37">
        <f>SUMPRODUCT($G$578:$I$578,$B88:$D88)</f>
        <v>9.5619473532856269E-2</v>
      </c>
      <c r="D633" s="37">
        <f>SUMPRODUCT($K$578:$M$578,$B88:$D88)</f>
        <v>9.5619473532856269E-2</v>
      </c>
      <c r="E633" s="37">
        <f>SUMPRODUCT($O$578:$Q$578,$B88:$D88)</f>
        <v>0.2151191457493512</v>
      </c>
      <c r="F633" s="37">
        <f>SUMPRODUCT($S$578:$U$578,$B88:$D88)</f>
        <v>0.2151191457493512</v>
      </c>
      <c r="G633" s="37">
        <f>SUMPRODUCT($W$578:$Y$578,$B88:$D88)</f>
        <v>9.5619473532856269E-2</v>
      </c>
      <c r="H633" s="37">
        <f>SUMPRODUCT($AA$578:$AC$578,$B88:$D88)</f>
        <v>0.2151191457493512</v>
      </c>
      <c r="I633" s="37">
        <f>SUMPRODUCT($AE$578:$AG$578,$B88:$D88)</f>
        <v>0.2151191457493512</v>
      </c>
      <c r="J633" s="37">
        <f>SUMPRODUCT($AI$578:$AK$578,$B88:$D88)</f>
        <v>0.2151191457493512</v>
      </c>
      <c r="K633" s="17"/>
    </row>
    <row r="634" spans="1:11" x14ac:dyDescent="0.25">
      <c r="A634" s="4" t="s">
        <v>185</v>
      </c>
      <c r="B634" s="37">
        <f>SUMPRODUCT($C$581:$E$581,$B89:$D89)</f>
        <v>0</v>
      </c>
      <c r="C634" s="37">
        <f>SUMPRODUCT($G$581:$I$581,$B89:$D89)</f>
        <v>9.527932670132877E-2</v>
      </c>
      <c r="D634" s="37">
        <f>SUMPRODUCT($K$581:$M$581,$B89:$D89)</f>
        <v>9.527932670132877E-2</v>
      </c>
      <c r="E634" s="37">
        <f>SUMPRODUCT($O$581:$Q$581,$B89:$D89)</f>
        <v>0.21728457006257115</v>
      </c>
      <c r="F634" s="37">
        <f>SUMPRODUCT($S$581:$U$581,$B89:$D89)</f>
        <v>0.21728457006257115</v>
      </c>
      <c r="G634" s="37">
        <f>SUMPRODUCT($W$581:$Y$581,$B89:$D89)</f>
        <v>9.527932670132877E-2</v>
      </c>
      <c r="H634" s="37">
        <f>SUMPRODUCT($AA$581:$AC$581,$B89:$D89)</f>
        <v>0.21728457006257115</v>
      </c>
      <c r="I634" s="37">
        <f>SUMPRODUCT($AE$581:$AG$581,$B89:$D89)</f>
        <v>0.21728457006257115</v>
      </c>
      <c r="J634" s="37">
        <f>SUMPRODUCT($AI$581:$AK$581,$B89:$D89)</f>
        <v>0.21728457006257115</v>
      </c>
      <c r="K634" s="17"/>
    </row>
    <row r="635" spans="1:11" x14ac:dyDescent="0.25">
      <c r="A635" s="4" t="s">
        <v>186</v>
      </c>
      <c r="B635" s="37">
        <f>SUMPRODUCT($C$583:$E$583,$B90:$D90)</f>
        <v>0</v>
      </c>
      <c r="C635" s="37">
        <f>SUMPRODUCT($G$583:$I$583,$B90:$D90)</f>
        <v>8.0782704141727044E-2</v>
      </c>
      <c r="D635" s="37">
        <f>SUMPRODUCT($K$583:$M$583,$B90:$D90)</f>
        <v>8.0782704141727044E-2</v>
      </c>
      <c r="E635" s="37">
        <f>SUMPRODUCT($O$583:$Q$583,$B90:$D90)</f>
        <v>0.17311567029973873</v>
      </c>
      <c r="F635" s="37">
        <f>SUMPRODUCT($S$583:$U$583,$B90:$D90)</f>
        <v>0.17311567029973873</v>
      </c>
      <c r="G635" s="37">
        <f>SUMPRODUCT($W$583:$Y$583,$B90:$D90)</f>
        <v>8.0782704141727044E-2</v>
      </c>
      <c r="H635" s="37">
        <f>SUMPRODUCT($AA$583:$AC$583,$B90:$D90)</f>
        <v>0.17311567029973873</v>
      </c>
      <c r="I635" s="37">
        <f>SUMPRODUCT($AE$583:$AG$583,$B90:$D90)</f>
        <v>0.17311567029973873</v>
      </c>
      <c r="J635" s="37">
        <f>SUMPRODUCT($AI$583:$AK$583,$B90:$D90)</f>
        <v>0.17311567029973873</v>
      </c>
      <c r="K635" s="17"/>
    </row>
    <row r="636" spans="1:11" x14ac:dyDescent="0.25">
      <c r="A636" s="4" t="s">
        <v>187</v>
      </c>
      <c r="B636" s="37">
        <f>SUMPRODUCT($C$584:$E$584,$B91:$D91)</f>
        <v>0</v>
      </c>
      <c r="C636" s="37">
        <f>SUMPRODUCT($G$584:$I$584,$B91:$D91)</f>
        <v>7.9218226379927426E-2</v>
      </c>
      <c r="D636" s="37">
        <f>SUMPRODUCT($K$584:$M$584,$B91:$D91)</f>
        <v>7.9218226379927426E-2</v>
      </c>
      <c r="E636" s="37">
        <f>SUMPRODUCT($O$584:$Q$584,$B91:$D91)</f>
        <v>0.16976302669513968</v>
      </c>
      <c r="F636" s="37">
        <f>SUMPRODUCT($S$584:$U$584,$B91:$D91)</f>
        <v>0.16976302669513968</v>
      </c>
      <c r="G636" s="37">
        <f>SUMPRODUCT($W$584:$Y$584,$B91:$D91)</f>
        <v>7.9218226379927426E-2</v>
      </c>
      <c r="H636" s="37">
        <f>SUMPRODUCT($AA$584:$AC$584,$B91:$D91)</f>
        <v>0.16976302669513968</v>
      </c>
      <c r="I636" s="37">
        <f>SUMPRODUCT($AE$584:$AG$584,$B91:$D91)</f>
        <v>0.16976302669513968</v>
      </c>
      <c r="J636" s="37">
        <f>SUMPRODUCT($AI$584:$AK$584,$B91:$D91)</f>
        <v>0.16976302669513968</v>
      </c>
      <c r="K636" s="17"/>
    </row>
    <row r="637" spans="1:11" x14ac:dyDescent="0.25">
      <c r="A637" s="4" t="s">
        <v>207</v>
      </c>
      <c r="B637" s="37">
        <f>SUMPRODUCT($C$585:$E$585,$B92:$D92)</f>
        <v>0</v>
      </c>
      <c r="C637" s="37">
        <f>SUMPRODUCT($G$585:$I$585,$B92:$D92)</f>
        <v>9.3521391904358625E-2</v>
      </c>
      <c r="D637" s="37">
        <f>SUMPRODUCT($K$585:$M$585,$B92:$D92)</f>
        <v>9.3521391904358625E-2</v>
      </c>
      <c r="E637" s="37">
        <f>SUMPRODUCT($O$585:$Q$585,$B92:$D92)</f>
        <v>0.20041441567100132</v>
      </c>
      <c r="F637" s="37">
        <f>SUMPRODUCT($S$585:$U$585,$B92:$D92)</f>
        <v>0.20041441567100132</v>
      </c>
      <c r="G637" s="37">
        <f>SUMPRODUCT($W$585:$Y$585,$B92:$D92)</f>
        <v>9.3521391904358625E-2</v>
      </c>
      <c r="H637" s="37">
        <f>SUMPRODUCT($AA$585:$AC$585,$B92:$D92)</f>
        <v>0.20041441567100132</v>
      </c>
      <c r="I637" s="37">
        <f>SUMPRODUCT($AE$585:$AG$585,$B92:$D92)</f>
        <v>0.20041441567100132</v>
      </c>
      <c r="J637" s="37">
        <f>SUMPRODUCT($AI$585:$AK$585,$B92:$D92)</f>
        <v>0.20041441567100132</v>
      </c>
      <c r="K637" s="17"/>
    </row>
    <row r="638" spans="1:11" x14ac:dyDescent="0.25">
      <c r="A638" s="4" t="s">
        <v>188</v>
      </c>
      <c r="B638" s="37">
        <f>SUMPRODUCT($C$586:$E$586,$B93:$D93)</f>
        <v>0</v>
      </c>
      <c r="C638" s="37">
        <f>SUMPRODUCT($G$586:$I$586,$B93:$D93)</f>
        <v>0.2933416853255823</v>
      </c>
      <c r="D638" s="37">
        <f>SUMPRODUCT($K$586:$M$586,$B93:$D93)</f>
        <v>0.2933416853255823</v>
      </c>
      <c r="E638" s="37">
        <f>SUMPRODUCT($O$586:$Q$586,$B93:$D93)</f>
        <v>1.1138033799180371</v>
      </c>
      <c r="F638" s="37">
        <f>SUMPRODUCT($S$586:$U$586,$B93:$D93)</f>
        <v>1.1138033799180371</v>
      </c>
      <c r="G638" s="37">
        <f>SUMPRODUCT($W$586:$Y$586,$B93:$D93)</f>
        <v>0.2933416853255823</v>
      </c>
      <c r="H638" s="37">
        <f>SUMPRODUCT($AA$586:$AC$586,$B93:$D93)</f>
        <v>1.1138033799180371</v>
      </c>
      <c r="I638" s="37">
        <f>SUMPRODUCT($AE$586:$AG$586,$B93:$D93)</f>
        <v>1.1138033799180371</v>
      </c>
      <c r="J638" s="37">
        <f>SUMPRODUCT($AI$586:$AK$586,$B93:$D93)</f>
        <v>1.1138033799180371</v>
      </c>
      <c r="K638" s="17"/>
    </row>
    <row r="639" spans="1:11" x14ac:dyDescent="0.25">
      <c r="A639" s="4" t="s">
        <v>189</v>
      </c>
      <c r="B639" s="37">
        <f>SUMPRODUCT($C$587:$E$587,$B94:$D94)</f>
        <v>0</v>
      </c>
      <c r="C639" s="37">
        <f>SUMPRODUCT($G$587:$I$587,$B94:$D94)</f>
        <v>0.30476589671258891</v>
      </c>
      <c r="D639" s="37">
        <f>SUMPRODUCT($K$587:$M$587,$B94:$D94)</f>
        <v>0.30476589671258891</v>
      </c>
      <c r="E639" s="37">
        <f>SUMPRODUCT($O$587:$Q$587,$B94:$D94)</f>
        <v>1.1582489735252699</v>
      </c>
      <c r="F639" s="37">
        <f>SUMPRODUCT($S$587:$U$587,$B94:$D94)</f>
        <v>1.1582489735252699</v>
      </c>
      <c r="G639" s="37">
        <f>SUMPRODUCT($W$587:$Y$587,$B94:$D94)</f>
        <v>0.30476589671258891</v>
      </c>
      <c r="H639" s="37">
        <f>SUMPRODUCT($AA$587:$AC$587,$B94:$D94)</f>
        <v>1.1582489735252699</v>
      </c>
      <c r="I639" s="37">
        <f>SUMPRODUCT($AE$587:$AG$587,$B94:$D94)</f>
        <v>1.1582489735252699</v>
      </c>
      <c r="J639" s="37">
        <f>SUMPRODUCT($AI$587:$AK$587,$B94:$D94)</f>
        <v>1.1582489735252699</v>
      </c>
      <c r="K639" s="17"/>
    </row>
    <row r="640" spans="1:11" x14ac:dyDescent="0.25">
      <c r="A640" s="4" t="s">
        <v>190</v>
      </c>
      <c r="B640" s="37">
        <f>SUMPRODUCT($C$588:$E$588,$B95:$D95)</f>
        <v>0</v>
      </c>
      <c r="C640" s="37">
        <f>SUMPRODUCT($G$588:$I$588,$B95:$D95)</f>
        <v>0.23023755067795515</v>
      </c>
      <c r="D640" s="37">
        <f>SUMPRODUCT($K$588:$M$588,$B95:$D95)</f>
        <v>0.23023755067795515</v>
      </c>
      <c r="E640" s="37">
        <f>SUMPRODUCT($O$588:$Q$588,$B95:$D95)</f>
        <v>0.87447964577894777</v>
      </c>
      <c r="F640" s="37">
        <f>SUMPRODUCT($S$588:$U$588,$B95:$D95)</f>
        <v>0.87447964577894777</v>
      </c>
      <c r="G640" s="37">
        <f>SUMPRODUCT($W$588:$Y$588,$B95:$D95)</f>
        <v>0.23023755067795515</v>
      </c>
      <c r="H640" s="37">
        <f>SUMPRODUCT($AA$588:$AC$588,$B95:$D95)</f>
        <v>0.87447964577894777</v>
      </c>
      <c r="I640" s="37">
        <f>SUMPRODUCT($AE$588:$AG$588,$B95:$D95)</f>
        <v>0.87447964577894777</v>
      </c>
      <c r="J640" s="37">
        <f>SUMPRODUCT($AI$588:$AK$588,$B95:$D95)</f>
        <v>0.87447964577894777</v>
      </c>
      <c r="K640" s="17"/>
    </row>
    <row r="641" spans="1:11" x14ac:dyDescent="0.25">
      <c r="A641" s="4" t="s">
        <v>191</v>
      </c>
      <c r="B641" s="37">
        <f>SUMPRODUCT($C$589:$E$589,$B96:$D96)</f>
        <v>0</v>
      </c>
      <c r="C641" s="37">
        <f>SUMPRODUCT($G$589:$I$589,$B96:$D96)</f>
        <v>0.22336302482081544</v>
      </c>
      <c r="D641" s="37">
        <f>SUMPRODUCT($K$589:$M$589,$B96:$D96)</f>
        <v>0.22336302482081544</v>
      </c>
      <c r="E641" s="37">
        <f>SUMPRODUCT($O$589:$Q$589,$B96:$D96)</f>
        <v>0.84836907902409842</v>
      </c>
      <c r="F641" s="37">
        <f>SUMPRODUCT($S$589:$U$589,$B96:$D96)</f>
        <v>0.84836907902409842</v>
      </c>
      <c r="G641" s="37">
        <f>SUMPRODUCT($W$589:$Y$589,$B96:$D96)</f>
        <v>0.22336302482081544</v>
      </c>
      <c r="H641" s="37">
        <f>SUMPRODUCT($AA$589:$AC$589,$B96:$D96)</f>
        <v>0.84836907902409842</v>
      </c>
      <c r="I641" s="37">
        <f>SUMPRODUCT($AE$589:$AG$589,$B96:$D96)</f>
        <v>0.84836907902409842</v>
      </c>
      <c r="J641" s="37">
        <f>SUMPRODUCT($AI$589:$AK$589,$B96:$D96)</f>
        <v>0.84836907902409842</v>
      </c>
      <c r="K641" s="17"/>
    </row>
    <row r="642" spans="1:11" x14ac:dyDescent="0.25">
      <c r="A642" s="4" t="s">
        <v>208</v>
      </c>
      <c r="B642" s="37">
        <f>SUMPRODUCT($C$590:$E$590,$B97:$D97)</f>
        <v>0</v>
      </c>
      <c r="C642" s="37">
        <f>SUMPRODUCT($G$590:$I$590,$B97:$D97)</f>
        <v>0.20908102320398181</v>
      </c>
      <c r="D642" s="37">
        <f>SUMPRODUCT($K$590:$M$590,$B97:$D97)</f>
        <v>0.20908102320398181</v>
      </c>
      <c r="E642" s="37">
        <f>SUMPRODUCT($O$590:$Q$590,$B97:$D97)</f>
        <v>0.79412371514610758</v>
      </c>
      <c r="F642" s="37">
        <f>SUMPRODUCT($S$590:$U$590,$B97:$D97)</f>
        <v>0.79412371514610758</v>
      </c>
      <c r="G642" s="37">
        <f>SUMPRODUCT($W$590:$Y$590,$B97:$D97)</f>
        <v>0.20908102320398181</v>
      </c>
      <c r="H642" s="37">
        <f>SUMPRODUCT($AA$590:$AC$590,$B97:$D97)</f>
        <v>0.79412371514610758</v>
      </c>
      <c r="I642" s="37">
        <f>SUMPRODUCT($AE$590:$AG$590,$B97:$D97)</f>
        <v>0.79412371514610758</v>
      </c>
      <c r="J642" s="37">
        <f>SUMPRODUCT($AI$590:$AK$590,$B97:$D97)</f>
        <v>0.79412371514610758</v>
      </c>
      <c r="K642" s="17"/>
    </row>
    <row r="643" spans="1:11" x14ac:dyDescent="0.25">
      <c r="A643" s="4" t="s">
        <v>196</v>
      </c>
      <c r="B643" s="37">
        <f>SUMPRODUCT($C$591:$E$591,$B98:$D98)</f>
        <v>0</v>
      </c>
      <c r="C643" s="37">
        <f>SUMPRODUCT($G$591:$I$591,$B98:$D98)</f>
        <v>-0.19793789499595785</v>
      </c>
      <c r="D643" s="37">
        <f>SUMPRODUCT($K$591:$M$591,$B98:$D98)</f>
        <v>-0.19793789499595785</v>
      </c>
      <c r="E643" s="37">
        <f>SUMPRODUCT($O$591:$Q$591,$B98:$D98)</f>
        <v>-0.75180030274214127</v>
      </c>
      <c r="F643" s="37">
        <f>SUMPRODUCT($S$591:$U$591,$B98:$D98)</f>
        <v>-0.75180030274214127</v>
      </c>
      <c r="G643" s="37">
        <f>SUMPRODUCT($W$591:$Y$591,$B98:$D98)</f>
        <v>-0.19793789499595785</v>
      </c>
      <c r="H643" s="37">
        <f>SUMPRODUCT($AA$591:$AC$591,$B98:$D98)</f>
        <v>-0.75180030274214127</v>
      </c>
      <c r="I643" s="37">
        <f>SUMPRODUCT($AE$591:$AG$591,$B98:$D98)</f>
        <v>-0.75180030274214127</v>
      </c>
      <c r="J643" s="37">
        <f>SUMPRODUCT($AI$591:$AK$591,$B98:$D98)</f>
        <v>-0.75180030274214127</v>
      </c>
      <c r="K643" s="17"/>
    </row>
    <row r="644" spans="1:11" x14ac:dyDescent="0.25">
      <c r="A644" s="4" t="s">
        <v>197</v>
      </c>
      <c r="B644" s="37">
        <f>SUMPRODUCT($C$592:$E$592,$B99:$D99)</f>
        <v>0</v>
      </c>
      <c r="C644" s="37">
        <f>SUMPRODUCT($G$592:$I$592,$B99:$D99)</f>
        <v>-0.19793789499595785</v>
      </c>
      <c r="D644" s="37">
        <f>SUMPRODUCT($K$592:$M$592,$B99:$D99)</f>
        <v>-0.19793789499595785</v>
      </c>
      <c r="E644" s="37">
        <f>SUMPRODUCT($O$592:$Q$592,$B99:$D99)</f>
        <v>-0.75180030274214127</v>
      </c>
      <c r="F644" s="37">
        <f>SUMPRODUCT($S$592:$U$592,$B99:$D99)</f>
        <v>-0.75180030274214127</v>
      </c>
      <c r="G644" s="37">
        <f>SUMPRODUCT($W$592:$Y$592,$B99:$D99)</f>
        <v>-0.19793789499595785</v>
      </c>
      <c r="H644" s="37">
        <f>SUMPRODUCT($AA$592:$AC$592,$B99:$D99)</f>
        <v>-0.75180030274214127</v>
      </c>
      <c r="I644" s="37">
        <f>SUMPRODUCT($AE$592:$AG$592,$B99:$D99)</f>
        <v>-0.75180030274214127</v>
      </c>
      <c r="J644" s="37">
        <f>SUMPRODUCT($AI$592:$AK$592,$B99:$D99)</f>
        <v>-0.75180030274214127</v>
      </c>
      <c r="K644" s="17"/>
    </row>
    <row r="645" spans="1:11" x14ac:dyDescent="0.25">
      <c r="A645" s="4" t="s">
        <v>200</v>
      </c>
      <c r="B645" s="37">
        <f>SUMPRODUCT($C$593:$E$593,$B100:$D100)</f>
        <v>0</v>
      </c>
      <c r="C645" s="37">
        <f>SUMPRODUCT($G$593:$I$593,$B100:$D100)</f>
        <v>-0.19793789499595785</v>
      </c>
      <c r="D645" s="37">
        <f>SUMPRODUCT($K$593:$M$593,$B100:$D100)</f>
        <v>-0.19793789499595785</v>
      </c>
      <c r="E645" s="37">
        <f>SUMPRODUCT($O$593:$Q$593,$B100:$D100)</f>
        <v>-0.75180030274214127</v>
      </c>
      <c r="F645" s="37">
        <f>SUMPRODUCT($S$593:$U$593,$B100:$D100)</f>
        <v>-0.75180030274214127</v>
      </c>
      <c r="G645" s="37">
        <f>SUMPRODUCT($W$593:$Y$593,$B100:$D100)</f>
        <v>-0.19793789499595785</v>
      </c>
      <c r="H645" s="37">
        <f>SUMPRODUCT($AA$593:$AC$593,$B100:$D100)</f>
        <v>-0.75180030274214127</v>
      </c>
      <c r="I645" s="37">
        <f>SUMPRODUCT($AE$593:$AG$593,$B100:$D100)</f>
        <v>-0.75180030274214127</v>
      </c>
      <c r="J645" s="37">
        <f>SUMPRODUCT($AI$593:$AK$593,$B100:$D100)</f>
        <v>-0.75180030274214127</v>
      </c>
      <c r="K645" s="17"/>
    </row>
    <row r="646" spans="1:11" x14ac:dyDescent="0.25">
      <c r="A646" s="4" t="s">
        <v>201</v>
      </c>
      <c r="B646" s="37">
        <f>SUMPRODUCT($C$594:$E$594,$B101:$D101)</f>
        <v>0</v>
      </c>
      <c r="C646" s="37">
        <f>SUMPRODUCT($G$594:$I$594,$B101:$D101)</f>
        <v>-0.19793789499595785</v>
      </c>
      <c r="D646" s="37">
        <f>SUMPRODUCT($K$594:$M$594,$B101:$D101)</f>
        <v>-0.19793789499595785</v>
      </c>
      <c r="E646" s="37">
        <f>SUMPRODUCT($O$594:$Q$594,$B101:$D101)</f>
        <v>-0.75180030274214127</v>
      </c>
      <c r="F646" s="37">
        <f>SUMPRODUCT($S$594:$U$594,$B101:$D101)</f>
        <v>-0.75180030274214127</v>
      </c>
      <c r="G646" s="37">
        <f>SUMPRODUCT($W$594:$Y$594,$B101:$D101)</f>
        <v>-0.19793789499595785</v>
      </c>
      <c r="H646" s="37">
        <f>SUMPRODUCT($AA$594:$AC$594,$B101:$D101)</f>
        <v>-0.75180030274214127</v>
      </c>
      <c r="I646" s="37">
        <f>SUMPRODUCT($AE$594:$AG$594,$B101:$D101)</f>
        <v>-0.75180030274214127</v>
      </c>
      <c r="J646" s="37">
        <f>SUMPRODUCT($AI$594:$AK$594,$B101:$D101)</f>
        <v>-0.75180030274214127</v>
      </c>
      <c r="K646" s="17"/>
    </row>
    <row r="647" spans="1:11" x14ac:dyDescent="0.25">
      <c r="A647" s="4" t="s">
        <v>211</v>
      </c>
      <c r="B647" s="37">
        <f>SUMPRODUCT($C$595:$E$595,$B102:$D102)</f>
        <v>0</v>
      </c>
      <c r="C647" s="37">
        <f>SUMPRODUCT($G$595:$I$595,$B102:$D102)</f>
        <v>-0.19793789499595785</v>
      </c>
      <c r="D647" s="37">
        <f>SUMPRODUCT($K$595:$M$595,$B102:$D102)</f>
        <v>-0.19793789499595785</v>
      </c>
      <c r="E647" s="37">
        <f>SUMPRODUCT($O$595:$Q$595,$B102:$D102)</f>
        <v>-0.75180030274214127</v>
      </c>
      <c r="F647" s="37">
        <f>SUMPRODUCT($S$595:$U$595,$B102:$D102)</f>
        <v>-0.75180030274214127</v>
      </c>
      <c r="G647" s="37">
        <f>SUMPRODUCT($W$595:$Y$595,$B102:$D102)</f>
        <v>-0.19793789499595785</v>
      </c>
      <c r="H647" s="37">
        <f>SUMPRODUCT($AA$595:$AC$595,$B102:$D102)</f>
        <v>-0.75180030274214127</v>
      </c>
      <c r="I647" s="37">
        <f>SUMPRODUCT($AE$595:$AG$595,$B102:$D102)</f>
        <v>-0.75180030274214127</v>
      </c>
      <c r="J647" s="37">
        <f>SUMPRODUCT($AI$595:$AK$595,$B102:$D102)</f>
        <v>-0.75180030274214127</v>
      </c>
      <c r="K647" s="17"/>
    </row>
    <row r="648" spans="1:11" x14ac:dyDescent="0.25">
      <c r="A648" s="4" t="s">
        <v>212</v>
      </c>
      <c r="B648" s="37">
        <f>SUMPRODUCT($C$596:$E$596,$B103:$D103)</f>
        <v>0</v>
      </c>
      <c r="C648" s="37">
        <f>SUMPRODUCT($G$596:$I$596,$B103:$D103)</f>
        <v>-0.19793789499595785</v>
      </c>
      <c r="D648" s="37">
        <f>SUMPRODUCT($K$596:$M$596,$B103:$D103)</f>
        <v>-0.19793789499595785</v>
      </c>
      <c r="E648" s="37">
        <f>SUMPRODUCT($O$596:$Q$596,$B103:$D103)</f>
        <v>-0.75180030274214127</v>
      </c>
      <c r="F648" s="37">
        <f>SUMPRODUCT($S$596:$U$596,$B103:$D103)</f>
        <v>-0.75180030274214127</v>
      </c>
      <c r="G648" s="37">
        <f>SUMPRODUCT($W$596:$Y$596,$B103:$D103)</f>
        <v>-0.19793789499595785</v>
      </c>
      <c r="H648" s="37">
        <f>SUMPRODUCT($AA$596:$AC$596,$B103:$D103)</f>
        <v>-0.75180030274214127</v>
      </c>
      <c r="I648" s="37">
        <f>SUMPRODUCT($AE$596:$AG$596,$B103:$D103)</f>
        <v>-0.75180030274214127</v>
      </c>
      <c r="J648" s="37">
        <f>SUMPRODUCT($AI$596:$AK$596,$B103:$D103)</f>
        <v>-0.75180030274214127</v>
      </c>
      <c r="K648" s="17"/>
    </row>
    <row r="650" spans="1:11" ht="21" customHeight="1" x14ac:dyDescent="0.3">
      <c r="A650" s="1" t="s">
        <v>740</v>
      </c>
    </row>
    <row r="651" spans="1:11" x14ac:dyDescent="0.25">
      <c r="A651" s="2" t="s">
        <v>381</v>
      </c>
    </row>
    <row r="652" spans="1:11" x14ac:dyDescent="0.25">
      <c r="A652" s="32" t="s">
        <v>736</v>
      </c>
    </row>
    <row r="653" spans="1:11" x14ac:dyDescent="0.25">
      <c r="A653" s="32" t="s">
        <v>741</v>
      </c>
    </row>
    <row r="654" spans="1:11" x14ac:dyDescent="0.25">
      <c r="A654" s="2" t="s">
        <v>394</v>
      </c>
    </row>
    <row r="656" spans="1:11" x14ac:dyDescent="0.25">
      <c r="B656" s="15" t="s">
        <v>150</v>
      </c>
      <c r="C656" s="15" t="s">
        <v>151</v>
      </c>
      <c r="D656" s="15" t="s">
        <v>152</v>
      </c>
      <c r="E656" s="15" t="s">
        <v>153</v>
      </c>
      <c r="F656" s="15" t="s">
        <v>154</v>
      </c>
      <c r="G656" s="15" t="s">
        <v>159</v>
      </c>
      <c r="H656" s="15" t="s">
        <v>155</v>
      </c>
      <c r="I656" s="15" t="s">
        <v>156</v>
      </c>
      <c r="J656" s="15" t="s">
        <v>157</v>
      </c>
    </row>
    <row r="657" spans="1:11" x14ac:dyDescent="0.25">
      <c r="A657" s="4" t="s">
        <v>188</v>
      </c>
      <c r="B657" s="37">
        <f>SUMPRODUCT($C$586:$E$586,$B108:$D108)</f>
        <v>0</v>
      </c>
      <c r="C657" s="37">
        <f>SUMPRODUCT($G$586:$I$586,$B108:$D108)</f>
        <v>9.2005061806265789E-2</v>
      </c>
      <c r="D657" s="37">
        <f>SUMPRODUCT($K$586:$M$586,$B108:$D108)</f>
        <v>9.2005061806265789E-2</v>
      </c>
      <c r="E657" s="37">
        <f>SUMPRODUCT($O$586:$Q$586,$B108:$D108)</f>
        <v>0.19710194779965678</v>
      </c>
      <c r="F657" s="37">
        <f>SUMPRODUCT($S$586:$U$586,$B108:$D108)</f>
        <v>0.19710194779965678</v>
      </c>
      <c r="G657" s="37">
        <f>SUMPRODUCT($W$586:$Y$586,$B108:$D108)</f>
        <v>9.2005061806265789E-2</v>
      </c>
      <c r="H657" s="37">
        <f>SUMPRODUCT($AA$586:$AC$586,$B108:$D108)</f>
        <v>0.19710194779965678</v>
      </c>
      <c r="I657" s="37">
        <f>SUMPRODUCT($AE$586:$AG$586,$B108:$D108)</f>
        <v>0.19710194779965678</v>
      </c>
      <c r="J657" s="37">
        <f>SUMPRODUCT($AI$586:$AK$586,$B108:$D108)</f>
        <v>0.19710194779965678</v>
      </c>
      <c r="K657" s="17"/>
    </row>
    <row r="658" spans="1:11" x14ac:dyDescent="0.25">
      <c r="A658" s="4" t="s">
        <v>189</v>
      </c>
      <c r="B658" s="37">
        <f>SUMPRODUCT($C$587:$E$587,$B109:$D109)</f>
        <v>0</v>
      </c>
      <c r="C658" s="37">
        <f>SUMPRODUCT($G$587:$I$587,$B109:$D109)</f>
        <v>9.558820503932787E-2</v>
      </c>
      <c r="D658" s="37">
        <f>SUMPRODUCT($K$587:$M$587,$B109:$D109)</f>
        <v>9.558820503932787E-2</v>
      </c>
      <c r="E658" s="37">
        <f>SUMPRODUCT($O$587:$Q$587,$B109:$D109)</f>
        <v>0.20496717179614179</v>
      </c>
      <c r="F658" s="37">
        <f>SUMPRODUCT($S$587:$U$587,$B109:$D109)</f>
        <v>0.20496717179614179</v>
      </c>
      <c r="G658" s="37">
        <f>SUMPRODUCT($W$587:$Y$587,$B109:$D109)</f>
        <v>9.558820503932787E-2</v>
      </c>
      <c r="H658" s="37">
        <f>SUMPRODUCT($AA$587:$AC$587,$B109:$D109)</f>
        <v>0.20496717179614179</v>
      </c>
      <c r="I658" s="37">
        <f>SUMPRODUCT($AE$587:$AG$587,$B109:$D109)</f>
        <v>0.20496717179614179</v>
      </c>
      <c r="J658" s="37">
        <f>SUMPRODUCT($AI$587:$AK$587,$B109:$D109)</f>
        <v>0.20496717179614179</v>
      </c>
      <c r="K658" s="17"/>
    </row>
    <row r="659" spans="1:11" x14ac:dyDescent="0.25">
      <c r="A659" s="4" t="s">
        <v>190</v>
      </c>
      <c r="B659" s="37">
        <f>SUMPRODUCT($C$588:$E$588,$B110:$D110)</f>
        <v>0</v>
      </c>
      <c r="C659" s="37">
        <f>SUMPRODUCT($G$588:$I$588,$B110:$D110)</f>
        <v>7.221278508963809E-2</v>
      </c>
      <c r="D659" s="37">
        <f>SUMPRODUCT($K$588:$M$588,$B110:$D110)</f>
        <v>7.221278508963809E-2</v>
      </c>
      <c r="E659" s="37">
        <f>SUMPRODUCT($O$588:$Q$588,$B110:$D110)</f>
        <v>0.15475051037003346</v>
      </c>
      <c r="F659" s="37">
        <f>SUMPRODUCT($S$588:$U$588,$B110:$D110)</f>
        <v>0.15475051037003346</v>
      </c>
      <c r="G659" s="37">
        <f>SUMPRODUCT($W$588:$Y$588,$B110:$D110)</f>
        <v>7.221278508963809E-2</v>
      </c>
      <c r="H659" s="37">
        <f>SUMPRODUCT($AA$588:$AC$588,$B110:$D110)</f>
        <v>0.15475051037003346</v>
      </c>
      <c r="I659" s="37">
        <f>SUMPRODUCT($AE$588:$AG$588,$B110:$D110)</f>
        <v>0.15475051037003346</v>
      </c>
      <c r="J659" s="37">
        <f>SUMPRODUCT($AI$588:$AK$588,$B110:$D110)</f>
        <v>0.15475051037003346</v>
      </c>
      <c r="K659" s="17"/>
    </row>
    <row r="660" spans="1:11" x14ac:dyDescent="0.25">
      <c r="A660" s="4" t="s">
        <v>191</v>
      </c>
      <c r="B660" s="37">
        <f>SUMPRODUCT($C$589:$E$589,$B111:$D111)</f>
        <v>0</v>
      </c>
      <c r="C660" s="37">
        <f>SUMPRODUCT($G$589:$I$589,$B111:$D111)</f>
        <v>7.0056626561834895E-2</v>
      </c>
      <c r="D660" s="37">
        <f>SUMPRODUCT($K$589:$M$589,$B111:$D111)</f>
        <v>7.0056626561834895E-2</v>
      </c>
      <c r="E660" s="37">
        <f>SUMPRODUCT($O$589:$Q$589,$B111:$D111)</f>
        <v>0.15012990707655763</v>
      </c>
      <c r="F660" s="37">
        <f>SUMPRODUCT($S$589:$U$589,$B111:$D111)</f>
        <v>0.15012990707655763</v>
      </c>
      <c r="G660" s="37">
        <f>SUMPRODUCT($W$589:$Y$589,$B111:$D111)</f>
        <v>7.0056626561834895E-2</v>
      </c>
      <c r="H660" s="37">
        <f>SUMPRODUCT($AA$589:$AC$589,$B111:$D111)</f>
        <v>0.15012990707655763</v>
      </c>
      <c r="I660" s="37">
        <f>SUMPRODUCT($AE$589:$AG$589,$B111:$D111)</f>
        <v>0.15012990707655763</v>
      </c>
      <c r="J660" s="37">
        <f>SUMPRODUCT($AI$589:$AK$589,$B111:$D111)</f>
        <v>0.15012990707655763</v>
      </c>
      <c r="K660" s="17"/>
    </row>
    <row r="661" spans="1:11" x14ac:dyDescent="0.25">
      <c r="A661" s="4" t="s">
        <v>208</v>
      </c>
      <c r="B661" s="37">
        <f>SUMPRODUCT($C$590:$E$590,$B112:$D112)</f>
        <v>0</v>
      </c>
      <c r="C661" s="37">
        <f>SUMPRODUCT($G$590:$I$590,$B112:$D112)</f>
        <v>6.5577152599532104E-2</v>
      </c>
      <c r="D661" s="37">
        <f>SUMPRODUCT($K$590:$M$590,$B112:$D112)</f>
        <v>6.5577152599532104E-2</v>
      </c>
      <c r="E661" s="37">
        <f>SUMPRODUCT($O$590:$Q$590,$B112:$D112)</f>
        <v>0.14053048668313062</v>
      </c>
      <c r="F661" s="37">
        <f>SUMPRODUCT($S$590:$U$590,$B112:$D112)</f>
        <v>0.14053048668313062</v>
      </c>
      <c r="G661" s="37">
        <f>SUMPRODUCT($W$590:$Y$590,$B112:$D112)</f>
        <v>6.5577152599532104E-2</v>
      </c>
      <c r="H661" s="37">
        <f>SUMPRODUCT($AA$590:$AC$590,$B112:$D112)</f>
        <v>0.14053048668313062</v>
      </c>
      <c r="I661" s="37">
        <f>SUMPRODUCT($AE$590:$AG$590,$B112:$D112)</f>
        <v>0.14053048668313062</v>
      </c>
      <c r="J661" s="37">
        <f>SUMPRODUCT($AI$590:$AK$590,$B112:$D112)</f>
        <v>0.14053048668313062</v>
      </c>
      <c r="K661" s="17"/>
    </row>
    <row r="662" spans="1:11" x14ac:dyDescent="0.25">
      <c r="A662" s="4" t="s">
        <v>196</v>
      </c>
      <c r="B662" s="37">
        <f>SUMPRODUCT($C$591:$E$591,$B113:$D113)</f>
        <v>0</v>
      </c>
      <c r="C662" s="37">
        <f>SUMPRODUCT($G$591:$I$591,$B113:$D113)</f>
        <v>-6.2082169612860817E-2</v>
      </c>
      <c r="D662" s="37">
        <f>SUMPRODUCT($K$591:$M$591,$B113:$D113)</f>
        <v>-6.2082169612860817E-2</v>
      </c>
      <c r="E662" s="37">
        <f>SUMPRODUCT($O$591:$Q$591,$B113:$D113)</f>
        <v>-0.13304081016323729</v>
      </c>
      <c r="F662" s="37">
        <f>SUMPRODUCT($S$591:$U$591,$B113:$D113)</f>
        <v>-0.13304081016323729</v>
      </c>
      <c r="G662" s="37">
        <f>SUMPRODUCT($W$591:$Y$591,$B113:$D113)</f>
        <v>-6.2082169612860817E-2</v>
      </c>
      <c r="H662" s="37">
        <f>SUMPRODUCT($AA$591:$AC$591,$B113:$D113)</f>
        <v>-0.13304081016323729</v>
      </c>
      <c r="I662" s="37">
        <f>SUMPRODUCT($AE$591:$AG$591,$B113:$D113)</f>
        <v>-0.13304081016323729</v>
      </c>
      <c r="J662" s="37">
        <f>SUMPRODUCT($AI$591:$AK$591,$B113:$D113)</f>
        <v>-0.13304081016323729</v>
      </c>
      <c r="K662" s="17"/>
    </row>
    <row r="663" spans="1:11" x14ac:dyDescent="0.25">
      <c r="A663" s="4" t="s">
        <v>197</v>
      </c>
      <c r="B663" s="37">
        <f>SUMPRODUCT($C$592:$E$592,$B114:$D114)</f>
        <v>0</v>
      </c>
      <c r="C663" s="37">
        <f>SUMPRODUCT($G$592:$I$592,$B114:$D114)</f>
        <v>-6.2082169612860817E-2</v>
      </c>
      <c r="D663" s="37">
        <f>SUMPRODUCT($K$592:$M$592,$B114:$D114)</f>
        <v>-6.2082169612860817E-2</v>
      </c>
      <c r="E663" s="37">
        <f>SUMPRODUCT($O$592:$Q$592,$B114:$D114)</f>
        <v>-0.13304081016323729</v>
      </c>
      <c r="F663" s="37">
        <f>SUMPRODUCT($S$592:$U$592,$B114:$D114)</f>
        <v>-0.13304081016323729</v>
      </c>
      <c r="G663" s="37">
        <f>SUMPRODUCT($W$592:$Y$592,$B114:$D114)</f>
        <v>-6.2082169612860817E-2</v>
      </c>
      <c r="H663" s="37">
        <f>SUMPRODUCT($AA$592:$AC$592,$B114:$D114)</f>
        <v>-0.13304081016323729</v>
      </c>
      <c r="I663" s="37">
        <f>SUMPRODUCT($AE$592:$AG$592,$B114:$D114)</f>
        <v>-0.13304081016323729</v>
      </c>
      <c r="J663" s="37">
        <f>SUMPRODUCT($AI$592:$AK$592,$B114:$D114)</f>
        <v>-0.13304081016323729</v>
      </c>
      <c r="K663" s="17"/>
    </row>
    <row r="664" spans="1:11" x14ac:dyDescent="0.25">
      <c r="A664" s="4" t="s">
        <v>200</v>
      </c>
      <c r="B664" s="37">
        <f>SUMPRODUCT($C$593:$E$593,$B115:$D115)</f>
        <v>0</v>
      </c>
      <c r="C664" s="37">
        <f>SUMPRODUCT($G$593:$I$593,$B115:$D115)</f>
        <v>-6.2082169612860817E-2</v>
      </c>
      <c r="D664" s="37">
        <f>SUMPRODUCT($K$593:$M$593,$B115:$D115)</f>
        <v>-6.2082169612860817E-2</v>
      </c>
      <c r="E664" s="37">
        <f>SUMPRODUCT($O$593:$Q$593,$B115:$D115)</f>
        <v>-0.13304081016323729</v>
      </c>
      <c r="F664" s="37">
        <f>SUMPRODUCT($S$593:$U$593,$B115:$D115)</f>
        <v>-0.13304081016323729</v>
      </c>
      <c r="G664" s="37">
        <f>SUMPRODUCT($W$593:$Y$593,$B115:$D115)</f>
        <v>-6.2082169612860817E-2</v>
      </c>
      <c r="H664" s="37">
        <f>SUMPRODUCT($AA$593:$AC$593,$B115:$D115)</f>
        <v>-0.13304081016323729</v>
      </c>
      <c r="I664" s="37">
        <f>SUMPRODUCT($AE$593:$AG$593,$B115:$D115)</f>
        <v>-0.13304081016323729</v>
      </c>
      <c r="J664" s="37">
        <f>SUMPRODUCT($AI$593:$AK$593,$B115:$D115)</f>
        <v>-0.13304081016323729</v>
      </c>
      <c r="K664" s="17"/>
    </row>
    <row r="665" spans="1:11" x14ac:dyDescent="0.25">
      <c r="A665" s="4" t="s">
        <v>201</v>
      </c>
      <c r="B665" s="37">
        <f>SUMPRODUCT($C$594:$E$594,$B116:$D116)</f>
        <v>0</v>
      </c>
      <c r="C665" s="37">
        <f>SUMPRODUCT($G$594:$I$594,$B116:$D116)</f>
        <v>-6.2082169612860817E-2</v>
      </c>
      <c r="D665" s="37">
        <f>SUMPRODUCT($K$594:$M$594,$B116:$D116)</f>
        <v>-6.2082169612860817E-2</v>
      </c>
      <c r="E665" s="37">
        <f>SUMPRODUCT($O$594:$Q$594,$B116:$D116)</f>
        <v>-0.13304081016323729</v>
      </c>
      <c r="F665" s="37">
        <f>SUMPRODUCT($S$594:$U$594,$B116:$D116)</f>
        <v>-0.13304081016323729</v>
      </c>
      <c r="G665" s="37">
        <f>SUMPRODUCT($W$594:$Y$594,$B116:$D116)</f>
        <v>-6.2082169612860817E-2</v>
      </c>
      <c r="H665" s="37">
        <f>SUMPRODUCT($AA$594:$AC$594,$B116:$D116)</f>
        <v>-0.13304081016323729</v>
      </c>
      <c r="I665" s="37">
        <f>SUMPRODUCT($AE$594:$AG$594,$B116:$D116)</f>
        <v>-0.13304081016323729</v>
      </c>
      <c r="J665" s="37">
        <f>SUMPRODUCT($AI$594:$AK$594,$B116:$D116)</f>
        <v>-0.13304081016323729</v>
      </c>
      <c r="K665" s="17"/>
    </row>
    <row r="666" spans="1:11" x14ac:dyDescent="0.25">
      <c r="A666" s="4" t="s">
        <v>211</v>
      </c>
      <c r="B666" s="37">
        <f>SUMPRODUCT($C$595:$E$595,$B117:$D117)</f>
        <v>0</v>
      </c>
      <c r="C666" s="37">
        <f>SUMPRODUCT($G$595:$I$595,$B117:$D117)</f>
        <v>-6.2082169612860817E-2</v>
      </c>
      <c r="D666" s="37">
        <f>SUMPRODUCT($K$595:$M$595,$B117:$D117)</f>
        <v>-6.2082169612860817E-2</v>
      </c>
      <c r="E666" s="37">
        <f>SUMPRODUCT($O$595:$Q$595,$B117:$D117)</f>
        <v>-0.13304081016323729</v>
      </c>
      <c r="F666" s="37">
        <f>SUMPRODUCT($S$595:$U$595,$B117:$D117)</f>
        <v>-0.13304081016323729</v>
      </c>
      <c r="G666" s="37">
        <f>SUMPRODUCT($W$595:$Y$595,$B117:$D117)</f>
        <v>-6.2082169612860817E-2</v>
      </c>
      <c r="H666" s="37">
        <f>SUMPRODUCT($AA$595:$AC$595,$B117:$D117)</f>
        <v>-0.13304081016323729</v>
      </c>
      <c r="I666" s="37">
        <f>SUMPRODUCT($AE$595:$AG$595,$B117:$D117)</f>
        <v>-0.13304081016323729</v>
      </c>
      <c r="J666" s="37">
        <f>SUMPRODUCT($AI$595:$AK$595,$B117:$D117)</f>
        <v>-0.13304081016323729</v>
      </c>
      <c r="K666" s="17"/>
    </row>
    <row r="667" spans="1:11" x14ac:dyDescent="0.25">
      <c r="A667" s="4" t="s">
        <v>212</v>
      </c>
      <c r="B667" s="37">
        <f>SUMPRODUCT($C$596:$E$596,$B118:$D118)</f>
        <v>0</v>
      </c>
      <c r="C667" s="37">
        <f>SUMPRODUCT($G$596:$I$596,$B118:$D118)</f>
        <v>-6.2082169612860817E-2</v>
      </c>
      <c r="D667" s="37">
        <f>SUMPRODUCT($K$596:$M$596,$B118:$D118)</f>
        <v>-6.2082169612860817E-2</v>
      </c>
      <c r="E667" s="37">
        <f>SUMPRODUCT($O$596:$Q$596,$B118:$D118)</f>
        <v>-0.13304081016323729</v>
      </c>
      <c r="F667" s="37">
        <f>SUMPRODUCT($S$596:$U$596,$B118:$D118)</f>
        <v>-0.13304081016323729</v>
      </c>
      <c r="G667" s="37">
        <f>SUMPRODUCT($W$596:$Y$596,$B118:$D118)</f>
        <v>-6.2082169612860817E-2</v>
      </c>
      <c r="H667" s="37">
        <f>SUMPRODUCT($AA$596:$AC$596,$B118:$D118)</f>
        <v>-0.13304081016323729</v>
      </c>
      <c r="I667" s="37">
        <f>SUMPRODUCT($AE$596:$AG$596,$B118:$D118)</f>
        <v>-0.13304081016323729</v>
      </c>
      <c r="J667" s="37">
        <f>SUMPRODUCT($AI$596:$AK$596,$B118:$D118)</f>
        <v>-0.13304081016323729</v>
      </c>
      <c r="K667" s="17"/>
    </row>
    <row r="669" spans="1:11" ht="21" customHeight="1" x14ac:dyDescent="0.3">
      <c r="A669" s="1" t="s">
        <v>742</v>
      </c>
    </row>
    <row r="670" spans="1:11" x14ac:dyDescent="0.25">
      <c r="A670" s="2" t="s">
        <v>381</v>
      </c>
    </row>
    <row r="671" spans="1:11" x14ac:dyDescent="0.25">
      <c r="A671" s="32" t="s">
        <v>743</v>
      </c>
    </row>
    <row r="672" spans="1:11" x14ac:dyDescent="0.25">
      <c r="A672" s="32" t="s">
        <v>576</v>
      </c>
    </row>
    <row r="673" spans="1:6" x14ac:dyDescent="0.25">
      <c r="A673" s="32" t="s">
        <v>744</v>
      </c>
    </row>
    <row r="674" spans="1:6" x14ac:dyDescent="0.25">
      <c r="A674" s="33" t="s">
        <v>384</v>
      </c>
      <c r="B674" s="33" t="s">
        <v>515</v>
      </c>
      <c r="C674" s="33" t="s">
        <v>514</v>
      </c>
      <c r="D674" s="33"/>
      <c r="E674" s="33"/>
    </row>
    <row r="675" spans="1:6" x14ac:dyDescent="0.25">
      <c r="A675" s="33" t="s">
        <v>387</v>
      </c>
      <c r="B675" s="33" t="s">
        <v>568</v>
      </c>
      <c r="C675" s="33" t="s">
        <v>578</v>
      </c>
      <c r="D675" s="33"/>
      <c r="E675" s="33"/>
    </row>
    <row r="677" spans="1:6" ht="30" x14ac:dyDescent="0.25">
      <c r="C677" s="30" t="s">
        <v>745</v>
      </c>
      <c r="D677" s="30"/>
      <c r="E677" s="30"/>
    </row>
    <row r="678" spans="1:6" x14ac:dyDescent="0.25">
      <c r="B678" s="15" t="s">
        <v>579</v>
      </c>
      <c r="C678" s="15" t="s">
        <v>353</v>
      </c>
      <c r="D678" s="15" t="s">
        <v>354</v>
      </c>
      <c r="E678" s="15" t="s">
        <v>350</v>
      </c>
    </row>
    <row r="679" spans="1:6" ht="30" x14ac:dyDescent="0.25">
      <c r="A679" s="4" t="s">
        <v>746</v>
      </c>
      <c r="B679" s="43">
        <f>SUM(Input!$B361:$D361)</f>
        <v>8784</v>
      </c>
      <c r="C679" s="43">
        <f>Input!B361*24*Input!$F60/$B679</f>
        <v>152</v>
      </c>
      <c r="D679" s="43">
        <f>Input!C361*24*Input!$F60/$B679</f>
        <v>3828</v>
      </c>
      <c r="E679" s="43">
        <f>Input!D361*24*Input!$F60/$B679</f>
        <v>4804</v>
      </c>
      <c r="F679" s="17"/>
    </row>
    <row r="681" spans="1:6" ht="21" customHeight="1" x14ac:dyDescent="0.3">
      <c r="A681" s="1" t="s">
        <v>747</v>
      </c>
    </row>
    <row r="682" spans="1:6" x14ac:dyDescent="0.25">
      <c r="A682" s="2" t="s">
        <v>381</v>
      </c>
    </row>
    <row r="683" spans="1:6" x14ac:dyDescent="0.25">
      <c r="A683" s="32" t="s">
        <v>748</v>
      </c>
    </row>
    <row r="684" spans="1:6" x14ac:dyDescent="0.25">
      <c r="A684" s="32" t="s">
        <v>749</v>
      </c>
    </row>
    <row r="685" spans="1:6" x14ac:dyDescent="0.25">
      <c r="A685" s="32" t="s">
        <v>750</v>
      </c>
    </row>
    <row r="686" spans="1:6" x14ac:dyDescent="0.25">
      <c r="A686" s="32" t="s">
        <v>586</v>
      </c>
    </row>
    <row r="687" spans="1:6" x14ac:dyDescent="0.25">
      <c r="A687" s="33" t="s">
        <v>384</v>
      </c>
      <c r="B687" s="33" t="s">
        <v>515</v>
      </c>
      <c r="C687" s="33" t="s">
        <v>514</v>
      </c>
      <c r="D687" s="33"/>
      <c r="E687" s="33"/>
    </row>
    <row r="688" spans="1:6" x14ac:dyDescent="0.25">
      <c r="A688" s="33" t="s">
        <v>387</v>
      </c>
      <c r="B688" s="33" t="s">
        <v>568</v>
      </c>
      <c r="C688" s="33" t="s">
        <v>587</v>
      </c>
      <c r="D688" s="33"/>
      <c r="E688" s="33"/>
    </row>
    <row r="690" spans="1:6" ht="30" x14ac:dyDescent="0.25">
      <c r="C690" s="30" t="s">
        <v>751</v>
      </c>
      <c r="D690" s="30"/>
      <c r="E690" s="30"/>
    </row>
    <row r="691" spans="1:6" x14ac:dyDescent="0.25">
      <c r="B691" s="15" t="s">
        <v>588</v>
      </c>
      <c r="C691" s="15" t="s">
        <v>353</v>
      </c>
      <c r="D691" s="15" t="s">
        <v>354</v>
      </c>
      <c r="E691" s="15" t="s">
        <v>350</v>
      </c>
    </row>
    <row r="692" spans="1:6" x14ac:dyDescent="0.25">
      <c r="A692" s="4" t="s">
        <v>230</v>
      </c>
      <c r="B692" s="39">
        <f>SUM(Input!$B351:$D351)</f>
        <v>1</v>
      </c>
      <c r="C692" s="39">
        <f>IF($B692,Input!B351/$B692,C$679/Input!$F$60/24)</f>
        <v>1.725969176002861E-2</v>
      </c>
      <c r="D692" s="39">
        <f>IF($B692,Input!C351/$B692,D$679/Input!$F$60/24)</f>
        <v>0.43559897197894054</v>
      </c>
      <c r="E692" s="39">
        <f>IF($B692,Input!D351/$B692,E$679/Input!$F$60/24)</f>
        <v>0.54714133626103079</v>
      </c>
      <c r="F692" s="17"/>
    </row>
    <row r="693" spans="1:6" x14ac:dyDescent="0.25">
      <c r="A693" s="4" t="s">
        <v>231</v>
      </c>
      <c r="B693" s="39">
        <f>SUM(Input!$B352:$D352)</f>
        <v>0.99999999999999989</v>
      </c>
      <c r="C693" s="39">
        <f>IF($B693,Input!B352/$B693,C$679/Input!$F$60/24)</f>
        <v>3.2782025315657104E-2</v>
      </c>
      <c r="D693" s="39">
        <f>IF($B693,Input!C352/$B693,D$679/Input!$F$60/24)</f>
        <v>0.15175403213098398</v>
      </c>
      <c r="E693" s="39">
        <f>IF($B693,Input!D352/$B693,E$679/Input!$F$60/24)</f>
        <v>0.81546394255335897</v>
      </c>
      <c r="F693" s="17"/>
    </row>
    <row r="694" spans="1:6" x14ac:dyDescent="0.25">
      <c r="A694" s="4" t="s">
        <v>232</v>
      </c>
      <c r="B694" s="39">
        <f>SUM(Input!$B353:$D353)</f>
        <v>1</v>
      </c>
      <c r="C694" s="39">
        <f>IF($B694,Input!B353/$B694,C$679/Input!$F$60/24)</f>
        <v>5.8673408358170503E-2</v>
      </c>
      <c r="D694" s="39">
        <f>IF($B694,Input!C353/$B694,D$679/Input!$F$60/24)</f>
        <v>0.25591149899050825</v>
      </c>
      <c r="E694" s="39">
        <f>IF($B694,Input!D353/$B694,E$679/Input!$F$60/24)</f>
        <v>0.68541509265132128</v>
      </c>
      <c r="F694" s="17"/>
    </row>
    <row r="695" spans="1:6" x14ac:dyDescent="0.25">
      <c r="A695" s="4" t="s">
        <v>233</v>
      </c>
      <c r="B695" s="39">
        <f>SUM(Input!$B354:$D354)</f>
        <v>1</v>
      </c>
      <c r="C695" s="39">
        <f>IF($B695,Input!B354/$B695,C$679/Input!$F$60/24)</f>
        <v>2.4492897224272499E-3</v>
      </c>
      <c r="D695" s="39">
        <f>IF($B695,Input!C354/$B695,D$679/Input!$F$60/24)</f>
        <v>0.69957381670812457</v>
      </c>
      <c r="E695" s="39">
        <f>IF($B695,Input!D354/$B695,E$679/Input!$F$60/24)</f>
        <v>0.29797689356944818</v>
      </c>
      <c r="F695" s="17"/>
    </row>
    <row r="697" spans="1:6" ht="21" customHeight="1" x14ac:dyDescent="0.3">
      <c r="A697" s="1" t="s">
        <v>752</v>
      </c>
    </row>
    <row r="698" spans="1:6" x14ac:dyDescent="0.25">
      <c r="A698" s="2" t="s">
        <v>381</v>
      </c>
    </row>
    <row r="699" spans="1:6" x14ac:dyDescent="0.25">
      <c r="A699" s="32" t="s">
        <v>753</v>
      </c>
    </row>
    <row r="700" spans="1:6" x14ac:dyDescent="0.25">
      <c r="A700" s="2" t="s">
        <v>754</v>
      </c>
    </row>
    <row r="701" spans="1:6" x14ac:dyDescent="0.25">
      <c r="A701" s="2" t="s">
        <v>399</v>
      </c>
    </row>
    <row r="703" spans="1:6" x14ac:dyDescent="0.25">
      <c r="B703" s="15" t="s">
        <v>353</v>
      </c>
      <c r="C703" s="15" t="s">
        <v>354</v>
      </c>
      <c r="D703" s="15" t="s">
        <v>350</v>
      </c>
    </row>
    <row r="704" spans="1:6" x14ac:dyDescent="0.25">
      <c r="A704" s="4" t="s">
        <v>230</v>
      </c>
      <c r="B704" s="41">
        <f>C$692</f>
        <v>1.725969176002861E-2</v>
      </c>
      <c r="C704" s="41">
        <f>D$692</f>
        <v>0.43559897197894054</v>
      </c>
      <c r="D704" s="41">
        <f>E$692</f>
        <v>0.54714133626103079</v>
      </c>
      <c r="E704" s="17"/>
    </row>
    <row r="705" spans="1:5" x14ac:dyDescent="0.25">
      <c r="A705" s="4" t="s">
        <v>231</v>
      </c>
      <c r="B705" s="41">
        <f>C$693</f>
        <v>3.2782025315657104E-2</v>
      </c>
      <c r="C705" s="41">
        <f>D$693</f>
        <v>0.15175403213098398</v>
      </c>
      <c r="D705" s="41">
        <f>E$693</f>
        <v>0.81546394255335897</v>
      </c>
      <c r="E705" s="17"/>
    </row>
    <row r="706" spans="1:5" x14ac:dyDescent="0.25">
      <c r="A706" s="4" t="s">
        <v>232</v>
      </c>
      <c r="B706" s="41">
        <f>C$694</f>
        <v>5.8673408358170503E-2</v>
      </c>
      <c r="C706" s="41">
        <f>D$694</f>
        <v>0.25591149899050825</v>
      </c>
      <c r="D706" s="41">
        <f>E$694</f>
        <v>0.68541509265132128</v>
      </c>
      <c r="E706" s="17"/>
    </row>
    <row r="707" spans="1:5" x14ac:dyDescent="0.25">
      <c r="A707" s="4" t="s">
        <v>233</v>
      </c>
      <c r="B707" s="41">
        <f>C$695</f>
        <v>2.4492897224272499E-3</v>
      </c>
      <c r="C707" s="41">
        <f>D$695</f>
        <v>0.69957381670812457</v>
      </c>
      <c r="D707" s="41">
        <f>E$695</f>
        <v>0.29797689356944818</v>
      </c>
      <c r="E707" s="17"/>
    </row>
    <row r="708" spans="1:5" x14ac:dyDescent="0.25">
      <c r="A708" s="4" t="s">
        <v>234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755</v>
      </c>
    </row>
    <row r="712" spans="1:5" x14ac:dyDescent="0.25">
      <c r="B712" s="15" t="s">
        <v>353</v>
      </c>
      <c r="C712" s="15" t="s">
        <v>354</v>
      </c>
      <c r="D712" s="15" t="s">
        <v>350</v>
      </c>
    </row>
    <row r="713" spans="1:5" x14ac:dyDescent="0.25">
      <c r="A713" s="4" t="s">
        <v>234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756</v>
      </c>
    </row>
    <row r="717" spans="1:5" x14ac:dyDescent="0.25">
      <c r="B717" s="15" t="s">
        <v>353</v>
      </c>
      <c r="C717" s="15" t="s">
        <v>354</v>
      </c>
      <c r="D717" s="15" t="s">
        <v>350</v>
      </c>
    </row>
    <row r="718" spans="1:5" x14ac:dyDescent="0.25">
      <c r="A718" s="4" t="s">
        <v>234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757</v>
      </c>
    </row>
    <row r="721" spans="1:6" x14ac:dyDescent="0.25">
      <c r="A721" s="2" t="s">
        <v>381</v>
      </c>
    </row>
    <row r="722" spans="1:6" x14ac:dyDescent="0.25">
      <c r="A722" s="32" t="s">
        <v>608</v>
      </c>
    </row>
    <row r="723" spans="1:6" x14ac:dyDescent="0.25">
      <c r="A723" s="32" t="s">
        <v>609</v>
      </c>
    </row>
    <row r="724" spans="1:6" x14ac:dyDescent="0.25">
      <c r="A724" s="32" t="s">
        <v>758</v>
      </c>
    </row>
    <row r="725" spans="1:6" x14ac:dyDescent="0.25">
      <c r="A725" s="32" t="s">
        <v>759</v>
      </c>
    </row>
    <row r="726" spans="1:6" x14ac:dyDescent="0.25">
      <c r="A726" s="32" t="s">
        <v>760</v>
      </c>
    </row>
    <row r="727" spans="1:6" x14ac:dyDescent="0.25">
      <c r="A727" s="32" t="s">
        <v>613</v>
      </c>
    </row>
    <row r="728" spans="1:6" x14ac:dyDescent="0.25">
      <c r="A728" s="33" t="s">
        <v>384</v>
      </c>
      <c r="B728" s="33" t="s">
        <v>514</v>
      </c>
      <c r="C728" s="33"/>
      <c r="D728" s="33"/>
      <c r="E728" s="33" t="s">
        <v>514</v>
      </c>
    </row>
    <row r="729" spans="1:6" ht="30" x14ac:dyDescent="0.25">
      <c r="A729" s="33" t="s">
        <v>387</v>
      </c>
      <c r="B729" s="33" t="s">
        <v>614</v>
      </c>
      <c r="C729" s="33"/>
      <c r="D729" s="33"/>
      <c r="E729" s="33" t="s">
        <v>615</v>
      </c>
    </row>
    <row r="731" spans="1:6" ht="30" x14ac:dyDescent="0.25">
      <c r="B731" s="30" t="s">
        <v>761</v>
      </c>
      <c r="C731" s="30"/>
      <c r="D731" s="30"/>
    </row>
    <row r="732" spans="1:6" ht="60" x14ac:dyDescent="0.25">
      <c r="B732" s="15" t="s">
        <v>353</v>
      </c>
      <c r="C732" s="15" t="s">
        <v>354</v>
      </c>
      <c r="D732" s="15" t="s">
        <v>350</v>
      </c>
      <c r="E732" s="15" t="s">
        <v>762</v>
      </c>
    </row>
    <row r="733" spans="1:6" x14ac:dyDescent="0.25">
      <c r="A733" s="4" t="s">
        <v>230</v>
      </c>
      <c r="B733" s="39">
        <f>IF($B$142&gt;0,(Loads!$B$348*B$704)/$B$142,0)</f>
        <v>1.725969176002861E-2</v>
      </c>
      <c r="C733" s="39">
        <f>IF($B$142&gt;0,(Loads!$B$348*C$704)/$B$142,0)</f>
        <v>0.43559897197894054</v>
      </c>
      <c r="D733" s="39">
        <f>IF($B$142&gt;0,(Loads!$B$348*D$704)/$B$142,0)</f>
        <v>0.54714133626103079</v>
      </c>
      <c r="E733" s="37">
        <f>IF($C$679&gt;0,$B733*Input!$F$60*24/$C$679,0)</f>
        <v>0.99742850276375872</v>
      </c>
      <c r="F733" s="17"/>
    </row>
    <row r="734" spans="1:6" x14ac:dyDescent="0.25">
      <c r="A734" s="4" t="s">
        <v>231</v>
      </c>
      <c r="B734" s="39">
        <f>IF($B$143&gt;0,(Loads!$B$349*B$705)/$B$143,0)</f>
        <v>3.2782025315657104E-2</v>
      </c>
      <c r="C734" s="39">
        <f>IF($B$143&gt;0,(Loads!$B$349*C$705)/$B$143,0)</f>
        <v>0.15175403213098398</v>
      </c>
      <c r="D734" s="39">
        <f>IF($B$143&gt;0,(Loads!$B$349*D$705)/$B$143,0)</f>
        <v>0.81546394255335897</v>
      </c>
      <c r="E734" s="37">
        <f>IF($C$679&gt;0,$B734*Input!$F$60*24/$C$679,0)</f>
        <v>1.8944559892942892</v>
      </c>
      <c r="F734" s="17"/>
    </row>
    <row r="735" spans="1:6" x14ac:dyDescent="0.25">
      <c r="A735" s="4" t="s">
        <v>232</v>
      </c>
      <c r="B735" s="39">
        <f>IF($B$144&gt;0,(Loads!$B$350*B$706)/$B$144,0)</f>
        <v>5.8673408358170503E-2</v>
      </c>
      <c r="C735" s="39">
        <f>IF($B$144&gt;0,(Loads!$B$350*C$706)/$B$144,0)</f>
        <v>0.25591149899050825</v>
      </c>
      <c r="D735" s="39">
        <f>IF($B$144&gt;0,(Loads!$B$350*D$706)/$B$144,0)</f>
        <v>0.68541509265132128</v>
      </c>
      <c r="E735" s="37">
        <f>IF($C$679&gt;0,$B735*Input!$F$60*24/$C$679,0)</f>
        <v>3.3907053882774325</v>
      </c>
      <c r="F735" s="17"/>
    </row>
    <row r="736" spans="1:6" x14ac:dyDescent="0.25">
      <c r="A736" s="4" t="s">
        <v>233</v>
      </c>
      <c r="B736" s="39">
        <f>IF($B$145&gt;0,(Loads!$B$351*B$707)/$B$145,0)</f>
        <v>0</v>
      </c>
      <c r="C736" s="39">
        <f>IF($B$145&gt;0,(Loads!$B$351*C$707)/$B$145,0)</f>
        <v>0</v>
      </c>
      <c r="D736" s="39">
        <f>IF($B$145&gt;0,(Loads!$B$351*D$707)/$B$145,0)</f>
        <v>0</v>
      </c>
      <c r="E736" s="37">
        <f>IF($C$679&gt;0,$B736*Input!$F$60*24/$C$679,0)</f>
        <v>0</v>
      </c>
      <c r="F736" s="17"/>
    </row>
    <row r="738" spans="1:5" ht="21" customHeight="1" x14ac:dyDescent="0.3">
      <c r="A738" s="1" t="s">
        <v>763</v>
      </c>
    </row>
    <row r="739" spans="1:5" x14ac:dyDescent="0.25">
      <c r="A739" s="2" t="s">
        <v>381</v>
      </c>
    </row>
    <row r="740" spans="1:5" x14ac:dyDescent="0.25">
      <c r="A740" s="32" t="s">
        <v>608</v>
      </c>
    </row>
    <row r="741" spans="1:5" x14ac:dyDescent="0.25">
      <c r="A741" s="32" t="s">
        <v>609</v>
      </c>
    </row>
    <row r="742" spans="1:5" x14ac:dyDescent="0.25">
      <c r="A742" s="32" t="s">
        <v>758</v>
      </c>
    </row>
    <row r="743" spans="1:5" x14ac:dyDescent="0.25">
      <c r="A743" s="32" t="s">
        <v>619</v>
      </c>
    </row>
    <row r="744" spans="1:5" x14ac:dyDescent="0.25">
      <c r="A744" s="32" t="s">
        <v>764</v>
      </c>
    </row>
    <row r="745" spans="1:5" x14ac:dyDescent="0.25">
      <c r="A745" s="32" t="s">
        <v>629</v>
      </c>
    </row>
    <row r="746" spans="1:5" x14ac:dyDescent="0.25">
      <c r="A746" s="32" t="s">
        <v>765</v>
      </c>
    </row>
    <row r="747" spans="1:5" x14ac:dyDescent="0.25">
      <c r="A747" s="32" t="s">
        <v>766</v>
      </c>
    </row>
    <row r="748" spans="1:5" x14ac:dyDescent="0.25">
      <c r="A748" s="32" t="s">
        <v>767</v>
      </c>
    </row>
    <row r="749" spans="1:5" x14ac:dyDescent="0.25">
      <c r="A749" s="32" t="s">
        <v>633</v>
      </c>
    </row>
    <row r="750" spans="1:5" x14ac:dyDescent="0.25">
      <c r="A750" s="33" t="s">
        <v>384</v>
      </c>
      <c r="B750" s="33" t="s">
        <v>514</v>
      </c>
      <c r="C750" s="33"/>
      <c r="D750" s="33"/>
      <c r="E750" s="33" t="s">
        <v>514</v>
      </c>
    </row>
    <row r="751" spans="1:5" ht="30" x14ac:dyDescent="0.25">
      <c r="A751" s="33" t="s">
        <v>387</v>
      </c>
      <c r="B751" s="33" t="s">
        <v>634</v>
      </c>
      <c r="C751" s="33"/>
      <c r="D751" s="33"/>
      <c r="E751" s="33" t="s">
        <v>635</v>
      </c>
    </row>
    <row r="753" spans="1:6" ht="30" x14ac:dyDescent="0.25">
      <c r="B753" s="30" t="s">
        <v>768</v>
      </c>
      <c r="C753" s="30"/>
      <c r="D753" s="30"/>
    </row>
    <row r="754" spans="1:6" ht="60" x14ac:dyDescent="0.25">
      <c r="B754" s="15" t="s">
        <v>353</v>
      </c>
      <c r="C754" s="15" t="s">
        <v>354</v>
      </c>
      <c r="D754" s="15" t="s">
        <v>350</v>
      </c>
      <c r="E754" s="15" t="s">
        <v>769</v>
      </c>
    </row>
    <row r="755" spans="1:6" x14ac:dyDescent="0.25">
      <c r="A755" s="4" t="s">
        <v>234</v>
      </c>
      <c r="B755" s="39">
        <f>IF($B$146&gt;0,(Loads!$B$352*B$708+Loads!$C$352*B$713+Loads!$D$352*B$718)/$B$146,0)</f>
        <v>3.3027845601999097E-2</v>
      </c>
      <c r="C755" s="39">
        <f>IF($B$146&gt;0,(Loads!$B$352*C$708+Loads!$C$352*C$713+Loads!$D$352*C$718)/$B$146,0)</f>
        <v>0.2499035208466053</v>
      </c>
      <c r="D755" s="39">
        <f>IF($B$146&gt;0,(Loads!$B$352*D$708+Loads!$C$352*D$713+Loads!$D$352*D$718)/$B$146,0)</f>
        <v>0.71706863355139561</v>
      </c>
      <c r="E755" s="37">
        <f>IF($C$679&gt;0,$B755*Input!$F$60*24/$C$679,0)</f>
        <v>1.9086618142628951</v>
      </c>
      <c r="F755" s="17"/>
    </row>
    <row r="757" spans="1:6" ht="21" customHeight="1" x14ac:dyDescent="0.3">
      <c r="A757" s="1" t="s">
        <v>770</v>
      </c>
    </row>
    <row r="758" spans="1:6" x14ac:dyDescent="0.25">
      <c r="A758" s="2" t="s">
        <v>381</v>
      </c>
    </row>
    <row r="759" spans="1:6" x14ac:dyDescent="0.25">
      <c r="A759" s="32" t="s">
        <v>771</v>
      </c>
    </row>
    <row r="760" spans="1:6" x14ac:dyDescent="0.25">
      <c r="A760" s="32" t="s">
        <v>772</v>
      </c>
    </row>
    <row r="761" spans="1:6" x14ac:dyDescent="0.25">
      <c r="A761" s="32" t="s">
        <v>773</v>
      </c>
    </row>
    <row r="762" spans="1:6" x14ac:dyDescent="0.25">
      <c r="A762" s="32" t="s">
        <v>774</v>
      </c>
    </row>
    <row r="763" spans="1:6" x14ac:dyDescent="0.25">
      <c r="A763" s="32" t="s">
        <v>775</v>
      </c>
    </row>
    <row r="764" spans="1:6" x14ac:dyDescent="0.25">
      <c r="A764" s="32" t="s">
        <v>776</v>
      </c>
    </row>
    <row r="765" spans="1:6" x14ac:dyDescent="0.25">
      <c r="A765" s="33" t="s">
        <v>384</v>
      </c>
      <c r="B765" s="33" t="s">
        <v>549</v>
      </c>
      <c r="C765" s="33" t="s">
        <v>514</v>
      </c>
      <c r="D765" s="33" t="s">
        <v>514</v>
      </c>
    </row>
    <row r="766" spans="1:6" ht="30" x14ac:dyDescent="0.25">
      <c r="A766" s="33" t="s">
        <v>387</v>
      </c>
      <c r="B766" s="33" t="s">
        <v>777</v>
      </c>
      <c r="C766" s="33" t="s">
        <v>778</v>
      </c>
      <c r="D766" s="33" t="s">
        <v>779</v>
      </c>
    </row>
    <row r="768" spans="1:6" ht="45" x14ac:dyDescent="0.25">
      <c r="B768" s="15" t="s">
        <v>780</v>
      </c>
      <c r="C768" s="15" t="s">
        <v>781</v>
      </c>
      <c r="D768" s="15" t="s">
        <v>782</v>
      </c>
    </row>
    <row r="769" spans="1:5" x14ac:dyDescent="0.25">
      <c r="A769" s="4" t="s">
        <v>230</v>
      </c>
      <c r="B769" s="38">
        <f>E$733</f>
        <v>0.99742850276375872</v>
      </c>
      <c r="C769" s="42">
        <f>B769*$B$142/24/Input!$F$60*1000</f>
        <v>471.0327214347401</v>
      </c>
      <c r="D769" s="42">
        <f>Loads!B$60*B$142/24/Input!F$60*1000</f>
        <v>472.2471035563583</v>
      </c>
      <c r="E769" s="17"/>
    </row>
    <row r="770" spans="1:5" x14ac:dyDescent="0.25">
      <c r="A770" s="4" t="s">
        <v>231</v>
      </c>
      <c r="B770" s="38">
        <f>E$734</f>
        <v>1.8944559892942892</v>
      </c>
      <c r="C770" s="42">
        <f>B770*$B$143/24/Input!$F$60*1000</f>
        <v>1125.2072090908066</v>
      </c>
      <c r="D770" s="42">
        <f>Loads!B$61*B$143/24/Input!F$60*1000</f>
        <v>1228.492809594153</v>
      </c>
      <c r="E770" s="17"/>
    </row>
    <row r="771" spans="1:5" x14ac:dyDescent="0.25">
      <c r="A771" s="4" t="s">
        <v>232</v>
      </c>
      <c r="B771" s="38">
        <f>E$735</f>
        <v>3.3907053882774325</v>
      </c>
      <c r="C771" s="42">
        <f>B771*$B$144/24/Input!$F$60*1000</f>
        <v>229.79794438530482</v>
      </c>
      <c r="D771" s="42">
        <f>Loads!B$62*B$144/24/Input!F$60*1000</f>
        <v>232.85220111438215</v>
      </c>
      <c r="E771" s="17"/>
    </row>
    <row r="772" spans="1:5" x14ac:dyDescent="0.25">
      <c r="A772" s="4" t="s">
        <v>233</v>
      </c>
      <c r="B772" s="38">
        <f>E$736</f>
        <v>0</v>
      </c>
      <c r="C772" s="42">
        <f>B772*$B$145/24/Input!$F$60*1000</f>
        <v>0</v>
      </c>
      <c r="D772" s="42">
        <f>Loads!B$63*B$145/24/Input!F$60*1000</f>
        <v>0</v>
      </c>
      <c r="E772" s="17"/>
    </row>
    <row r="773" spans="1:5" x14ac:dyDescent="0.25">
      <c r="A773" s="4" t="s">
        <v>234</v>
      </c>
      <c r="B773" s="38">
        <f>E$755</f>
        <v>1.9086618142628951</v>
      </c>
      <c r="C773" s="42">
        <f>B773*$B$146/24/Input!$F$60*1000</f>
        <v>26488.282396884126</v>
      </c>
      <c r="D773" s="42">
        <f>Loads!B$64*B$146/24/Input!F$60*1000</f>
        <v>29188.569119174146</v>
      </c>
      <c r="E773" s="17"/>
    </row>
    <row r="775" spans="1:5" ht="21" customHeight="1" x14ac:dyDescent="0.3">
      <c r="A775" s="1" t="s">
        <v>783</v>
      </c>
    </row>
    <row r="776" spans="1:5" x14ac:dyDescent="0.25">
      <c r="A776" s="2" t="s">
        <v>381</v>
      </c>
    </row>
    <row r="777" spans="1:5" x14ac:dyDescent="0.25">
      <c r="A777" s="32" t="s">
        <v>784</v>
      </c>
    </row>
    <row r="778" spans="1:5" x14ac:dyDescent="0.25">
      <c r="A778" s="32" t="s">
        <v>785</v>
      </c>
    </row>
    <row r="779" spans="1:5" x14ac:dyDescent="0.25">
      <c r="A779" s="2" t="s">
        <v>786</v>
      </c>
    </row>
    <row r="781" spans="1:5" ht="45" x14ac:dyDescent="0.25">
      <c r="B781" s="15" t="s">
        <v>787</v>
      </c>
    </row>
    <row r="782" spans="1:5" x14ac:dyDescent="0.25">
      <c r="A782" s="4" t="s">
        <v>787</v>
      </c>
      <c r="B782" s="37">
        <f>IF(SUM($C$769:$C$773),SUM($D$769:$D$773)/SUM($C$769:$C$773),0)</f>
        <v>1.0991668150494527</v>
      </c>
      <c r="C782" s="17"/>
    </row>
    <row r="784" spans="1:5" ht="21" customHeight="1" x14ac:dyDescent="0.3">
      <c r="A784" s="1" t="s">
        <v>788</v>
      </c>
    </row>
    <row r="785" spans="1:7" x14ac:dyDescent="0.25">
      <c r="A785" s="2" t="s">
        <v>381</v>
      </c>
    </row>
    <row r="786" spans="1:7" x14ac:dyDescent="0.25">
      <c r="A786" s="32" t="s">
        <v>657</v>
      </c>
    </row>
    <row r="787" spans="1:7" x14ac:dyDescent="0.25">
      <c r="A787" s="32" t="s">
        <v>789</v>
      </c>
    </row>
    <row r="788" spans="1:7" x14ac:dyDescent="0.25">
      <c r="A788" s="32" t="s">
        <v>790</v>
      </c>
    </row>
    <row r="789" spans="1:7" x14ac:dyDescent="0.25">
      <c r="A789" s="32" t="s">
        <v>791</v>
      </c>
    </row>
    <row r="790" spans="1:7" x14ac:dyDescent="0.25">
      <c r="A790" s="32" t="s">
        <v>792</v>
      </c>
    </row>
    <row r="791" spans="1:7" x14ac:dyDescent="0.25">
      <c r="A791" s="32" t="s">
        <v>793</v>
      </c>
    </row>
    <row r="792" spans="1:7" x14ac:dyDescent="0.25">
      <c r="A792" s="32" t="s">
        <v>794</v>
      </c>
    </row>
    <row r="793" spans="1:7" x14ac:dyDescent="0.25">
      <c r="A793" s="33" t="s">
        <v>384</v>
      </c>
      <c r="B793" s="33" t="s">
        <v>443</v>
      </c>
      <c r="C793" s="33" t="s">
        <v>443</v>
      </c>
      <c r="D793" s="33" t="s">
        <v>443</v>
      </c>
      <c r="E793" s="33" t="s">
        <v>514</v>
      </c>
      <c r="F793" s="33" t="s">
        <v>514</v>
      </c>
    </row>
    <row r="794" spans="1:7" ht="45" x14ac:dyDescent="0.25">
      <c r="A794" s="33" t="s">
        <v>387</v>
      </c>
      <c r="B794" s="33" t="s">
        <v>445</v>
      </c>
      <c r="C794" s="33" t="s">
        <v>445</v>
      </c>
      <c r="D794" s="33" t="s">
        <v>445</v>
      </c>
      <c r="E794" s="33" t="s">
        <v>795</v>
      </c>
      <c r="F794" s="33" t="s">
        <v>796</v>
      </c>
    </row>
    <row r="796" spans="1:7" ht="30" x14ac:dyDescent="0.25">
      <c r="B796" s="15" t="s">
        <v>797</v>
      </c>
      <c r="C796" s="15" t="s">
        <v>798</v>
      </c>
      <c r="D796" s="15" t="s">
        <v>799</v>
      </c>
      <c r="E796" s="15" t="s">
        <v>800</v>
      </c>
      <c r="F796" s="15" t="s">
        <v>363</v>
      </c>
    </row>
    <row r="797" spans="1:7" x14ac:dyDescent="0.25">
      <c r="A797" s="4" t="s">
        <v>150</v>
      </c>
      <c r="B797" s="41">
        <f t="shared" ref="B797:B805" si="70">$C265</f>
        <v>1</v>
      </c>
      <c r="C797" s="41">
        <f t="shared" ref="C797:C805" si="71">$D265</f>
        <v>0</v>
      </c>
      <c r="D797" s="41">
        <f t="shared" ref="D797:D805" si="72">$E265</f>
        <v>0</v>
      </c>
      <c r="E797" s="39">
        <f>IF(Input!$E375,MAX(0,$C797+$B797-Input!$E375),IF($B265,1/0,0))</f>
        <v>0.15664655339798605</v>
      </c>
      <c r="F797" s="39">
        <f t="shared" ref="F797:F805" si="73">1-$E797-$D797</f>
        <v>0.84335344660201395</v>
      </c>
      <c r="G797" s="17"/>
    </row>
    <row r="798" spans="1:7" x14ac:dyDescent="0.25">
      <c r="A798" s="4" t="s">
        <v>151</v>
      </c>
      <c r="B798" s="41">
        <f t="shared" si="70"/>
        <v>0.88816984199382809</v>
      </c>
      <c r="C798" s="41">
        <f t="shared" si="71"/>
        <v>7.787720458857357E-2</v>
      </c>
      <c r="D798" s="41">
        <f t="shared" si="72"/>
        <v>3.395295341759829E-2</v>
      </c>
      <c r="E798" s="39">
        <f>IF(Input!$E376,MAX(0,$C798+$B798-Input!$E376),IF($B266,1/0,0))</f>
        <v>0.1962712651998153</v>
      </c>
      <c r="F798" s="39">
        <f t="shared" si="73"/>
        <v>0.7697757813825864</v>
      </c>
      <c r="G798" s="17"/>
    </row>
    <row r="799" spans="1:7" x14ac:dyDescent="0.25">
      <c r="A799" s="4" t="s">
        <v>152</v>
      </c>
      <c r="B799" s="41">
        <f t="shared" si="70"/>
        <v>0.88816984199382809</v>
      </c>
      <c r="C799" s="41">
        <f t="shared" si="71"/>
        <v>7.787720458857357E-2</v>
      </c>
      <c r="D799" s="41">
        <f t="shared" si="72"/>
        <v>3.395295341759829E-2</v>
      </c>
      <c r="E799" s="39">
        <f>IF(Input!$E377,MAX(0,$C799+$B799-Input!$E377),IF($B267,1/0,0))</f>
        <v>0.1962712651998153</v>
      </c>
      <c r="F799" s="39">
        <f t="shared" si="73"/>
        <v>0.7697757813825864</v>
      </c>
      <c r="G799" s="17"/>
    </row>
    <row r="800" spans="1:7" x14ac:dyDescent="0.25">
      <c r="A800" s="4" t="s">
        <v>153</v>
      </c>
      <c r="B800" s="41">
        <f t="shared" si="70"/>
        <v>0.631449237442961</v>
      </c>
      <c r="C800" s="41">
        <f t="shared" si="71"/>
        <v>0.29579028304608834</v>
      </c>
      <c r="D800" s="41">
        <f t="shared" si="72"/>
        <v>7.2760479510950826E-2</v>
      </c>
      <c r="E800" s="39">
        <f>IF(Input!$E378,MAX(0,$C800+$B800-Input!$E378),IF($B268,1/0,0))</f>
        <v>0.41555716397615095</v>
      </c>
      <c r="F800" s="39">
        <f t="shared" si="73"/>
        <v>0.51168235651289828</v>
      </c>
      <c r="G800" s="17"/>
    </row>
    <row r="801" spans="1:7" x14ac:dyDescent="0.25">
      <c r="A801" s="4" t="s">
        <v>154</v>
      </c>
      <c r="B801" s="41">
        <f t="shared" si="70"/>
        <v>0.631449237442961</v>
      </c>
      <c r="C801" s="41">
        <f t="shared" si="71"/>
        <v>0.29579028304608834</v>
      </c>
      <c r="D801" s="41">
        <f t="shared" si="72"/>
        <v>7.2760479510950826E-2</v>
      </c>
      <c r="E801" s="39">
        <f>IF(Input!$E379,MAX(0,$C801+$B801-Input!$E379),IF($B269,1/0,0))</f>
        <v>0.41555716397615095</v>
      </c>
      <c r="F801" s="39">
        <f t="shared" si="73"/>
        <v>0.51168235651289828</v>
      </c>
      <c r="G801" s="17"/>
    </row>
    <row r="802" spans="1:7" x14ac:dyDescent="0.25">
      <c r="A802" s="4" t="s">
        <v>159</v>
      </c>
      <c r="B802" s="41">
        <f t="shared" si="70"/>
        <v>0.88816984199382809</v>
      </c>
      <c r="C802" s="41">
        <f t="shared" si="71"/>
        <v>7.787720458857357E-2</v>
      </c>
      <c r="D802" s="41">
        <f t="shared" si="72"/>
        <v>3.395295341759829E-2</v>
      </c>
      <c r="E802" s="39">
        <f>IF(Input!$E380,MAX(0,$C802+$B802-Input!$E380),IF($B270,1/0,0))</f>
        <v>0.1962712651998153</v>
      </c>
      <c r="F802" s="39">
        <f t="shared" si="73"/>
        <v>0.7697757813825864</v>
      </c>
      <c r="G802" s="17"/>
    </row>
    <row r="803" spans="1:7" x14ac:dyDescent="0.25">
      <c r="A803" s="4" t="s">
        <v>155</v>
      </c>
      <c r="B803" s="41">
        <f t="shared" si="70"/>
        <v>0.631449237442961</v>
      </c>
      <c r="C803" s="41">
        <f t="shared" si="71"/>
        <v>0.29579028304608834</v>
      </c>
      <c r="D803" s="41">
        <f t="shared" si="72"/>
        <v>7.2760479510950826E-2</v>
      </c>
      <c r="E803" s="39">
        <f>IF(Input!$E381,MAX(0,$C803+$B803-Input!$E381),IF($B271,1/0,0))</f>
        <v>0.41555716397615095</v>
      </c>
      <c r="F803" s="39">
        <f t="shared" si="73"/>
        <v>0.51168235651289828</v>
      </c>
      <c r="G803" s="17"/>
    </row>
    <row r="804" spans="1:7" x14ac:dyDescent="0.25">
      <c r="A804" s="4" t="s">
        <v>156</v>
      </c>
      <c r="B804" s="41">
        <f t="shared" si="70"/>
        <v>0.631449237442961</v>
      </c>
      <c r="C804" s="41">
        <f t="shared" si="71"/>
        <v>0.29579028304608834</v>
      </c>
      <c r="D804" s="41">
        <f t="shared" si="72"/>
        <v>7.2760479510950826E-2</v>
      </c>
      <c r="E804" s="39">
        <f>IF(Input!$E382,MAX(0,$C804+$B804-Input!$E382),IF($B272,1/0,0))</f>
        <v>0.41555716397615095</v>
      </c>
      <c r="F804" s="39">
        <f t="shared" si="73"/>
        <v>0.51168235651289828</v>
      </c>
      <c r="G804" s="17"/>
    </row>
    <row r="805" spans="1:7" x14ac:dyDescent="0.25">
      <c r="A805" s="4" t="s">
        <v>157</v>
      </c>
      <c r="B805" s="41">
        <f t="shared" si="70"/>
        <v>0.631449237442961</v>
      </c>
      <c r="C805" s="41">
        <f t="shared" si="71"/>
        <v>0.29579028304608834</v>
      </c>
      <c r="D805" s="41">
        <f t="shared" si="72"/>
        <v>7.2760479510950826E-2</v>
      </c>
      <c r="E805" s="39">
        <f>IF(Input!$E383,MAX(0,$C805+$B805-Input!$E383),IF($B273,1/0,0))</f>
        <v>0.41555716397615095</v>
      </c>
      <c r="F805" s="39">
        <f t="shared" si="73"/>
        <v>0.51168235651289828</v>
      </c>
      <c r="G805" s="17"/>
    </row>
    <row r="807" spans="1:7" ht="21" customHeight="1" x14ac:dyDescent="0.3">
      <c r="A807" s="1" t="s">
        <v>801</v>
      </c>
    </row>
    <row r="808" spans="1:7" x14ac:dyDescent="0.25">
      <c r="A808" s="2" t="s">
        <v>381</v>
      </c>
    </row>
    <row r="809" spans="1:7" x14ac:dyDescent="0.25">
      <c r="A809" s="32" t="s">
        <v>802</v>
      </c>
    </row>
    <row r="810" spans="1:7" x14ac:dyDescent="0.25">
      <c r="A810" s="32" t="s">
        <v>803</v>
      </c>
    </row>
    <row r="811" spans="1:7" x14ac:dyDescent="0.25">
      <c r="A811" s="32" t="s">
        <v>804</v>
      </c>
    </row>
    <row r="812" spans="1:7" x14ac:dyDescent="0.25">
      <c r="A812" s="2" t="s">
        <v>424</v>
      </c>
    </row>
    <row r="814" spans="1:7" x14ac:dyDescent="0.25">
      <c r="B814" s="15" t="s">
        <v>353</v>
      </c>
      <c r="C814" s="15" t="s">
        <v>354</v>
      </c>
      <c r="D814" s="15" t="s">
        <v>350</v>
      </c>
    </row>
    <row r="815" spans="1:7" x14ac:dyDescent="0.25">
      <c r="A815" s="4" t="s">
        <v>150</v>
      </c>
      <c r="B815" s="41">
        <f>$F$797</f>
        <v>0.84335344660201395</v>
      </c>
      <c r="C815" s="41">
        <f>$E$797</f>
        <v>0.15664655339798605</v>
      </c>
      <c r="D815" s="41">
        <f>$D$797</f>
        <v>0</v>
      </c>
      <c r="E815" s="17"/>
    </row>
    <row r="816" spans="1:7" x14ac:dyDescent="0.25">
      <c r="A816" s="4" t="s">
        <v>151</v>
      </c>
      <c r="B816" s="41">
        <f>$F$798</f>
        <v>0.7697757813825864</v>
      </c>
      <c r="C816" s="41">
        <f>$E$798</f>
        <v>0.1962712651998153</v>
      </c>
      <c r="D816" s="41">
        <f>$D$798</f>
        <v>3.395295341759829E-2</v>
      </c>
      <c r="E816" s="17"/>
    </row>
    <row r="817" spans="1:38" x14ac:dyDescent="0.25">
      <c r="A817" s="4" t="s">
        <v>152</v>
      </c>
      <c r="B817" s="41">
        <f>$F$799</f>
        <v>0.7697757813825864</v>
      </c>
      <c r="C817" s="41">
        <f>$E$799</f>
        <v>0.1962712651998153</v>
      </c>
      <c r="D817" s="41">
        <f>$D$799</f>
        <v>3.395295341759829E-2</v>
      </c>
      <c r="E817" s="17"/>
    </row>
    <row r="818" spans="1:38" x14ac:dyDescent="0.25">
      <c r="A818" s="4" t="s">
        <v>153</v>
      </c>
      <c r="B818" s="41">
        <f>$F$800</f>
        <v>0.51168235651289828</v>
      </c>
      <c r="C818" s="41">
        <f>$E$800</f>
        <v>0.41555716397615095</v>
      </c>
      <c r="D818" s="41">
        <f>$D$800</f>
        <v>7.2760479510950826E-2</v>
      </c>
      <c r="E818" s="17"/>
    </row>
    <row r="819" spans="1:38" x14ac:dyDescent="0.25">
      <c r="A819" s="4" t="s">
        <v>154</v>
      </c>
      <c r="B819" s="41">
        <f>$F$801</f>
        <v>0.51168235651289828</v>
      </c>
      <c r="C819" s="41">
        <f>$E$801</f>
        <v>0.41555716397615095</v>
      </c>
      <c r="D819" s="41">
        <f>$D$801</f>
        <v>7.2760479510950826E-2</v>
      </c>
      <c r="E819" s="17"/>
    </row>
    <row r="820" spans="1:38" x14ac:dyDescent="0.25">
      <c r="A820" s="4" t="s">
        <v>159</v>
      </c>
      <c r="B820" s="41">
        <f>$F$802</f>
        <v>0.7697757813825864</v>
      </c>
      <c r="C820" s="41">
        <f>$E$802</f>
        <v>0.1962712651998153</v>
      </c>
      <c r="D820" s="41">
        <f>$D$802</f>
        <v>3.395295341759829E-2</v>
      </c>
      <c r="E820" s="17"/>
    </row>
    <row r="821" spans="1:38" x14ac:dyDescent="0.25">
      <c r="A821" s="4" t="s">
        <v>155</v>
      </c>
      <c r="B821" s="41">
        <f>$F$803</f>
        <v>0.51168235651289828</v>
      </c>
      <c r="C821" s="41">
        <f>$E$803</f>
        <v>0.41555716397615095</v>
      </c>
      <c r="D821" s="41">
        <f>$D$803</f>
        <v>7.2760479510950826E-2</v>
      </c>
      <c r="E821" s="17"/>
    </row>
    <row r="822" spans="1:38" x14ac:dyDescent="0.25">
      <c r="A822" s="4" t="s">
        <v>156</v>
      </c>
      <c r="B822" s="41">
        <f>$F$804</f>
        <v>0.51168235651289828</v>
      </c>
      <c r="C822" s="41">
        <f>$E$804</f>
        <v>0.41555716397615095</v>
      </c>
      <c r="D822" s="41">
        <f>$D$804</f>
        <v>7.2760479510950826E-2</v>
      </c>
      <c r="E822" s="17"/>
    </row>
    <row r="823" spans="1:38" x14ac:dyDescent="0.25">
      <c r="A823" s="4" t="s">
        <v>157</v>
      </c>
      <c r="B823" s="41">
        <f>$F$805</f>
        <v>0.51168235651289828</v>
      </c>
      <c r="C823" s="41">
        <f>$E$805</f>
        <v>0.41555716397615095</v>
      </c>
      <c r="D823" s="41">
        <f>$D$805</f>
        <v>7.2760479510950826E-2</v>
      </c>
      <c r="E823" s="17"/>
    </row>
    <row r="825" spans="1:38" ht="21" customHeight="1" x14ac:dyDescent="0.3">
      <c r="A825" s="1" t="s">
        <v>805</v>
      </c>
    </row>
    <row r="826" spans="1:38" x14ac:dyDescent="0.25">
      <c r="A826" s="2" t="s">
        <v>381</v>
      </c>
    </row>
    <row r="827" spans="1:38" x14ac:dyDescent="0.25">
      <c r="A827" s="32" t="s">
        <v>806</v>
      </c>
    </row>
    <row r="828" spans="1:38" x14ac:dyDescent="0.25">
      <c r="A828" s="2" t="s">
        <v>658</v>
      </c>
    </row>
    <row r="830" spans="1:38" x14ac:dyDescent="0.25">
      <c r="B830" s="28" t="s">
        <v>150</v>
      </c>
      <c r="C830" s="15" t="s">
        <v>353</v>
      </c>
      <c r="D830" s="15" t="s">
        <v>354</v>
      </c>
      <c r="E830" s="15" t="s">
        <v>350</v>
      </c>
      <c r="F830" s="28" t="s">
        <v>151</v>
      </c>
      <c r="G830" s="15" t="s">
        <v>353</v>
      </c>
      <c r="H830" s="15" t="s">
        <v>354</v>
      </c>
      <c r="I830" s="15" t="s">
        <v>350</v>
      </c>
      <c r="J830" s="28" t="s">
        <v>152</v>
      </c>
      <c r="K830" s="15" t="s">
        <v>353</v>
      </c>
      <c r="L830" s="15" t="s">
        <v>354</v>
      </c>
      <c r="M830" s="15" t="s">
        <v>350</v>
      </c>
      <c r="N830" s="28" t="s">
        <v>153</v>
      </c>
      <c r="O830" s="15" t="s">
        <v>353</v>
      </c>
      <c r="P830" s="15" t="s">
        <v>354</v>
      </c>
      <c r="Q830" s="15" t="s">
        <v>350</v>
      </c>
      <c r="R830" s="28" t="s">
        <v>154</v>
      </c>
      <c r="S830" s="15" t="s">
        <v>353</v>
      </c>
      <c r="T830" s="15" t="s">
        <v>354</v>
      </c>
      <c r="U830" s="15" t="s">
        <v>350</v>
      </c>
      <c r="V830" s="28" t="s">
        <v>159</v>
      </c>
      <c r="W830" s="15" t="s">
        <v>353</v>
      </c>
      <c r="X830" s="15" t="s">
        <v>354</v>
      </c>
      <c r="Y830" s="15" t="s">
        <v>350</v>
      </c>
      <c r="Z830" s="28" t="s">
        <v>155</v>
      </c>
      <c r="AA830" s="15" t="s">
        <v>353</v>
      </c>
      <c r="AB830" s="15" t="s">
        <v>354</v>
      </c>
      <c r="AC830" s="15" t="s">
        <v>350</v>
      </c>
      <c r="AD830" s="28" t="s">
        <v>156</v>
      </c>
      <c r="AE830" s="15" t="s">
        <v>353</v>
      </c>
      <c r="AF830" s="15" t="s">
        <v>354</v>
      </c>
      <c r="AG830" s="15" t="s">
        <v>350</v>
      </c>
      <c r="AH830" s="28" t="s">
        <v>157</v>
      </c>
      <c r="AI830" s="15" t="s">
        <v>353</v>
      </c>
      <c r="AJ830" s="15" t="s">
        <v>354</v>
      </c>
      <c r="AK830" s="15" t="s">
        <v>350</v>
      </c>
    </row>
    <row r="831" spans="1:38" x14ac:dyDescent="0.25">
      <c r="A831" s="4" t="s">
        <v>659</v>
      </c>
      <c r="C831" s="41">
        <f>B$815</f>
        <v>0.84335344660201395</v>
      </c>
      <c r="D831" s="41">
        <f>C$815</f>
        <v>0.15664655339798605</v>
      </c>
      <c r="E831" s="41">
        <f>D$815</f>
        <v>0</v>
      </c>
      <c r="G831" s="41">
        <f>B$816</f>
        <v>0.7697757813825864</v>
      </c>
      <c r="H831" s="41">
        <f>C$816</f>
        <v>0.1962712651998153</v>
      </c>
      <c r="I831" s="41">
        <f>D$816</f>
        <v>3.395295341759829E-2</v>
      </c>
      <c r="K831" s="41">
        <f>B$817</f>
        <v>0.7697757813825864</v>
      </c>
      <c r="L831" s="41">
        <f>C$817</f>
        <v>0.1962712651998153</v>
      </c>
      <c r="M831" s="41">
        <f>D$817</f>
        <v>3.395295341759829E-2</v>
      </c>
      <c r="O831" s="41">
        <f>B$818</f>
        <v>0.51168235651289828</v>
      </c>
      <c r="P831" s="41">
        <f>C$818</f>
        <v>0.41555716397615095</v>
      </c>
      <c r="Q831" s="41">
        <f>D$818</f>
        <v>7.2760479510950826E-2</v>
      </c>
      <c r="S831" s="41">
        <f>B$819</f>
        <v>0.51168235651289828</v>
      </c>
      <c r="T831" s="41">
        <f>C$819</f>
        <v>0.41555716397615095</v>
      </c>
      <c r="U831" s="41">
        <f>D$819</f>
        <v>7.2760479510950826E-2</v>
      </c>
      <c r="W831" s="41">
        <f>B$820</f>
        <v>0.7697757813825864</v>
      </c>
      <c r="X831" s="41">
        <f>C$820</f>
        <v>0.1962712651998153</v>
      </c>
      <c r="Y831" s="41">
        <f>D$820</f>
        <v>3.395295341759829E-2</v>
      </c>
      <c r="AA831" s="41">
        <f>B$821</f>
        <v>0.51168235651289828</v>
      </c>
      <c r="AB831" s="41">
        <f>C$821</f>
        <v>0.41555716397615095</v>
      </c>
      <c r="AC831" s="41">
        <f>D$821</f>
        <v>7.2760479510950826E-2</v>
      </c>
      <c r="AE831" s="41">
        <f>B$822</f>
        <v>0.51168235651289828</v>
      </c>
      <c r="AF831" s="41">
        <f>C$822</f>
        <v>0.41555716397615095</v>
      </c>
      <c r="AG831" s="41">
        <f>D$822</f>
        <v>7.2760479510950826E-2</v>
      </c>
      <c r="AI831" s="41">
        <f>B$823</f>
        <v>0.51168235651289828</v>
      </c>
      <c r="AJ831" s="41">
        <f>C$823</f>
        <v>0.41555716397615095</v>
      </c>
      <c r="AK831" s="41">
        <f>D$823</f>
        <v>7.2760479510950826E-2</v>
      </c>
      <c r="AL831" s="17"/>
    </row>
    <row r="833" spans="1:38" ht="21" customHeight="1" x14ac:dyDescent="0.3">
      <c r="A833" s="1" t="s">
        <v>807</v>
      </c>
    </row>
    <row r="834" spans="1:38" x14ac:dyDescent="0.25">
      <c r="A834" s="2" t="s">
        <v>381</v>
      </c>
    </row>
    <row r="835" spans="1:38" x14ac:dyDescent="0.25">
      <c r="A835" s="32" t="s">
        <v>808</v>
      </c>
    </row>
    <row r="836" spans="1:38" x14ac:dyDescent="0.25">
      <c r="A836" s="32" t="s">
        <v>809</v>
      </c>
    </row>
    <row r="837" spans="1:38" x14ac:dyDescent="0.25">
      <c r="A837" s="32" t="s">
        <v>810</v>
      </c>
    </row>
    <row r="838" spans="1:38" x14ac:dyDescent="0.25">
      <c r="A838" s="32" t="s">
        <v>586</v>
      </c>
    </row>
    <row r="839" spans="1:38" x14ac:dyDescent="0.25">
      <c r="A839" s="2" t="s">
        <v>664</v>
      </c>
    </row>
    <row r="841" spans="1:38" x14ac:dyDescent="0.25">
      <c r="B841" s="28" t="s">
        <v>150</v>
      </c>
      <c r="C841" s="15" t="s">
        <v>353</v>
      </c>
      <c r="D841" s="15" t="s">
        <v>354</v>
      </c>
      <c r="E841" s="15" t="s">
        <v>350</v>
      </c>
      <c r="F841" s="28" t="s">
        <v>151</v>
      </c>
      <c r="G841" s="15" t="s">
        <v>353</v>
      </c>
      <c r="H841" s="15" t="s">
        <v>354</v>
      </c>
      <c r="I841" s="15" t="s">
        <v>350</v>
      </c>
      <c r="J841" s="28" t="s">
        <v>152</v>
      </c>
      <c r="K841" s="15" t="s">
        <v>353</v>
      </c>
      <c r="L841" s="15" t="s">
        <v>354</v>
      </c>
      <c r="M841" s="15" t="s">
        <v>350</v>
      </c>
      <c r="N841" s="28" t="s">
        <v>153</v>
      </c>
      <c r="O841" s="15" t="s">
        <v>353</v>
      </c>
      <c r="P841" s="15" t="s">
        <v>354</v>
      </c>
      <c r="Q841" s="15" t="s">
        <v>350</v>
      </c>
      <c r="R841" s="28" t="s">
        <v>154</v>
      </c>
      <c r="S841" s="15" t="s">
        <v>353</v>
      </c>
      <c r="T841" s="15" t="s">
        <v>354</v>
      </c>
      <c r="U841" s="15" t="s">
        <v>350</v>
      </c>
      <c r="V841" s="28" t="s">
        <v>159</v>
      </c>
      <c r="W841" s="15" t="s">
        <v>353</v>
      </c>
      <c r="X841" s="15" t="s">
        <v>354</v>
      </c>
      <c r="Y841" s="15" t="s">
        <v>350</v>
      </c>
      <c r="Z841" s="28" t="s">
        <v>155</v>
      </c>
      <c r="AA841" s="15" t="s">
        <v>353</v>
      </c>
      <c r="AB841" s="15" t="s">
        <v>354</v>
      </c>
      <c r="AC841" s="15" t="s">
        <v>350</v>
      </c>
      <c r="AD841" s="28" t="s">
        <v>156</v>
      </c>
      <c r="AE841" s="15" t="s">
        <v>353</v>
      </c>
      <c r="AF841" s="15" t="s">
        <v>354</v>
      </c>
      <c r="AG841" s="15" t="s">
        <v>350</v>
      </c>
      <c r="AH841" s="28" t="s">
        <v>157</v>
      </c>
      <c r="AI841" s="15" t="s">
        <v>353</v>
      </c>
      <c r="AJ841" s="15" t="s">
        <v>354</v>
      </c>
      <c r="AK841" s="15" t="s">
        <v>350</v>
      </c>
    </row>
    <row r="842" spans="1:38" ht="30" x14ac:dyDescent="0.25">
      <c r="A842" s="4" t="s">
        <v>811</v>
      </c>
      <c r="C842" s="37">
        <f>IF(C679&gt;0,$B782*C831*24*Input!$F60/C679,0)</f>
        <v>53.570040095002149</v>
      </c>
      <c r="D842" s="37">
        <f>IF(D679&gt;0,$B782*D831*24*Input!$F60/D679,0)</f>
        <v>0.395098016968147</v>
      </c>
      <c r="E842" s="37">
        <f>IF(E679&gt;0,$B782*E831*24*Input!$F60/E679,0)</f>
        <v>0</v>
      </c>
      <c r="G842" s="37">
        <f>IF(C679&gt;0,$B782*G831*24*Input!$F60/C679,0)</f>
        <v>48.896366806794866</v>
      </c>
      <c r="H842" s="37">
        <f>IF(D679&gt;0,$B782*H831*24*Input!$F60/D679,0)</f>
        <v>0.49504049713278453</v>
      </c>
      <c r="I842" s="37">
        <f>IF(E679&gt;0,$B782*I831*24*Input!$F60/E679,0)</f>
        <v>6.8238660644728139E-2</v>
      </c>
      <c r="K842" s="37">
        <f>IF(C679&gt;0,$B782*K831*24*Input!$F60/C679,0)</f>
        <v>48.896366806794866</v>
      </c>
      <c r="L842" s="37">
        <f>IF(D679&gt;0,$B782*L831*24*Input!$F60/D679,0)</f>
        <v>0.49504049713278453</v>
      </c>
      <c r="M842" s="37">
        <f>IF(E679&gt;0,$B782*M831*24*Input!$F60/E679,0)</f>
        <v>6.8238660644728139E-2</v>
      </c>
      <c r="O842" s="37">
        <f>IF(C679&gt;0,$B782*O831*24*Input!$F60/C679,0)</f>
        <v>32.502202326608341</v>
      </c>
      <c r="P842" s="37">
        <f>IF(D679&gt;0,$B782*P831*24*Input!$F60/D679,0)</f>
        <v>1.0481291025072448</v>
      </c>
      <c r="Q842" s="37">
        <f>IF(E679&gt;0,$B782*Q831*24*Input!$F60/E679,0)</f>
        <v>0.14623404357872441</v>
      </c>
      <c r="S842" s="37">
        <f>IF(C679&gt;0,$B782*S831*24*Input!$F60/C679,0)</f>
        <v>32.502202326608341</v>
      </c>
      <c r="T842" s="37">
        <f>IF(D679&gt;0,$B782*T831*24*Input!$F60/D679,0)</f>
        <v>1.0481291025072448</v>
      </c>
      <c r="U842" s="37">
        <f>IF(E679&gt;0,$B782*U831*24*Input!$F60/E679,0)</f>
        <v>0.14623404357872441</v>
      </c>
      <c r="W842" s="37">
        <f>IF(C679&gt;0,$B782*W831*24*Input!$F60/C679,0)</f>
        <v>48.896366806794866</v>
      </c>
      <c r="X842" s="37">
        <f>IF(D679&gt;0,$B782*X831*24*Input!$F60/D679,0)</f>
        <v>0.49504049713278453</v>
      </c>
      <c r="Y842" s="37">
        <f>IF(E679&gt;0,$B782*Y831*24*Input!$F60/E679,0)</f>
        <v>6.8238660644728139E-2</v>
      </c>
      <c r="AA842" s="37">
        <f>IF(C679&gt;0,$B782*AA831*24*Input!$F60/C679,0)</f>
        <v>32.502202326608341</v>
      </c>
      <c r="AB842" s="37">
        <f>IF(D679&gt;0,$B782*AB831*24*Input!$F60/D679,0)</f>
        <v>1.0481291025072448</v>
      </c>
      <c r="AC842" s="37">
        <f>IF(E679&gt;0,$B782*AC831*24*Input!$F60/E679,0)</f>
        <v>0.14623404357872441</v>
      </c>
      <c r="AE842" s="37">
        <f>IF(C679&gt;0,$B782*AE831*24*Input!$F60/C679,0)</f>
        <v>32.502202326608341</v>
      </c>
      <c r="AF842" s="37">
        <f>IF(D679&gt;0,$B782*AF831*24*Input!$F60/D679,0)</f>
        <v>1.0481291025072448</v>
      </c>
      <c r="AG842" s="37">
        <f>IF(E679&gt;0,$B782*AG831*24*Input!$F60/E679,0)</f>
        <v>0.14623404357872441</v>
      </c>
      <c r="AI842" s="37">
        <f>IF(C679&gt;0,$B782*AI831*24*Input!$F60/C679,0)</f>
        <v>32.502202326608341</v>
      </c>
      <c r="AJ842" s="37">
        <f>IF(D679&gt;0,$B782*AJ831*24*Input!$F60/D679,0)</f>
        <v>1.0481291025072448</v>
      </c>
      <c r="AK842" s="37">
        <f>IF(E679&gt;0,$B782*AK831*24*Input!$F60/E679,0)</f>
        <v>0.14623404357872441</v>
      </c>
      <c r="AL842" s="17"/>
    </row>
    <row r="844" spans="1:38" ht="21" customHeight="1" x14ac:dyDescent="0.3">
      <c r="A844" s="1" t="s">
        <v>812</v>
      </c>
    </row>
    <row r="845" spans="1:38" x14ac:dyDescent="0.25">
      <c r="A845" s="2" t="s">
        <v>381</v>
      </c>
    </row>
    <row r="846" spans="1:38" x14ac:dyDescent="0.25">
      <c r="A846" s="32" t="s">
        <v>813</v>
      </c>
    </row>
    <row r="847" spans="1:38" x14ac:dyDescent="0.25">
      <c r="A847" s="32" t="s">
        <v>814</v>
      </c>
    </row>
    <row r="848" spans="1:38" x14ac:dyDescent="0.25">
      <c r="A848" s="2" t="s">
        <v>394</v>
      </c>
    </row>
    <row r="850" spans="1:11" x14ac:dyDescent="0.25">
      <c r="B850" s="15" t="s">
        <v>150</v>
      </c>
      <c r="C850" s="15" t="s">
        <v>151</v>
      </c>
      <c r="D850" s="15" t="s">
        <v>152</v>
      </c>
      <c r="E850" s="15" t="s">
        <v>153</v>
      </c>
      <c r="F850" s="15" t="s">
        <v>154</v>
      </c>
      <c r="G850" s="15" t="s">
        <v>159</v>
      </c>
      <c r="H850" s="15" t="s">
        <v>155</v>
      </c>
      <c r="I850" s="15" t="s">
        <v>156</v>
      </c>
      <c r="J850" s="15" t="s">
        <v>157</v>
      </c>
    </row>
    <row r="851" spans="1:11" x14ac:dyDescent="0.25">
      <c r="A851" s="4" t="s">
        <v>230</v>
      </c>
      <c r="B851" s="37">
        <f>SUMPRODUCT($C$842:$E$842,$B704:$D704)</f>
        <v>1.0967066696343537</v>
      </c>
      <c r="C851" s="37">
        <f>SUMPRODUCT($G$842:$I$842,$B704:$D704)</f>
        <v>1.0969115428793781</v>
      </c>
      <c r="D851" s="37">
        <f>SUMPRODUCT($K$842:$M$842,$B704:$D704)</f>
        <v>1.0969115428793781</v>
      </c>
      <c r="E851" s="37">
        <f>SUMPRODUCT($O$842:$Q$842,$B704:$D704)</f>
        <v>1.0975526432432272</v>
      </c>
      <c r="F851" s="37">
        <f>SUMPRODUCT($S$842:$U$842,$B704:$D704)</f>
        <v>1.0975526432432272</v>
      </c>
      <c r="G851" s="37">
        <f>SUMPRODUCT($W$842:$Y$842,$B704:$D704)</f>
        <v>1.0969115428793781</v>
      </c>
      <c r="H851" s="37">
        <f>SUMPRODUCT($AA$842:$AC$842,$B704:$D704)</f>
        <v>1.0975526432432272</v>
      </c>
      <c r="I851" s="37">
        <f>SUMPRODUCT($AE$842:$AG$842,$B704:$D704)</f>
        <v>1.0975526432432272</v>
      </c>
      <c r="J851" s="37">
        <f>SUMPRODUCT($AI$842:$AK$842,$B704:$D704)</f>
        <v>1.0975526432432272</v>
      </c>
      <c r="K851" s="17"/>
    </row>
    <row r="852" spans="1:11" x14ac:dyDescent="0.25">
      <c r="A852" s="4" t="s">
        <v>231</v>
      </c>
      <c r="B852" s="37">
        <f>SUMPRODUCT($C$842:$E$842,$B705:$D705)</f>
        <v>1.8160921277169988</v>
      </c>
      <c r="C852" s="37">
        <f>SUMPRODUCT($G$842:$I$842,$B705:$D705)</f>
        <v>1.7336924932559428</v>
      </c>
      <c r="D852" s="37">
        <f>SUMPRODUCT($K$842:$M$842,$B705:$D705)</f>
        <v>1.7336924932559428</v>
      </c>
      <c r="E852" s="37">
        <f>SUMPRODUCT($O$842:$Q$842,$B705:$D705)</f>
        <v>1.3437944266970141</v>
      </c>
      <c r="F852" s="37">
        <f>SUMPRODUCT($S$842:$U$842,$B705:$D705)</f>
        <v>1.3437944266970141</v>
      </c>
      <c r="G852" s="37">
        <f>SUMPRODUCT($W$842:$Y$842,$B705:$D705)</f>
        <v>1.7336924932559428</v>
      </c>
      <c r="H852" s="37">
        <f>SUMPRODUCT($AA$842:$AC$842,$B705:$D705)</f>
        <v>1.3437944266970141</v>
      </c>
      <c r="I852" s="37">
        <f>SUMPRODUCT($AE$842:$AG$842,$B705:$D705)</f>
        <v>1.3437944266970141</v>
      </c>
      <c r="J852" s="37">
        <f>SUMPRODUCT($AI$842:$AK$842,$B705:$D705)</f>
        <v>1.3437944266970141</v>
      </c>
      <c r="K852" s="17"/>
    </row>
    <row r="853" spans="1:11" x14ac:dyDescent="0.25">
      <c r="A853" s="4" t="s">
        <v>232</v>
      </c>
      <c r="B853" s="37">
        <f>SUMPRODUCT($C$842:$E$842,$B706:$D706)</f>
        <v>3.2442469640281235</v>
      </c>
      <c r="C853" s="37">
        <f>SUMPRODUCT($G$842:$I$842,$B706:$D706)</f>
        <v>3.0423748604764347</v>
      </c>
      <c r="D853" s="37">
        <f>SUMPRODUCT($K$842:$M$842,$B706:$D706)</f>
        <v>3.0423748604764347</v>
      </c>
      <c r="E853" s="37">
        <f>SUMPRODUCT($O$842:$Q$842,$B706:$D706)</f>
        <v>2.2754742999354645</v>
      </c>
      <c r="F853" s="37">
        <f>SUMPRODUCT($S$842:$U$842,$B706:$D706)</f>
        <v>2.2754742999354645</v>
      </c>
      <c r="G853" s="37">
        <f>SUMPRODUCT($W$842:$Y$842,$B706:$D706)</f>
        <v>3.0423748604764347</v>
      </c>
      <c r="H853" s="37">
        <f>SUMPRODUCT($AA$842:$AC$842,$B706:$D706)</f>
        <v>2.2754742999354645</v>
      </c>
      <c r="I853" s="37">
        <f>SUMPRODUCT($AE$842:$AG$842,$B706:$D706)</f>
        <v>2.2754742999354645</v>
      </c>
      <c r="J853" s="37">
        <f>SUMPRODUCT($AI$842:$AK$842,$B706:$D706)</f>
        <v>2.2754742999354645</v>
      </c>
      <c r="K853" s="17"/>
    </row>
    <row r="854" spans="1:11" x14ac:dyDescent="0.25">
      <c r="A854" s="4" t="s">
        <v>233</v>
      </c>
      <c r="B854" s="37">
        <f>SUMPRODUCT($C$842:$E$842,$B707:$D707)</f>
        <v>0.40760877633892245</v>
      </c>
      <c r="C854" s="37">
        <f>SUMPRODUCT($G$842:$I$842,$B707:$D707)</f>
        <v>0.4864122828084409</v>
      </c>
      <c r="D854" s="37">
        <f>SUMPRODUCT($K$842:$M$842,$B707:$D707)</f>
        <v>0.4864122828084409</v>
      </c>
      <c r="E854" s="37">
        <f>SUMPRODUCT($O$842:$Q$842,$B707:$D707)</f>
        <v>0.85642535279835474</v>
      </c>
      <c r="F854" s="37">
        <f>SUMPRODUCT($S$842:$U$842,$B707:$D707)</f>
        <v>0.85642535279835474</v>
      </c>
      <c r="G854" s="37">
        <f>SUMPRODUCT($W$842:$Y$842,$B707:$D707)</f>
        <v>0.4864122828084409</v>
      </c>
      <c r="H854" s="37">
        <f>SUMPRODUCT($AA$842:$AC$842,$B707:$D707)</f>
        <v>0.85642535279835474</v>
      </c>
      <c r="I854" s="37">
        <f>SUMPRODUCT($AE$842:$AG$842,$B707:$D707)</f>
        <v>0.85642535279835474</v>
      </c>
      <c r="J854" s="37">
        <f>SUMPRODUCT($AI$842:$AK$842,$B707:$D707)</f>
        <v>0.85642535279835474</v>
      </c>
      <c r="K854" s="17"/>
    </row>
    <row r="855" spans="1:11" x14ac:dyDescent="0.25">
      <c r="A855" s="4" t="s">
        <v>234</v>
      </c>
      <c r="B855" s="37">
        <f>SUMPRODUCT($C$842:$E$842,$B708:$D708)</f>
        <v>53.570040095002149</v>
      </c>
      <c r="C855" s="37">
        <f>SUMPRODUCT($G$842:$I$842,$B708:$D708)</f>
        <v>48.896366806794866</v>
      </c>
      <c r="D855" s="37">
        <f>SUMPRODUCT($K$842:$M$842,$B708:$D708)</f>
        <v>48.896366806794866</v>
      </c>
      <c r="E855" s="37">
        <f>SUMPRODUCT($O$842:$Q$842,$B708:$D708)</f>
        <v>32.502202326608341</v>
      </c>
      <c r="F855" s="37">
        <f>SUMPRODUCT($S$842:$U$842,$B708:$D708)</f>
        <v>32.502202326608341</v>
      </c>
      <c r="G855" s="37">
        <f>SUMPRODUCT($W$842:$Y$842,$B708:$D708)</f>
        <v>48.896366806794866</v>
      </c>
      <c r="H855" s="37">
        <f>SUMPRODUCT($AA$842:$AC$842,$B708:$D708)</f>
        <v>32.502202326608341</v>
      </c>
      <c r="I855" s="37">
        <f>SUMPRODUCT($AE$842:$AG$842,$B708:$D708)</f>
        <v>32.502202326608341</v>
      </c>
      <c r="J855" s="37">
        <f>SUMPRODUCT($AI$842:$AK$842,$B708:$D708)</f>
        <v>32.502202326608341</v>
      </c>
      <c r="K855" s="17"/>
    </row>
    <row r="857" spans="1:11" ht="21" customHeight="1" x14ac:dyDescent="0.3">
      <c r="A857" s="1" t="s">
        <v>815</v>
      </c>
    </row>
    <row r="858" spans="1:11" x14ac:dyDescent="0.25">
      <c r="A858" s="2" t="s">
        <v>381</v>
      </c>
    </row>
    <row r="859" spans="1:11" x14ac:dyDescent="0.25">
      <c r="A859" s="32" t="s">
        <v>813</v>
      </c>
    </row>
    <row r="860" spans="1:11" x14ac:dyDescent="0.25">
      <c r="A860" s="32" t="s">
        <v>816</v>
      </c>
    </row>
    <row r="861" spans="1:11" x14ac:dyDescent="0.25">
      <c r="A861" s="2" t="s">
        <v>394</v>
      </c>
    </row>
    <row r="863" spans="1:11" x14ac:dyDescent="0.25">
      <c r="B863" s="15" t="s">
        <v>150</v>
      </c>
      <c r="C863" s="15" t="s">
        <v>151</v>
      </c>
      <c r="D863" s="15" t="s">
        <v>152</v>
      </c>
      <c r="E863" s="15" t="s">
        <v>153</v>
      </c>
      <c r="F863" s="15" t="s">
        <v>154</v>
      </c>
      <c r="G863" s="15" t="s">
        <v>159</v>
      </c>
      <c r="H863" s="15" t="s">
        <v>155</v>
      </c>
      <c r="I863" s="15" t="s">
        <v>156</v>
      </c>
      <c r="J863" s="15" t="s">
        <v>157</v>
      </c>
    </row>
    <row r="864" spans="1:11" x14ac:dyDescent="0.25">
      <c r="A864" s="4" t="s">
        <v>234</v>
      </c>
      <c r="B864" s="37">
        <f>SUMPRODUCT($C$842:$E$842,$B713:$D713)</f>
        <v>0.395098016968147</v>
      </c>
      <c r="C864" s="37">
        <f>SUMPRODUCT($G$842:$I$842,$B713:$D713)</f>
        <v>0.49504049713278453</v>
      </c>
      <c r="D864" s="37">
        <f>SUMPRODUCT($K$842:$M$842,$B713:$D713)</f>
        <v>0.49504049713278453</v>
      </c>
      <c r="E864" s="37">
        <f>SUMPRODUCT($O$842:$Q$842,$B713:$D713)</f>
        <v>1.0481291025072448</v>
      </c>
      <c r="F864" s="37">
        <f>SUMPRODUCT($S$842:$U$842,$B713:$D713)</f>
        <v>1.0481291025072448</v>
      </c>
      <c r="G864" s="37">
        <f>SUMPRODUCT($W$842:$Y$842,$B713:$D713)</f>
        <v>0.49504049713278453</v>
      </c>
      <c r="H864" s="37">
        <f>SUMPRODUCT($AA$842:$AC$842,$B713:$D713)</f>
        <v>1.0481291025072448</v>
      </c>
      <c r="I864" s="37">
        <f>SUMPRODUCT($AE$842:$AG$842,$B713:$D713)</f>
        <v>1.0481291025072448</v>
      </c>
      <c r="J864" s="37">
        <f>SUMPRODUCT($AI$842:$AK$842,$B713:$D713)</f>
        <v>1.0481291025072448</v>
      </c>
      <c r="K864" s="17"/>
    </row>
    <row r="866" spans="1:11" ht="21" customHeight="1" x14ac:dyDescent="0.3">
      <c r="A866" s="1" t="s">
        <v>817</v>
      </c>
    </row>
    <row r="867" spans="1:11" x14ac:dyDescent="0.25">
      <c r="A867" s="2" t="s">
        <v>381</v>
      </c>
    </row>
    <row r="868" spans="1:11" x14ac:dyDescent="0.25">
      <c r="A868" s="32" t="s">
        <v>813</v>
      </c>
    </row>
    <row r="869" spans="1:11" x14ac:dyDescent="0.25">
      <c r="A869" s="32" t="s">
        <v>818</v>
      </c>
    </row>
    <row r="870" spans="1:11" x14ac:dyDescent="0.25">
      <c r="A870" s="2" t="s">
        <v>394</v>
      </c>
    </row>
    <row r="872" spans="1:11" x14ac:dyDescent="0.25">
      <c r="B872" s="15" t="s">
        <v>150</v>
      </c>
      <c r="C872" s="15" t="s">
        <v>151</v>
      </c>
      <c r="D872" s="15" t="s">
        <v>152</v>
      </c>
      <c r="E872" s="15" t="s">
        <v>153</v>
      </c>
      <c r="F872" s="15" t="s">
        <v>154</v>
      </c>
      <c r="G872" s="15" t="s">
        <v>159</v>
      </c>
      <c r="H872" s="15" t="s">
        <v>155</v>
      </c>
      <c r="I872" s="15" t="s">
        <v>156</v>
      </c>
      <c r="J872" s="15" t="s">
        <v>157</v>
      </c>
    </row>
    <row r="873" spans="1:11" x14ac:dyDescent="0.25">
      <c r="A873" s="4" t="s">
        <v>234</v>
      </c>
      <c r="B873" s="37">
        <f>SUMPRODUCT($C$842:$E$842,$B718:$D718)</f>
        <v>0</v>
      </c>
      <c r="C873" s="37">
        <f>SUMPRODUCT($G$842:$I$842,$B718:$D718)</f>
        <v>6.8238660644728139E-2</v>
      </c>
      <c r="D873" s="37">
        <f>SUMPRODUCT($K$842:$M$842,$B718:$D718)</f>
        <v>6.8238660644728139E-2</v>
      </c>
      <c r="E873" s="37">
        <f>SUMPRODUCT($O$842:$Q$842,$B718:$D718)</f>
        <v>0.14623404357872441</v>
      </c>
      <c r="F873" s="37">
        <f>SUMPRODUCT($S$842:$U$842,$B718:$D718)</f>
        <v>0.14623404357872441</v>
      </c>
      <c r="G873" s="37">
        <f>SUMPRODUCT($W$842:$Y$842,$B718:$D718)</f>
        <v>6.8238660644728139E-2</v>
      </c>
      <c r="H873" s="37">
        <f>SUMPRODUCT($AA$842:$AC$842,$B718:$D718)</f>
        <v>0.14623404357872441</v>
      </c>
      <c r="I873" s="37">
        <f>SUMPRODUCT($AE$842:$AG$842,$B718:$D718)</f>
        <v>0.14623404357872441</v>
      </c>
      <c r="J873" s="37">
        <f>SUMPRODUCT($AI$842:$AK$842,$B718:$D718)</f>
        <v>0.14623404357872441</v>
      </c>
      <c r="K873" s="17"/>
    </row>
    <row r="875" spans="1:11" ht="21" customHeight="1" x14ac:dyDescent="0.3">
      <c r="A875" s="1" t="s">
        <v>819</v>
      </c>
    </row>
    <row r="876" spans="1:11" x14ac:dyDescent="0.25">
      <c r="A876" s="2" t="s">
        <v>381</v>
      </c>
    </row>
    <row r="877" spans="1:11" x14ac:dyDescent="0.25">
      <c r="A877" s="32" t="s">
        <v>820</v>
      </c>
    </row>
    <row r="878" spans="1:11" x14ac:dyDescent="0.25">
      <c r="A878" s="32" t="s">
        <v>821</v>
      </c>
    </row>
    <row r="879" spans="1:11" x14ac:dyDescent="0.25">
      <c r="A879" s="2" t="s">
        <v>399</v>
      </c>
    </row>
    <row r="881" spans="1:11" x14ac:dyDescent="0.25">
      <c r="B881" s="15" t="s">
        <v>150</v>
      </c>
      <c r="C881" s="15" t="s">
        <v>151</v>
      </c>
      <c r="D881" s="15" t="s">
        <v>152</v>
      </c>
      <c r="E881" s="15" t="s">
        <v>153</v>
      </c>
      <c r="F881" s="15" t="s">
        <v>154</v>
      </c>
      <c r="G881" s="15" t="s">
        <v>159</v>
      </c>
      <c r="H881" s="15" t="s">
        <v>155</v>
      </c>
      <c r="I881" s="15" t="s">
        <v>156</v>
      </c>
      <c r="J881" s="15" t="s">
        <v>157</v>
      </c>
    </row>
    <row r="882" spans="1:11" x14ac:dyDescent="0.25">
      <c r="A882" s="4" t="s">
        <v>182</v>
      </c>
      <c r="B882" s="38">
        <f>$B$605</f>
        <v>2.2032048896968019</v>
      </c>
      <c r="C882" s="38">
        <f>$C$605</f>
        <v>2.1338112271107268</v>
      </c>
      <c r="D882" s="38">
        <f>$D$605</f>
        <v>2.1338112271107268</v>
      </c>
      <c r="E882" s="38">
        <f>$E$605</f>
        <v>1.9947992551020823</v>
      </c>
      <c r="F882" s="38">
        <f>$F$605</f>
        <v>1.9947992551020823</v>
      </c>
      <c r="G882" s="38">
        <f>$G$605</f>
        <v>2.1338112271107268</v>
      </c>
      <c r="H882" s="38">
        <f>$H$605</f>
        <v>1.9947992551020823</v>
      </c>
      <c r="I882" s="38">
        <f>$I$605</f>
        <v>1.9947992551020823</v>
      </c>
      <c r="J882" s="38">
        <f>$J$605</f>
        <v>1.9947992551020823</v>
      </c>
      <c r="K882" s="17"/>
    </row>
    <row r="883" spans="1:11" x14ac:dyDescent="0.25">
      <c r="A883" s="4" t="s">
        <v>183</v>
      </c>
      <c r="B883" s="38">
        <f>$B$606</f>
        <v>2.65122404873365</v>
      </c>
      <c r="C883" s="38">
        <f>$C$606</f>
        <v>2.5445669528820245</v>
      </c>
      <c r="D883" s="38">
        <f>$D$606</f>
        <v>2.5445669528820245</v>
      </c>
      <c r="E883" s="38">
        <f>$E$606</f>
        <v>2.3419923307677122</v>
      </c>
      <c r="F883" s="38">
        <f>$F$606</f>
        <v>2.3419923307677122</v>
      </c>
      <c r="G883" s="38">
        <f>$G$606</f>
        <v>2.5445669528820245</v>
      </c>
      <c r="H883" s="38">
        <f>$H$606</f>
        <v>2.3419923307677122</v>
      </c>
      <c r="I883" s="38">
        <f>$I$606</f>
        <v>2.3419923307677122</v>
      </c>
      <c r="J883" s="38">
        <f>$J$606</f>
        <v>2.3419923307677122</v>
      </c>
      <c r="K883" s="17"/>
    </row>
    <row r="884" spans="1:11" x14ac:dyDescent="0.25">
      <c r="A884" s="4" t="s">
        <v>228</v>
      </c>
      <c r="B884" s="38">
        <f>$B$607</f>
        <v>2.2560175186802492E-2</v>
      </c>
      <c r="C884" s="38">
        <f>$C$607</f>
        <v>9.6829061047196824E-2</v>
      </c>
      <c r="D884" s="38">
        <f>$D$607</f>
        <v>9.6829061047196824E-2</v>
      </c>
      <c r="E884" s="38">
        <f>$E$607</f>
        <v>0.2144811217654187</v>
      </c>
      <c r="F884" s="38">
        <f>$F$607</f>
        <v>0.2144811217654187</v>
      </c>
      <c r="G884" s="38">
        <f>$G$607</f>
        <v>9.6829061047196824E-2</v>
      </c>
      <c r="H884" s="38">
        <f>$H$607</f>
        <v>0.2144811217654187</v>
      </c>
      <c r="I884" s="38">
        <f>$I$607</f>
        <v>0.2144811217654187</v>
      </c>
      <c r="J884" s="38">
        <f>$J$607</f>
        <v>0.2144811217654187</v>
      </c>
      <c r="K884" s="17"/>
    </row>
    <row r="885" spans="1:11" x14ac:dyDescent="0.25">
      <c r="A885" s="4" t="s">
        <v>184</v>
      </c>
      <c r="B885" s="38">
        <f>$B$608</f>
        <v>1.6655093400569618</v>
      </c>
      <c r="C885" s="38">
        <f>$C$608</f>
        <v>1.6928124131737325</v>
      </c>
      <c r="D885" s="38">
        <f>$D$608</f>
        <v>1.6928124131737325</v>
      </c>
      <c r="E885" s="38">
        <f>$E$608</f>
        <v>1.8019628211005729</v>
      </c>
      <c r="F885" s="38">
        <f>$F$608</f>
        <v>1.8019628211005729</v>
      </c>
      <c r="G885" s="38">
        <f>$G$608</f>
        <v>1.6928124131737325</v>
      </c>
      <c r="H885" s="38">
        <f>$H$608</f>
        <v>1.8019628211005729</v>
      </c>
      <c r="I885" s="38">
        <f>$I$608</f>
        <v>1.8019628211005729</v>
      </c>
      <c r="J885" s="38">
        <f>$J$608</f>
        <v>1.8019628211005729</v>
      </c>
      <c r="K885" s="17"/>
    </row>
    <row r="886" spans="1:11" x14ac:dyDescent="0.25">
      <c r="A886" s="4" t="s">
        <v>185</v>
      </c>
      <c r="B886" s="38">
        <f>$B$609</f>
        <v>2.001149124793359</v>
      </c>
      <c r="C886" s="38">
        <f>$C$609</f>
        <v>1.9837670660793199</v>
      </c>
      <c r="D886" s="38">
        <f>$D$609</f>
        <v>1.9837670660793199</v>
      </c>
      <c r="E886" s="38">
        <f>$E$609</f>
        <v>2.0041964426305428</v>
      </c>
      <c r="F886" s="38">
        <f>$F$609</f>
        <v>2.0041964426305428</v>
      </c>
      <c r="G886" s="38">
        <f>$G$609</f>
        <v>1.9837670660793199</v>
      </c>
      <c r="H886" s="38">
        <f>$H$609</f>
        <v>2.0041964426305428</v>
      </c>
      <c r="I886" s="38">
        <f>$I$609</f>
        <v>2.0041964426305428</v>
      </c>
      <c r="J886" s="38">
        <f>$J$609</f>
        <v>2.0041964426305428</v>
      </c>
      <c r="K886" s="17"/>
    </row>
    <row r="887" spans="1:11" x14ac:dyDescent="0.25">
      <c r="A887" s="4" t="s">
        <v>229</v>
      </c>
      <c r="B887" s="38">
        <f>$B$610</f>
        <v>3.5872005603403929E-2</v>
      </c>
      <c r="C887" s="38">
        <f>$C$610</f>
        <v>0.1089507941901342</v>
      </c>
      <c r="D887" s="38">
        <f>$D$610</f>
        <v>0.1089507941901342</v>
      </c>
      <c r="E887" s="38">
        <f>$E$610</f>
        <v>0.22645091956536201</v>
      </c>
      <c r="F887" s="38">
        <f>$F$610</f>
        <v>0.22645091956536201</v>
      </c>
      <c r="G887" s="38">
        <f>$G$610</f>
        <v>0.1089507941901342</v>
      </c>
      <c r="H887" s="38">
        <f>$H$610</f>
        <v>0.22645091956536201</v>
      </c>
      <c r="I887" s="38">
        <f>$I$610</f>
        <v>0.22645091956536201</v>
      </c>
      <c r="J887" s="38">
        <f>$J$610</f>
        <v>0.22645091956536201</v>
      </c>
      <c r="K887" s="17"/>
    </row>
    <row r="888" spans="1:11" x14ac:dyDescent="0.25">
      <c r="A888" s="4" t="s">
        <v>186</v>
      </c>
      <c r="B888" s="38">
        <f>$B$611</f>
        <v>1.8105140931773773</v>
      </c>
      <c r="C888" s="38">
        <f>$C$611</f>
        <v>1.7918227548719134</v>
      </c>
      <c r="D888" s="38">
        <f>$D$611</f>
        <v>1.7918227548719134</v>
      </c>
      <c r="E888" s="38">
        <f>$E$611</f>
        <v>1.8016321408754834</v>
      </c>
      <c r="F888" s="38">
        <f>$F$611</f>
        <v>1.8016321408754834</v>
      </c>
      <c r="G888" s="38">
        <f>$G$611</f>
        <v>1.7918227548719134</v>
      </c>
      <c r="H888" s="38">
        <f>$H$611</f>
        <v>1.8016321408754834</v>
      </c>
      <c r="I888" s="38">
        <f>$I$611</f>
        <v>1.8016321408754834</v>
      </c>
      <c r="J888" s="38">
        <f>$J$611</f>
        <v>1.8016321408754834</v>
      </c>
      <c r="K888" s="17"/>
    </row>
    <row r="889" spans="1:11" x14ac:dyDescent="0.25">
      <c r="A889" s="4" t="s">
        <v>187</v>
      </c>
      <c r="B889" s="38">
        <f>$B$612</f>
        <v>1.7618420822732581</v>
      </c>
      <c r="C889" s="38">
        <f>$C$612</f>
        <v>1.7448126569410769</v>
      </c>
      <c r="D889" s="38">
        <f>$D$612</f>
        <v>1.7448126569410769</v>
      </c>
      <c r="E889" s="38">
        <f>$E$612</f>
        <v>1.7570152847979648</v>
      </c>
      <c r="F889" s="38">
        <f>$F$612</f>
        <v>1.7570152847979648</v>
      </c>
      <c r="G889" s="38">
        <f>$G$612</f>
        <v>1.7448126569410769</v>
      </c>
      <c r="H889" s="38">
        <f>$H$612</f>
        <v>1.7570152847979648</v>
      </c>
      <c r="I889" s="38">
        <f>$I$612</f>
        <v>1.7570152847979648</v>
      </c>
      <c r="J889" s="38">
        <f>$J$612</f>
        <v>1.7570152847979648</v>
      </c>
      <c r="K889" s="17"/>
    </row>
    <row r="890" spans="1:11" x14ac:dyDescent="0.25">
      <c r="A890" s="4" t="s">
        <v>207</v>
      </c>
      <c r="B890" s="38">
        <f>$B$613</f>
        <v>2.0261736090021305</v>
      </c>
      <c r="C890" s="38">
        <f>$C$613</f>
        <v>2.0179795471332955</v>
      </c>
      <c r="D890" s="38">
        <f>$D$613</f>
        <v>2.0179795471332955</v>
      </c>
      <c r="E890" s="38">
        <f>$E$613</f>
        <v>2.0666691813685847</v>
      </c>
      <c r="F890" s="38">
        <f>$F$613</f>
        <v>2.0666691813685847</v>
      </c>
      <c r="G890" s="38">
        <f>$G$613</f>
        <v>2.0179795471332955</v>
      </c>
      <c r="H890" s="38">
        <f>$H$613</f>
        <v>2.0666691813685847</v>
      </c>
      <c r="I890" s="38">
        <f>$I$613</f>
        <v>2.0666691813685847</v>
      </c>
      <c r="J890" s="38">
        <f>$J$613</f>
        <v>2.0666691813685847</v>
      </c>
      <c r="K890" s="17"/>
    </row>
    <row r="891" spans="1:11" x14ac:dyDescent="0.25">
      <c r="A891" s="4" t="s">
        <v>188</v>
      </c>
      <c r="B891" s="38">
        <f>$B$614</f>
        <v>24.847827662007816</v>
      </c>
      <c r="C891" s="38">
        <f>$C$614</f>
        <v>22.064896673788081</v>
      </c>
      <c r="D891" s="38">
        <f>$D$614</f>
        <v>22.064896673788081</v>
      </c>
      <c r="E891" s="38">
        <f>$E$614</f>
        <v>15.6821469255673</v>
      </c>
      <c r="F891" s="38">
        <f>$F$614</f>
        <v>15.6821469255673</v>
      </c>
      <c r="G891" s="38">
        <f>$G$614</f>
        <v>22.064896673788081</v>
      </c>
      <c r="H891" s="38">
        <f>$H$614</f>
        <v>15.6821469255673</v>
      </c>
      <c r="I891" s="38">
        <f>$I$614</f>
        <v>15.6821469255673</v>
      </c>
      <c r="J891" s="38">
        <f>$J$614</f>
        <v>15.6821469255673</v>
      </c>
      <c r="K891" s="17"/>
    </row>
    <row r="892" spans="1:11" x14ac:dyDescent="0.25">
      <c r="A892" s="4" t="s">
        <v>189</v>
      </c>
      <c r="B892" s="38">
        <f>$B$615</f>
        <v>25.809096811074692</v>
      </c>
      <c r="C892" s="38">
        <f>$C$615</f>
        <v>22.924215537910769</v>
      </c>
      <c r="D892" s="38">
        <f>$D$615</f>
        <v>22.924215537910769</v>
      </c>
      <c r="E892" s="38">
        <f>$E$615</f>
        <v>16.307932716587228</v>
      </c>
      <c r="F892" s="38">
        <f>$F$615</f>
        <v>16.307932716587228</v>
      </c>
      <c r="G892" s="38">
        <f>$G$615</f>
        <v>22.924215537910769</v>
      </c>
      <c r="H892" s="38">
        <f>$H$615</f>
        <v>16.307932716587228</v>
      </c>
      <c r="I892" s="38">
        <f>$I$615</f>
        <v>16.307932716587228</v>
      </c>
      <c r="J892" s="38">
        <f>$J$615</f>
        <v>16.307932716587228</v>
      </c>
      <c r="K892" s="17"/>
    </row>
    <row r="893" spans="1:11" x14ac:dyDescent="0.25">
      <c r="A893" s="4" t="s">
        <v>190</v>
      </c>
      <c r="B893" s="38">
        <f>$B$616</f>
        <v>19.49881636563557</v>
      </c>
      <c r="C893" s="38">
        <f>$C$616</f>
        <v>17.318260650533215</v>
      </c>
      <c r="D893" s="38">
        <f>$D$616</f>
        <v>17.318260650533215</v>
      </c>
      <c r="E893" s="38">
        <f>$E$616</f>
        <v>12.312512725120909</v>
      </c>
      <c r="F893" s="38">
        <f>$F$616</f>
        <v>12.312512725120909</v>
      </c>
      <c r="G893" s="38">
        <f>$G$616</f>
        <v>17.318260650533215</v>
      </c>
      <c r="H893" s="38">
        <f>$H$616</f>
        <v>12.312512725120909</v>
      </c>
      <c r="I893" s="38">
        <f>$I$616</f>
        <v>12.312512725120909</v>
      </c>
      <c r="J893" s="38">
        <f>$J$616</f>
        <v>12.312512725120909</v>
      </c>
      <c r="K893" s="17"/>
    </row>
    <row r="894" spans="1:11" x14ac:dyDescent="0.25">
      <c r="A894" s="4" t="s">
        <v>191</v>
      </c>
      <c r="B894" s="38">
        <f>$B$617</f>
        <v>18.916612824577768</v>
      </c>
      <c r="C894" s="38">
        <f>$C$617</f>
        <v>16.80116502346366</v>
      </c>
      <c r="D894" s="38">
        <f>$D$617</f>
        <v>16.80116502346366</v>
      </c>
      <c r="E894" s="38">
        <f>$E$617</f>
        <v>11.944880743083369</v>
      </c>
      <c r="F894" s="38">
        <f>$F$617</f>
        <v>11.944880743083369</v>
      </c>
      <c r="G894" s="38">
        <f>$G$617</f>
        <v>16.80116502346366</v>
      </c>
      <c r="H894" s="38">
        <f>$H$617</f>
        <v>11.944880743083369</v>
      </c>
      <c r="I894" s="38">
        <f>$I$617</f>
        <v>11.944880743083369</v>
      </c>
      <c r="J894" s="38">
        <f>$J$617</f>
        <v>11.944880743083369</v>
      </c>
      <c r="K894" s="17"/>
    </row>
    <row r="895" spans="1:11" x14ac:dyDescent="0.25">
      <c r="A895" s="4" t="s">
        <v>208</v>
      </c>
      <c r="B895" s="38">
        <f>$B$618</f>
        <v>17.70707021938442</v>
      </c>
      <c r="C895" s="38">
        <f>$C$618</f>
        <v>15.726885758924283</v>
      </c>
      <c r="D895" s="38">
        <f>$D$618</f>
        <v>15.726885758924283</v>
      </c>
      <c r="E895" s="38">
        <f>$E$618</f>
        <v>11.181115987379258</v>
      </c>
      <c r="F895" s="38">
        <f>$F$618</f>
        <v>11.181115987379258</v>
      </c>
      <c r="G895" s="38">
        <f>$G$618</f>
        <v>15.726885758924283</v>
      </c>
      <c r="H895" s="38">
        <f>$H$618</f>
        <v>11.181115987379258</v>
      </c>
      <c r="I895" s="38">
        <f>$I$618</f>
        <v>11.181115987379258</v>
      </c>
      <c r="J895" s="38">
        <f>$J$618</f>
        <v>11.181115987379258</v>
      </c>
      <c r="K895" s="17"/>
    </row>
    <row r="896" spans="1:11" x14ac:dyDescent="0.25">
      <c r="A896" s="4" t="s">
        <v>230</v>
      </c>
      <c r="B896" s="38">
        <f>$B$851</f>
        <v>1.0967066696343537</v>
      </c>
      <c r="C896" s="38">
        <f>$C$851</f>
        <v>1.0969115428793781</v>
      </c>
      <c r="D896" s="38">
        <f>$D$851</f>
        <v>1.0969115428793781</v>
      </c>
      <c r="E896" s="38">
        <f>$E$851</f>
        <v>1.0975526432432272</v>
      </c>
      <c r="F896" s="38">
        <f>$F$851</f>
        <v>1.0975526432432272</v>
      </c>
      <c r="G896" s="38">
        <f>$G$851</f>
        <v>1.0969115428793781</v>
      </c>
      <c r="H896" s="38">
        <f>$H$851</f>
        <v>1.0975526432432272</v>
      </c>
      <c r="I896" s="38">
        <f>$I$851</f>
        <v>1.0975526432432272</v>
      </c>
      <c r="J896" s="38">
        <f>$J$851</f>
        <v>1.0975526432432272</v>
      </c>
      <c r="K896" s="17"/>
    </row>
    <row r="897" spans="1:11" x14ac:dyDescent="0.25">
      <c r="A897" s="4" t="s">
        <v>231</v>
      </c>
      <c r="B897" s="38">
        <f>$B$852</f>
        <v>1.8160921277169988</v>
      </c>
      <c r="C897" s="38">
        <f>$C$852</f>
        <v>1.7336924932559428</v>
      </c>
      <c r="D897" s="38">
        <f>$D$852</f>
        <v>1.7336924932559428</v>
      </c>
      <c r="E897" s="38">
        <f>$E$852</f>
        <v>1.3437944266970141</v>
      </c>
      <c r="F897" s="38">
        <f>$F$852</f>
        <v>1.3437944266970141</v>
      </c>
      <c r="G897" s="38">
        <f>$G$852</f>
        <v>1.7336924932559428</v>
      </c>
      <c r="H897" s="38">
        <f>$H$852</f>
        <v>1.3437944266970141</v>
      </c>
      <c r="I897" s="38">
        <f>$I$852</f>
        <v>1.3437944266970141</v>
      </c>
      <c r="J897" s="38">
        <f>$J$852</f>
        <v>1.3437944266970141</v>
      </c>
      <c r="K897" s="17"/>
    </row>
    <row r="898" spans="1:11" x14ac:dyDescent="0.25">
      <c r="A898" s="4" t="s">
        <v>232</v>
      </c>
      <c r="B898" s="38">
        <f>$B$853</f>
        <v>3.2442469640281235</v>
      </c>
      <c r="C898" s="38">
        <f>$C$853</f>
        <v>3.0423748604764347</v>
      </c>
      <c r="D898" s="38">
        <f>$D$853</f>
        <v>3.0423748604764347</v>
      </c>
      <c r="E898" s="38">
        <f>$E$853</f>
        <v>2.2754742999354645</v>
      </c>
      <c r="F898" s="38">
        <f>$F$853</f>
        <v>2.2754742999354645</v>
      </c>
      <c r="G898" s="38">
        <f>$G$853</f>
        <v>3.0423748604764347</v>
      </c>
      <c r="H898" s="38">
        <f>$H$853</f>
        <v>2.2754742999354645</v>
      </c>
      <c r="I898" s="38">
        <f>$I$853</f>
        <v>2.2754742999354645</v>
      </c>
      <c r="J898" s="38">
        <f>$J$853</f>
        <v>2.2754742999354645</v>
      </c>
      <c r="K898" s="17"/>
    </row>
    <row r="899" spans="1:11" x14ac:dyDescent="0.25">
      <c r="A899" s="4" t="s">
        <v>233</v>
      </c>
      <c r="B899" s="38">
        <f>$B$854</f>
        <v>0.40760877633892245</v>
      </c>
      <c r="C899" s="38">
        <f>$C$854</f>
        <v>0.4864122828084409</v>
      </c>
      <c r="D899" s="38">
        <f>$D$854</f>
        <v>0.4864122828084409</v>
      </c>
      <c r="E899" s="38">
        <f>$E$854</f>
        <v>0.85642535279835474</v>
      </c>
      <c r="F899" s="38">
        <f>$F$854</f>
        <v>0.85642535279835474</v>
      </c>
      <c r="G899" s="38">
        <f>$G$854</f>
        <v>0.4864122828084409</v>
      </c>
      <c r="H899" s="38">
        <f>$H$854</f>
        <v>0.85642535279835474</v>
      </c>
      <c r="I899" s="38">
        <f>$I$854</f>
        <v>0.85642535279835474</v>
      </c>
      <c r="J899" s="38">
        <f>$J$854</f>
        <v>0.85642535279835474</v>
      </c>
      <c r="K899" s="17"/>
    </row>
    <row r="900" spans="1:11" x14ac:dyDescent="0.25">
      <c r="A900" s="4" t="s">
        <v>234</v>
      </c>
      <c r="B900" s="38">
        <f>$B$855</f>
        <v>53.570040095002149</v>
      </c>
      <c r="C900" s="38">
        <f>$C$855</f>
        <v>48.896366806794866</v>
      </c>
      <c r="D900" s="38">
        <f>$D$855</f>
        <v>48.896366806794866</v>
      </c>
      <c r="E900" s="38">
        <f>$E$855</f>
        <v>32.502202326608341</v>
      </c>
      <c r="F900" s="38">
        <f>$F$855</f>
        <v>32.502202326608341</v>
      </c>
      <c r="G900" s="38">
        <f>$G$855</f>
        <v>48.896366806794866</v>
      </c>
      <c r="H900" s="38">
        <f>$H$855</f>
        <v>32.502202326608341</v>
      </c>
      <c r="I900" s="38">
        <f>$I$855</f>
        <v>32.502202326608341</v>
      </c>
      <c r="J900" s="38">
        <f>$J$855</f>
        <v>32.502202326608341</v>
      </c>
      <c r="K900" s="17"/>
    </row>
    <row r="901" spans="1:11" x14ac:dyDescent="0.25">
      <c r="A901" s="4" t="s">
        <v>196</v>
      </c>
      <c r="B901" s="38">
        <f>$B$619</f>
        <v>-16.763358778625953</v>
      </c>
      <c r="C901" s="38">
        <f>$C$619</f>
        <v>-14.888709717698065</v>
      </c>
      <c r="D901" s="38">
        <f>$D$619</f>
        <v>-14.888709717698065</v>
      </c>
      <c r="E901" s="38">
        <f>$E$619</f>
        <v>-10.585210117746126</v>
      </c>
      <c r="F901" s="38">
        <f>$F$619</f>
        <v>-10.585210117746126</v>
      </c>
      <c r="G901" s="38">
        <f>$G$619</f>
        <v>-14.888709717698065</v>
      </c>
      <c r="H901" s="38">
        <f>$H$619</f>
        <v>-10.585210117746126</v>
      </c>
      <c r="I901" s="38">
        <f>$I$619</f>
        <v>-10.585210117746126</v>
      </c>
      <c r="J901" s="38">
        <f>$J$619</f>
        <v>-10.585210117746126</v>
      </c>
      <c r="K901" s="17"/>
    </row>
    <row r="902" spans="1:11" x14ac:dyDescent="0.25">
      <c r="A902" s="4" t="s">
        <v>197</v>
      </c>
      <c r="B902" s="38">
        <f>$B$620</f>
        <v>-16.763358778625953</v>
      </c>
      <c r="C902" s="38">
        <f>$C$620</f>
        <v>-14.888709717698065</v>
      </c>
      <c r="D902" s="38">
        <f>$D$620</f>
        <v>-14.888709717698065</v>
      </c>
      <c r="E902" s="38">
        <f>$E$620</f>
        <v>-10.585210117746126</v>
      </c>
      <c r="F902" s="38">
        <f>$F$620</f>
        <v>-10.585210117746126</v>
      </c>
      <c r="G902" s="38">
        <f>$G$620</f>
        <v>-14.888709717698065</v>
      </c>
      <c r="H902" s="38">
        <f>$H$620</f>
        <v>-10.585210117746126</v>
      </c>
      <c r="I902" s="38">
        <f>$I$620</f>
        <v>-10.585210117746126</v>
      </c>
      <c r="J902" s="38">
        <f>$J$620</f>
        <v>-10.585210117746126</v>
      </c>
      <c r="K902" s="17"/>
    </row>
    <row r="903" spans="1:11" x14ac:dyDescent="0.25">
      <c r="A903" s="4" t="s">
        <v>200</v>
      </c>
      <c r="B903" s="38">
        <f>$B$621</f>
        <v>-16.763358778625953</v>
      </c>
      <c r="C903" s="38">
        <f>$C$621</f>
        <v>-14.888709717698065</v>
      </c>
      <c r="D903" s="38">
        <f>$D$621</f>
        <v>-14.888709717698065</v>
      </c>
      <c r="E903" s="38">
        <f>$E$621</f>
        <v>-10.585210117746126</v>
      </c>
      <c r="F903" s="38">
        <f>$F$621</f>
        <v>-10.585210117746126</v>
      </c>
      <c r="G903" s="38">
        <f>$G$621</f>
        <v>-14.888709717698065</v>
      </c>
      <c r="H903" s="38">
        <f>$H$621</f>
        <v>-10.585210117746126</v>
      </c>
      <c r="I903" s="38">
        <f>$I$621</f>
        <v>-10.585210117746126</v>
      </c>
      <c r="J903" s="38">
        <f>$J$621</f>
        <v>-10.585210117746126</v>
      </c>
      <c r="K903" s="17"/>
    </row>
    <row r="904" spans="1:11" x14ac:dyDescent="0.25">
      <c r="A904" s="4" t="s">
        <v>201</v>
      </c>
      <c r="B904" s="38">
        <f>$B$622</f>
        <v>-16.763358778625953</v>
      </c>
      <c r="C904" s="38">
        <f>$C$622</f>
        <v>-14.888709717698065</v>
      </c>
      <c r="D904" s="38">
        <f>$D$622</f>
        <v>-14.888709717698065</v>
      </c>
      <c r="E904" s="38">
        <f>$E$622</f>
        <v>-10.585210117746126</v>
      </c>
      <c r="F904" s="38">
        <f>$F$622</f>
        <v>-10.585210117746126</v>
      </c>
      <c r="G904" s="38">
        <f>$G$622</f>
        <v>-14.888709717698065</v>
      </c>
      <c r="H904" s="38">
        <f>$H$622</f>
        <v>-10.585210117746126</v>
      </c>
      <c r="I904" s="38">
        <f>$I$622</f>
        <v>-10.585210117746126</v>
      </c>
      <c r="J904" s="38">
        <f>$J$622</f>
        <v>-10.585210117746126</v>
      </c>
      <c r="K904" s="17"/>
    </row>
    <row r="905" spans="1:11" x14ac:dyDescent="0.25">
      <c r="A905" s="4" t="s">
        <v>211</v>
      </c>
      <c r="B905" s="38">
        <f>$B$623</f>
        <v>-16.763358778625953</v>
      </c>
      <c r="C905" s="38">
        <f>$C$623</f>
        <v>-14.888709717698065</v>
      </c>
      <c r="D905" s="38">
        <f>$D$623</f>
        <v>-14.888709717698065</v>
      </c>
      <c r="E905" s="38">
        <f>$E$623</f>
        <v>-10.585210117746126</v>
      </c>
      <c r="F905" s="38">
        <f>$F$623</f>
        <v>-10.585210117746126</v>
      </c>
      <c r="G905" s="38">
        <f>$G$623</f>
        <v>-14.888709717698065</v>
      </c>
      <c r="H905" s="38">
        <f>$H$623</f>
        <v>-10.585210117746126</v>
      </c>
      <c r="I905" s="38">
        <f>$I$623</f>
        <v>-10.585210117746126</v>
      </c>
      <c r="J905" s="38">
        <f>$J$623</f>
        <v>-10.585210117746126</v>
      </c>
      <c r="K905" s="17"/>
    </row>
    <row r="906" spans="1:11" x14ac:dyDescent="0.25">
      <c r="A906" s="4" t="s">
        <v>212</v>
      </c>
      <c r="B906" s="38">
        <f>$B$624</f>
        <v>-16.763358778625953</v>
      </c>
      <c r="C906" s="38">
        <f>$C$624</f>
        <v>-14.888709717698065</v>
      </c>
      <c r="D906" s="38">
        <f>$D$624</f>
        <v>-14.888709717698065</v>
      </c>
      <c r="E906" s="38">
        <f>$E$624</f>
        <v>-10.585210117746126</v>
      </c>
      <c r="F906" s="38">
        <f>$F$624</f>
        <v>-10.585210117746126</v>
      </c>
      <c r="G906" s="38">
        <f>$G$624</f>
        <v>-14.888709717698065</v>
      </c>
      <c r="H906" s="38">
        <f>$H$624</f>
        <v>-10.585210117746126</v>
      </c>
      <c r="I906" s="38">
        <f>$I$624</f>
        <v>-10.585210117746126</v>
      </c>
      <c r="J906" s="38">
        <f>$J$624</f>
        <v>-10.585210117746126</v>
      </c>
      <c r="K906" s="17"/>
    </row>
    <row r="908" spans="1:11" ht="21" customHeight="1" x14ac:dyDescent="0.3">
      <c r="A908" s="1" t="s">
        <v>822</v>
      </c>
    </row>
    <row r="909" spans="1:11" x14ac:dyDescent="0.25">
      <c r="A909" s="2" t="s">
        <v>381</v>
      </c>
    </row>
    <row r="910" spans="1:11" x14ac:dyDescent="0.25">
      <c r="A910" s="32" t="s">
        <v>823</v>
      </c>
    </row>
    <row r="911" spans="1:11" x14ac:dyDescent="0.25">
      <c r="A911" s="32" t="s">
        <v>824</v>
      </c>
    </row>
    <row r="912" spans="1:11" x14ac:dyDescent="0.25">
      <c r="A912" s="2" t="s">
        <v>399</v>
      </c>
    </row>
    <row r="914" spans="1:11" x14ac:dyDescent="0.25">
      <c r="B914" s="15" t="s">
        <v>150</v>
      </c>
      <c r="C914" s="15" t="s">
        <v>151</v>
      </c>
      <c r="D914" s="15" t="s">
        <v>152</v>
      </c>
      <c r="E914" s="15" t="s">
        <v>153</v>
      </c>
      <c r="F914" s="15" t="s">
        <v>154</v>
      </c>
      <c r="G914" s="15" t="s">
        <v>159</v>
      </c>
      <c r="H914" s="15" t="s">
        <v>155</v>
      </c>
      <c r="I914" s="15" t="s">
        <v>156</v>
      </c>
      <c r="J914" s="15" t="s">
        <v>157</v>
      </c>
    </row>
    <row r="915" spans="1:11" x14ac:dyDescent="0.25">
      <c r="A915" s="4" t="s">
        <v>183</v>
      </c>
      <c r="B915" s="38">
        <f>$B$633</f>
        <v>0</v>
      </c>
      <c r="C915" s="38">
        <f>$C$633</f>
        <v>9.5619473532856269E-2</v>
      </c>
      <c r="D915" s="38">
        <f>$D$633</f>
        <v>9.5619473532856269E-2</v>
      </c>
      <c r="E915" s="38">
        <f>$E$633</f>
        <v>0.2151191457493512</v>
      </c>
      <c r="F915" s="38">
        <f>$F$633</f>
        <v>0.2151191457493512</v>
      </c>
      <c r="G915" s="38">
        <f>$G$633</f>
        <v>9.5619473532856269E-2</v>
      </c>
      <c r="H915" s="38">
        <f>$H$633</f>
        <v>0.2151191457493512</v>
      </c>
      <c r="I915" s="38">
        <f>$I$633</f>
        <v>0.2151191457493512</v>
      </c>
      <c r="J915" s="38">
        <f>$J$633</f>
        <v>0.2151191457493512</v>
      </c>
      <c r="K915" s="17"/>
    </row>
    <row r="916" spans="1:11" x14ac:dyDescent="0.25">
      <c r="A916" s="4" t="s">
        <v>185</v>
      </c>
      <c r="B916" s="38">
        <f>$B$634</f>
        <v>0</v>
      </c>
      <c r="C916" s="38">
        <f>$C$634</f>
        <v>9.527932670132877E-2</v>
      </c>
      <c r="D916" s="38">
        <f>$D$634</f>
        <v>9.527932670132877E-2</v>
      </c>
      <c r="E916" s="38">
        <f>$E$634</f>
        <v>0.21728457006257115</v>
      </c>
      <c r="F916" s="38">
        <f>$F$634</f>
        <v>0.21728457006257115</v>
      </c>
      <c r="G916" s="38">
        <f>$G$634</f>
        <v>9.527932670132877E-2</v>
      </c>
      <c r="H916" s="38">
        <f>$H$634</f>
        <v>0.21728457006257115</v>
      </c>
      <c r="I916" s="38">
        <f>$I$634</f>
        <v>0.21728457006257115</v>
      </c>
      <c r="J916" s="38">
        <f>$J$634</f>
        <v>0.21728457006257115</v>
      </c>
      <c r="K916" s="17"/>
    </row>
    <row r="917" spans="1:11" x14ac:dyDescent="0.25">
      <c r="A917" s="4" t="s">
        <v>186</v>
      </c>
      <c r="B917" s="38">
        <f>$B$635</f>
        <v>0</v>
      </c>
      <c r="C917" s="38">
        <f>$C$635</f>
        <v>8.0782704141727044E-2</v>
      </c>
      <c r="D917" s="38">
        <f>$D$635</f>
        <v>8.0782704141727044E-2</v>
      </c>
      <c r="E917" s="38">
        <f>$E$635</f>
        <v>0.17311567029973873</v>
      </c>
      <c r="F917" s="38">
        <f>$F$635</f>
        <v>0.17311567029973873</v>
      </c>
      <c r="G917" s="38">
        <f>$G$635</f>
        <v>8.0782704141727044E-2</v>
      </c>
      <c r="H917" s="38">
        <f>$H$635</f>
        <v>0.17311567029973873</v>
      </c>
      <c r="I917" s="38">
        <f>$I$635</f>
        <v>0.17311567029973873</v>
      </c>
      <c r="J917" s="38">
        <f>$J$635</f>
        <v>0.17311567029973873</v>
      </c>
      <c r="K917" s="17"/>
    </row>
    <row r="918" spans="1:11" x14ac:dyDescent="0.25">
      <c r="A918" s="4" t="s">
        <v>187</v>
      </c>
      <c r="B918" s="38">
        <f>$B$636</f>
        <v>0</v>
      </c>
      <c r="C918" s="38">
        <f>$C$636</f>
        <v>7.9218226379927426E-2</v>
      </c>
      <c r="D918" s="38">
        <f>$D$636</f>
        <v>7.9218226379927426E-2</v>
      </c>
      <c r="E918" s="38">
        <f>$E$636</f>
        <v>0.16976302669513968</v>
      </c>
      <c r="F918" s="38">
        <f>$F$636</f>
        <v>0.16976302669513968</v>
      </c>
      <c r="G918" s="38">
        <f>$G$636</f>
        <v>7.9218226379927426E-2</v>
      </c>
      <c r="H918" s="38">
        <f>$H$636</f>
        <v>0.16976302669513968</v>
      </c>
      <c r="I918" s="38">
        <f>$I$636</f>
        <v>0.16976302669513968</v>
      </c>
      <c r="J918" s="38">
        <f>$J$636</f>
        <v>0.16976302669513968</v>
      </c>
      <c r="K918" s="17"/>
    </row>
    <row r="919" spans="1:11" x14ac:dyDescent="0.25">
      <c r="A919" s="4" t="s">
        <v>207</v>
      </c>
      <c r="B919" s="38">
        <f>$B$637</f>
        <v>0</v>
      </c>
      <c r="C919" s="38">
        <f>$C$637</f>
        <v>9.3521391904358625E-2</v>
      </c>
      <c r="D919" s="38">
        <f>$D$637</f>
        <v>9.3521391904358625E-2</v>
      </c>
      <c r="E919" s="38">
        <f>$E$637</f>
        <v>0.20041441567100132</v>
      </c>
      <c r="F919" s="38">
        <f>$F$637</f>
        <v>0.20041441567100132</v>
      </c>
      <c r="G919" s="38">
        <f>$G$637</f>
        <v>9.3521391904358625E-2</v>
      </c>
      <c r="H919" s="38">
        <f>$H$637</f>
        <v>0.20041441567100132</v>
      </c>
      <c r="I919" s="38">
        <f>$I$637</f>
        <v>0.20041441567100132</v>
      </c>
      <c r="J919" s="38">
        <f>$J$637</f>
        <v>0.20041441567100132</v>
      </c>
      <c r="K919" s="17"/>
    </row>
    <row r="920" spans="1:11" x14ac:dyDescent="0.25">
      <c r="A920" s="4" t="s">
        <v>188</v>
      </c>
      <c r="B920" s="38">
        <f>$B$638</f>
        <v>0</v>
      </c>
      <c r="C920" s="38">
        <f>$C$638</f>
        <v>0.2933416853255823</v>
      </c>
      <c r="D920" s="38">
        <f>$D$638</f>
        <v>0.2933416853255823</v>
      </c>
      <c r="E920" s="38">
        <f>$E$638</f>
        <v>1.1138033799180371</v>
      </c>
      <c r="F920" s="38">
        <f>$F$638</f>
        <v>1.1138033799180371</v>
      </c>
      <c r="G920" s="38">
        <f>$G$638</f>
        <v>0.2933416853255823</v>
      </c>
      <c r="H920" s="38">
        <f>$H$638</f>
        <v>1.1138033799180371</v>
      </c>
      <c r="I920" s="38">
        <f>$I$638</f>
        <v>1.1138033799180371</v>
      </c>
      <c r="J920" s="38">
        <f>$J$638</f>
        <v>1.1138033799180371</v>
      </c>
      <c r="K920" s="17"/>
    </row>
    <row r="921" spans="1:11" x14ac:dyDescent="0.25">
      <c r="A921" s="4" t="s">
        <v>189</v>
      </c>
      <c r="B921" s="38">
        <f>$B$639</f>
        <v>0</v>
      </c>
      <c r="C921" s="38">
        <f>$C$639</f>
        <v>0.30476589671258891</v>
      </c>
      <c r="D921" s="38">
        <f>$D$639</f>
        <v>0.30476589671258891</v>
      </c>
      <c r="E921" s="38">
        <f>$E$639</f>
        <v>1.1582489735252699</v>
      </c>
      <c r="F921" s="38">
        <f>$F$639</f>
        <v>1.1582489735252699</v>
      </c>
      <c r="G921" s="38">
        <f>$G$639</f>
        <v>0.30476589671258891</v>
      </c>
      <c r="H921" s="38">
        <f>$H$639</f>
        <v>1.1582489735252699</v>
      </c>
      <c r="I921" s="38">
        <f>$I$639</f>
        <v>1.1582489735252699</v>
      </c>
      <c r="J921" s="38">
        <f>$J$639</f>
        <v>1.1582489735252699</v>
      </c>
      <c r="K921" s="17"/>
    </row>
    <row r="922" spans="1:11" x14ac:dyDescent="0.25">
      <c r="A922" s="4" t="s">
        <v>190</v>
      </c>
      <c r="B922" s="38">
        <f>$B$640</f>
        <v>0</v>
      </c>
      <c r="C922" s="38">
        <f>$C$640</f>
        <v>0.23023755067795515</v>
      </c>
      <c r="D922" s="38">
        <f>$D$640</f>
        <v>0.23023755067795515</v>
      </c>
      <c r="E922" s="38">
        <f>$E$640</f>
        <v>0.87447964577894777</v>
      </c>
      <c r="F922" s="38">
        <f>$F$640</f>
        <v>0.87447964577894777</v>
      </c>
      <c r="G922" s="38">
        <f>$G$640</f>
        <v>0.23023755067795515</v>
      </c>
      <c r="H922" s="38">
        <f>$H$640</f>
        <v>0.87447964577894777</v>
      </c>
      <c r="I922" s="38">
        <f>$I$640</f>
        <v>0.87447964577894777</v>
      </c>
      <c r="J922" s="38">
        <f>$J$640</f>
        <v>0.87447964577894777</v>
      </c>
      <c r="K922" s="17"/>
    </row>
    <row r="923" spans="1:11" x14ac:dyDescent="0.25">
      <c r="A923" s="4" t="s">
        <v>191</v>
      </c>
      <c r="B923" s="38">
        <f>$B$641</f>
        <v>0</v>
      </c>
      <c r="C923" s="38">
        <f>$C$641</f>
        <v>0.22336302482081544</v>
      </c>
      <c r="D923" s="38">
        <f>$D$641</f>
        <v>0.22336302482081544</v>
      </c>
      <c r="E923" s="38">
        <f>$E$641</f>
        <v>0.84836907902409842</v>
      </c>
      <c r="F923" s="38">
        <f>$F$641</f>
        <v>0.84836907902409842</v>
      </c>
      <c r="G923" s="38">
        <f>$G$641</f>
        <v>0.22336302482081544</v>
      </c>
      <c r="H923" s="38">
        <f>$H$641</f>
        <v>0.84836907902409842</v>
      </c>
      <c r="I923" s="38">
        <f>$I$641</f>
        <v>0.84836907902409842</v>
      </c>
      <c r="J923" s="38">
        <f>$J$641</f>
        <v>0.84836907902409842</v>
      </c>
      <c r="K923" s="17"/>
    </row>
    <row r="924" spans="1:11" x14ac:dyDescent="0.25">
      <c r="A924" s="4" t="s">
        <v>208</v>
      </c>
      <c r="B924" s="38">
        <f>$B$642</f>
        <v>0</v>
      </c>
      <c r="C924" s="38">
        <f>$C$642</f>
        <v>0.20908102320398181</v>
      </c>
      <c r="D924" s="38">
        <f>$D$642</f>
        <v>0.20908102320398181</v>
      </c>
      <c r="E924" s="38">
        <f>$E$642</f>
        <v>0.79412371514610758</v>
      </c>
      <c r="F924" s="38">
        <f>$F$642</f>
        <v>0.79412371514610758</v>
      </c>
      <c r="G924" s="38">
        <f>$G$642</f>
        <v>0.20908102320398181</v>
      </c>
      <c r="H924" s="38">
        <f>$H$642</f>
        <v>0.79412371514610758</v>
      </c>
      <c r="I924" s="38">
        <f>$I$642</f>
        <v>0.79412371514610758</v>
      </c>
      <c r="J924" s="38">
        <f>$J$642</f>
        <v>0.79412371514610758</v>
      </c>
      <c r="K924" s="17"/>
    </row>
    <row r="925" spans="1:11" x14ac:dyDescent="0.25">
      <c r="A925" s="4" t="s">
        <v>234</v>
      </c>
      <c r="B925" s="38">
        <f>$B$864</f>
        <v>0.395098016968147</v>
      </c>
      <c r="C925" s="38">
        <f>$C$864</f>
        <v>0.49504049713278453</v>
      </c>
      <c r="D925" s="38">
        <f>$D$864</f>
        <v>0.49504049713278453</v>
      </c>
      <c r="E925" s="38">
        <f>$E$864</f>
        <v>1.0481291025072448</v>
      </c>
      <c r="F925" s="38">
        <f>$F$864</f>
        <v>1.0481291025072448</v>
      </c>
      <c r="G925" s="38">
        <f>$G$864</f>
        <v>0.49504049713278453</v>
      </c>
      <c r="H925" s="38">
        <f>$H$864</f>
        <v>1.0481291025072448</v>
      </c>
      <c r="I925" s="38">
        <f>$I$864</f>
        <v>1.0481291025072448</v>
      </c>
      <c r="J925" s="38">
        <f>$J$864</f>
        <v>1.0481291025072448</v>
      </c>
      <c r="K925" s="17"/>
    </row>
    <row r="926" spans="1:11" x14ac:dyDescent="0.25">
      <c r="A926" s="4" t="s">
        <v>196</v>
      </c>
      <c r="B926" s="38">
        <f>$B$643</f>
        <v>0</v>
      </c>
      <c r="C926" s="38">
        <f>$C$643</f>
        <v>-0.19793789499595785</v>
      </c>
      <c r="D926" s="38">
        <f>$D$643</f>
        <v>-0.19793789499595785</v>
      </c>
      <c r="E926" s="38">
        <f>$E$643</f>
        <v>-0.75180030274214127</v>
      </c>
      <c r="F926" s="38">
        <f>$F$643</f>
        <v>-0.75180030274214127</v>
      </c>
      <c r="G926" s="38">
        <f>$G$643</f>
        <v>-0.19793789499595785</v>
      </c>
      <c r="H926" s="38">
        <f>$H$643</f>
        <v>-0.75180030274214127</v>
      </c>
      <c r="I926" s="38">
        <f>$I$643</f>
        <v>-0.75180030274214127</v>
      </c>
      <c r="J926" s="38">
        <f>$J$643</f>
        <v>-0.75180030274214127</v>
      </c>
      <c r="K926" s="17"/>
    </row>
    <row r="927" spans="1:11" x14ac:dyDescent="0.25">
      <c r="A927" s="4" t="s">
        <v>197</v>
      </c>
      <c r="B927" s="38">
        <f>$B$644</f>
        <v>0</v>
      </c>
      <c r="C927" s="38">
        <f>$C$644</f>
        <v>-0.19793789499595785</v>
      </c>
      <c r="D927" s="38">
        <f>$D$644</f>
        <v>-0.19793789499595785</v>
      </c>
      <c r="E927" s="38">
        <f>$E$644</f>
        <v>-0.75180030274214127</v>
      </c>
      <c r="F927" s="38">
        <f>$F$644</f>
        <v>-0.75180030274214127</v>
      </c>
      <c r="G927" s="38">
        <f>$G$644</f>
        <v>-0.19793789499595785</v>
      </c>
      <c r="H927" s="38">
        <f>$H$644</f>
        <v>-0.75180030274214127</v>
      </c>
      <c r="I927" s="38">
        <f>$I$644</f>
        <v>-0.75180030274214127</v>
      </c>
      <c r="J927" s="38">
        <f>$J$644</f>
        <v>-0.75180030274214127</v>
      </c>
      <c r="K927" s="17"/>
    </row>
    <row r="928" spans="1:11" x14ac:dyDescent="0.25">
      <c r="A928" s="4" t="s">
        <v>200</v>
      </c>
      <c r="B928" s="38">
        <f>$B$645</f>
        <v>0</v>
      </c>
      <c r="C928" s="38">
        <f>$C$645</f>
        <v>-0.19793789499595785</v>
      </c>
      <c r="D928" s="38">
        <f>$D$645</f>
        <v>-0.19793789499595785</v>
      </c>
      <c r="E928" s="38">
        <f>$E$645</f>
        <v>-0.75180030274214127</v>
      </c>
      <c r="F928" s="38">
        <f>$F$645</f>
        <v>-0.75180030274214127</v>
      </c>
      <c r="G928" s="38">
        <f>$G$645</f>
        <v>-0.19793789499595785</v>
      </c>
      <c r="H928" s="38">
        <f>$H$645</f>
        <v>-0.75180030274214127</v>
      </c>
      <c r="I928" s="38">
        <f>$I$645</f>
        <v>-0.75180030274214127</v>
      </c>
      <c r="J928" s="38">
        <f>$J$645</f>
        <v>-0.75180030274214127</v>
      </c>
      <c r="K928" s="17"/>
    </row>
    <row r="929" spans="1:11" x14ac:dyDescent="0.25">
      <c r="A929" s="4" t="s">
        <v>201</v>
      </c>
      <c r="B929" s="38">
        <f>$B$646</f>
        <v>0</v>
      </c>
      <c r="C929" s="38">
        <f>$C$646</f>
        <v>-0.19793789499595785</v>
      </c>
      <c r="D929" s="38">
        <f>$D$646</f>
        <v>-0.19793789499595785</v>
      </c>
      <c r="E929" s="38">
        <f>$E$646</f>
        <v>-0.75180030274214127</v>
      </c>
      <c r="F929" s="38">
        <f>$F$646</f>
        <v>-0.75180030274214127</v>
      </c>
      <c r="G929" s="38">
        <f>$G$646</f>
        <v>-0.19793789499595785</v>
      </c>
      <c r="H929" s="38">
        <f>$H$646</f>
        <v>-0.75180030274214127</v>
      </c>
      <c r="I929" s="38">
        <f>$I$646</f>
        <v>-0.75180030274214127</v>
      </c>
      <c r="J929" s="38">
        <f>$J$646</f>
        <v>-0.75180030274214127</v>
      </c>
      <c r="K929" s="17"/>
    </row>
    <row r="930" spans="1:11" x14ac:dyDescent="0.25">
      <c r="A930" s="4" t="s">
        <v>211</v>
      </c>
      <c r="B930" s="38">
        <f>$B$647</f>
        <v>0</v>
      </c>
      <c r="C930" s="38">
        <f>$C$647</f>
        <v>-0.19793789499595785</v>
      </c>
      <c r="D930" s="38">
        <f>$D$647</f>
        <v>-0.19793789499595785</v>
      </c>
      <c r="E930" s="38">
        <f>$E$647</f>
        <v>-0.75180030274214127</v>
      </c>
      <c r="F930" s="38">
        <f>$F$647</f>
        <v>-0.75180030274214127</v>
      </c>
      <c r="G930" s="38">
        <f>$G$647</f>
        <v>-0.19793789499595785</v>
      </c>
      <c r="H930" s="38">
        <f>$H$647</f>
        <v>-0.75180030274214127</v>
      </c>
      <c r="I930" s="38">
        <f>$I$647</f>
        <v>-0.75180030274214127</v>
      </c>
      <c r="J930" s="38">
        <f>$J$647</f>
        <v>-0.75180030274214127</v>
      </c>
      <c r="K930" s="17"/>
    </row>
    <row r="931" spans="1:11" x14ac:dyDescent="0.25">
      <c r="A931" s="4" t="s">
        <v>212</v>
      </c>
      <c r="B931" s="38">
        <f>$B$648</f>
        <v>0</v>
      </c>
      <c r="C931" s="38">
        <f>$C$648</f>
        <v>-0.19793789499595785</v>
      </c>
      <c r="D931" s="38">
        <f>$D$648</f>
        <v>-0.19793789499595785</v>
      </c>
      <c r="E931" s="38">
        <f>$E$648</f>
        <v>-0.75180030274214127</v>
      </c>
      <c r="F931" s="38">
        <f>$F$648</f>
        <v>-0.75180030274214127</v>
      </c>
      <c r="G931" s="38">
        <f>$G$648</f>
        <v>-0.19793789499595785</v>
      </c>
      <c r="H931" s="38">
        <f>$H$648</f>
        <v>-0.75180030274214127</v>
      </c>
      <c r="I931" s="38">
        <f>$I$648</f>
        <v>-0.75180030274214127</v>
      </c>
      <c r="J931" s="38">
        <f>$J$648</f>
        <v>-0.75180030274214127</v>
      </c>
      <c r="K931" s="17"/>
    </row>
    <row r="933" spans="1:11" ht="21" customHeight="1" x14ac:dyDescent="0.3">
      <c r="A933" s="1" t="s">
        <v>825</v>
      </c>
    </row>
    <row r="934" spans="1:11" x14ac:dyDescent="0.25">
      <c r="A934" s="2" t="s">
        <v>381</v>
      </c>
    </row>
    <row r="935" spans="1:11" x14ac:dyDescent="0.25">
      <c r="A935" s="32" t="s">
        <v>826</v>
      </c>
    </row>
    <row r="936" spans="1:11" x14ac:dyDescent="0.25">
      <c r="A936" s="32" t="s">
        <v>827</v>
      </c>
    </row>
    <row r="937" spans="1:11" x14ac:dyDescent="0.25">
      <c r="A937" s="2" t="s">
        <v>399</v>
      </c>
    </row>
    <row r="939" spans="1:11" x14ac:dyDescent="0.25">
      <c r="B939" s="15" t="s">
        <v>150</v>
      </c>
      <c r="C939" s="15" t="s">
        <v>151</v>
      </c>
      <c r="D939" s="15" t="s">
        <v>152</v>
      </c>
      <c r="E939" s="15" t="s">
        <v>153</v>
      </c>
      <c r="F939" s="15" t="s">
        <v>154</v>
      </c>
      <c r="G939" s="15" t="s">
        <v>159</v>
      </c>
      <c r="H939" s="15" t="s">
        <v>155</v>
      </c>
      <c r="I939" s="15" t="s">
        <v>156</v>
      </c>
      <c r="J939" s="15" t="s">
        <v>157</v>
      </c>
    </row>
    <row r="940" spans="1:11" x14ac:dyDescent="0.25">
      <c r="A940" s="4" t="s">
        <v>188</v>
      </c>
      <c r="B940" s="38">
        <f>$B$657</f>
        <v>0</v>
      </c>
      <c r="C940" s="38">
        <f>$C$657</f>
        <v>9.2005061806265789E-2</v>
      </c>
      <c r="D940" s="38">
        <f>$D$657</f>
        <v>9.2005061806265789E-2</v>
      </c>
      <c r="E940" s="38">
        <f>$E$657</f>
        <v>0.19710194779965678</v>
      </c>
      <c r="F940" s="38">
        <f>$F$657</f>
        <v>0.19710194779965678</v>
      </c>
      <c r="G940" s="38">
        <f>$G$657</f>
        <v>9.2005061806265789E-2</v>
      </c>
      <c r="H940" s="38">
        <f>$H$657</f>
        <v>0.19710194779965678</v>
      </c>
      <c r="I940" s="38">
        <f>$I$657</f>
        <v>0.19710194779965678</v>
      </c>
      <c r="J940" s="38">
        <f>$J$657</f>
        <v>0.19710194779965678</v>
      </c>
      <c r="K940" s="17"/>
    </row>
    <row r="941" spans="1:11" x14ac:dyDescent="0.25">
      <c r="A941" s="4" t="s">
        <v>189</v>
      </c>
      <c r="B941" s="38">
        <f>$B$658</f>
        <v>0</v>
      </c>
      <c r="C941" s="38">
        <f>$C$658</f>
        <v>9.558820503932787E-2</v>
      </c>
      <c r="D941" s="38">
        <f>$D$658</f>
        <v>9.558820503932787E-2</v>
      </c>
      <c r="E941" s="38">
        <f>$E$658</f>
        <v>0.20496717179614179</v>
      </c>
      <c r="F941" s="38">
        <f>$F$658</f>
        <v>0.20496717179614179</v>
      </c>
      <c r="G941" s="38">
        <f>$G$658</f>
        <v>9.558820503932787E-2</v>
      </c>
      <c r="H941" s="38">
        <f>$H$658</f>
        <v>0.20496717179614179</v>
      </c>
      <c r="I941" s="38">
        <f>$I$658</f>
        <v>0.20496717179614179</v>
      </c>
      <c r="J941" s="38">
        <f>$J$658</f>
        <v>0.20496717179614179</v>
      </c>
      <c r="K941" s="17"/>
    </row>
    <row r="942" spans="1:11" x14ac:dyDescent="0.25">
      <c r="A942" s="4" t="s">
        <v>190</v>
      </c>
      <c r="B942" s="38">
        <f>$B$659</f>
        <v>0</v>
      </c>
      <c r="C942" s="38">
        <f>$C$659</f>
        <v>7.221278508963809E-2</v>
      </c>
      <c r="D942" s="38">
        <f>$D$659</f>
        <v>7.221278508963809E-2</v>
      </c>
      <c r="E942" s="38">
        <f>$E$659</f>
        <v>0.15475051037003346</v>
      </c>
      <c r="F942" s="38">
        <f>$F$659</f>
        <v>0.15475051037003346</v>
      </c>
      <c r="G942" s="38">
        <f>$G$659</f>
        <v>7.221278508963809E-2</v>
      </c>
      <c r="H942" s="38">
        <f>$H$659</f>
        <v>0.15475051037003346</v>
      </c>
      <c r="I942" s="38">
        <f>$I$659</f>
        <v>0.15475051037003346</v>
      </c>
      <c r="J942" s="38">
        <f>$J$659</f>
        <v>0.15475051037003346</v>
      </c>
      <c r="K942" s="17"/>
    </row>
    <row r="943" spans="1:11" x14ac:dyDescent="0.25">
      <c r="A943" s="4" t="s">
        <v>191</v>
      </c>
      <c r="B943" s="38">
        <f>$B$660</f>
        <v>0</v>
      </c>
      <c r="C943" s="38">
        <f>$C$660</f>
        <v>7.0056626561834895E-2</v>
      </c>
      <c r="D943" s="38">
        <f>$D$660</f>
        <v>7.0056626561834895E-2</v>
      </c>
      <c r="E943" s="38">
        <f>$E$660</f>
        <v>0.15012990707655763</v>
      </c>
      <c r="F943" s="38">
        <f>$F$660</f>
        <v>0.15012990707655763</v>
      </c>
      <c r="G943" s="38">
        <f>$G$660</f>
        <v>7.0056626561834895E-2</v>
      </c>
      <c r="H943" s="38">
        <f>$H$660</f>
        <v>0.15012990707655763</v>
      </c>
      <c r="I943" s="38">
        <f>$I$660</f>
        <v>0.15012990707655763</v>
      </c>
      <c r="J943" s="38">
        <f>$J$660</f>
        <v>0.15012990707655763</v>
      </c>
      <c r="K943" s="17"/>
    </row>
    <row r="944" spans="1:11" x14ac:dyDescent="0.25">
      <c r="A944" s="4" t="s">
        <v>208</v>
      </c>
      <c r="B944" s="38">
        <f>$B$661</f>
        <v>0</v>
      </c>
      <c r="C944" s="38">
        <f>$C$661</f>
        <v>6.5577152599532104E-2</v>
      </c>
      <c r="D944" s="38">
        <f>$D$661</f>
        <v>6.5577152599532104E-2</v>
      </c>
      <c r="E944" s="38">
        <f>$E$661</f>
        <v>0.14053048668313062</v>
      </c>
      <c r="F944" s="38">
        <f>$F$661</f>
        <v>0.14053048668313062</v>
      </c>
      <c r="G944" s="38">
        <f>$G$661</f>
        <v>6.5577152599532104E-2</v>
      </c>
      <c r="H944" s="38">
        <f>$H$661</f>
        <v>0.14053048668313062</v>
      </c>
      <c r="I944" s="38">
        <f>$I$661</f>
        <v>0.14053048668313062</v>
      </c>
      <c r="J944" s="38">
        <f>$J$661</f>
        <v>0.14053048668313062</v>
      </c>
      <c r="K944" s="17"/>
    </row>
    <row r="945" spans="1:11" x14ac:dyDescent="0.25">
      <c r="A945" s="4" t="s">
        <v>234</v>
      </c>
      <c r="B945" s="38">
        <f>$B$873</f>
        <v>0</v>
      </c>
      <c r="C945" s="38">
        <f>$C$873</f>
        <v>6.8238660644728139E-2</v>
      </c>
      <c r="D945" s="38">
        <f>$D$873</f>
        <v>6.8238660644728139E-2</v>
      </c>
      <c r="E945" s="38">
        <f>$E$873</f>
        <v>0.14623404357872441</v>
      </c>
      <c r="F945" s="38">
        <f>$F$873</f>
        <v>0.14623404357872441</v>
      </c>
      <c r="G945" s="38">
        <f>$G$873</f>
        <v>6.8238660644728139E-2</v>
      </c>
      <c r="H945" s="38">
        <f>$H$873</f>
        <v>0.14623404357872441</v>
      </c>
      <c r="I945" s="38">
        <f>$I$873</f>
        <v>0.14623404357872441</v>
      </c>
      <c r="J945" s="38">
        <f>$J$873</f>
        <v>0.14623404357872441</v>
      </c>
      <c r="K945" s="17"/>
    </row>
    <row r="946" spans="1:11" x14ac:dyDescent="0.25">
      <c r="A946" s="4" t="s">
        <v>196</v>
      </c>
      <c r="B946" s="38">
        <f>$B$662</f>
        <v>0</v>
      </c>
      <c r="C946" s="38">
        <f>$C$662</f>
        <v>-6.2082169612860817E-2</v>
      </c>
      <c r="D946" s="38">
        <f>$D$662</f>
        <v>-6.2082169612860817E-2</v>
      </c>
      <c r="E946" s="38">
        <f>$E$662</f>
        <v>-0.13304081016323729</v>
      </c>
      <c r="F946" s="38">
        <f>$F$662</f>
        <v>-0.13304081016323729</v>
      </c>
      <c r="G946" s="38">
        <f>$G$662</f>
        <v>-6.2082169612860817E-2</v>
      </c>
      <c r="H946" s="38">
        <f>$H$662</f>
        <v>-0.13304081016323729</v>
      </c>
      <c r="I946" s="38">
        <f>$I$662</f>
        <v>-0.13304081016323729</v>
      </c>
      <c r="J946" s="38">
        <f>$J$662</f>
        <v>-0.13304081016323729</v>
      </c>
      <c r="K946" s="17"/>
    </row>
    <row r="947" spans="1:11" x14ac:dyDescent="0.25">
      <c r="A947" s="4" t="s">
        <v>197</v>
      </c>
      <c r="B947" s="38">
        <f>$B$663</f>
        <v>0</v>
      </c>
      <c r="C947" s="38">
        <f>$C$663</f>
        <v>-6.2082169612860817E-2</v>
      </c>
      <c r="D947" s="38">
        <f>$D$663</f>
        <v>-6.2082169612860817E-2</v>
      </c>
      <c r="E947" s="38">
        <f>$E$663</f>
        <v>-0.13304081016323729</v>
      </c>
      <c r="F947" s="38">
        <f>$F$663</f>
        <v>-0.13304081016323729</v>
      </c>
      <c r="G947" s="38">
        <f>$G$663</f>
        <v>-6.2082169612860817E-2</v>
      </c>
      <c r="H947" s="38">
        <f>$H$663</f>
        <v>-0.13304081016323729</v>
      </c>
      <c r="I947" s="38">
        <f>$I$663</f>
        <v>-0.13304081016323729</v>
      </c>
      <c r="J947" s="38">
        <f>$J$663</f>
        <v>-0.13304081016323729</v>
      </c>
      <c r="K947" s="17"/>
    </row>
    <row r="948" spans="1:11" x14ac:dyDescent="0.25">
      <c r="A948" s="4" t="s">
        <v>200</v>
      </c>
      <c r="B948" s="38">
        <f>$B$664</f>
        <v>0</v>
      </c>
      <c r="C948" s="38">
        <f>$C$664</f>
        <v>-6.2082169612860817E-2</v>
      </c>
      <c r="D948" s="38">
        <f>$D$664</f>
        <v>-6.2082169612860817E-2</v>
      </c>
      <c r="E948" s="38">
        <f>$E$664</f>
        <v>-0.13304081016323729</v>
      </c>
      <c r="F948" s="38">
        <f>$F$664</f>
        <v>-0.13304081016323729</v>
      </c>
      <c r="G948" s="38">
        <f>$G$664</f>
        <v>-6.2082169612860817E-2</v>
      </c>
      <c r="H948" s="38">
        <f>$H$664</f>
        <v>-0.13304081016323729</v>
      </c>
      <c r="I948" s="38">
        <f>$I$664</f>
        <v>-0.13304081016323729</v>
      </c>
      <c r="J948" s="38">
        <f>$J$664</f>
        <v>-0.13304081016323729</v>
      </c>
      <c r="K948" s="17"/>
    </row>
    <row r="949" spans="1:11" x14ac:dyDescent="0.25">
      <c r="A949" s="4" t="s">
        <v>201</v>
      </c>
      <c r="B949" s="38">
        <f>$B$665</f>
        <v>0</v>
      </c>
      <c r="C949" s="38">
        <f>$C$665</f>
        <v>-6.2082169612860817E-2</v>
      </c>
      <c r="D949" s="38">
        <f>$D$665</f>
        <v>-6.2082169612860817E-2</v>
      </c>
      <c r="E949" s="38">
        <f>$E$665</f>
        <v>-0.13304081016323729</v>
      </c>
      <c r="F949" s="38">
        <f>$F$665</f>
        <v>-0.13304081016323729</v>
      </c>
      <c r="G949" s="38">
        <f>$G$665</f>
        <v>-6.2082169612860817E-2</v>
      </c>
      <c r="H949" s="38">
        <f>$H$665</f>
        <v>-0.13304081016323729</v>
      </c>
      <c r="I949" s="38">
        <f>$I$665</f>
        <v>-0.13304081016323729</v>
      </c>
      <c r="J949" s="38">
        <f>$J$665</f>
        <v>-0.13304081016323729</v>
      </c>
      <c r="K949" s="17"/>
    </row>
    <row r="950" spans="1:11" x14ac:dyDescent="0.25">
      <c r="A950" s="4" t="s">
        <v>211</v>
      </c>
      <c r="B950" s="38">
        <f>$B$666</f>
        <v>0</v>
      </c>
      <c r="C950" s="38">
        <f>$C$666</f>
        <v>-6.2082169612860817E-2</v>
      </c>
      <c r="D950" s="38">
        <f>$D$666</f>
        <v>-6.2082169612860817E-2</v>
      </c>
      <c r="E950" s="38">
        <f>$E$666</f>
        <v>-0.13304081016323729</v>
      </c>
      <c r="F950" s="38">
        <f>$F$666</f>
        <v>-0.13304081016323729</v>
      </c>
      <c r="G950" s="38">
        <f>$G$666</f>
        <v>-6.2082169612860817E-2</v>
      </c>
      <c r="H950" s="38">
        <f>$H$666</f>
        <v>-0.13304081016323729</v>
      </c>
      <c r="I950" s="38">
        <f>$I$666</f>
        <v>-0.13304081016323729</v>
      </c>
      <c r="J950" s="38">
        <f>$J$666</f>
        <v>-0.13304081016323729</v>
      </c>
      <c r="K950" s="17"/>
    </row>
    <row r="951" spans="1:11" x14ac:dyDescent="0.25">
      <c r="A951" s="4" t="s">
        <v>212</v>
      </c>
      <c r="B951" s="38">
        <f>$B$667</f>
        <v>0</v>
      </c>
      <c r="C951" s="38">
        <f>$C$667</f>
        <v>-6.2082169612860817E-2</v>
      </c>
      <c r="D951" s="38">
        <f>$D$667</f>
        <v>-6.2082169612860817E-2</v>
      </c>
      <c r="E951" s="38">
        <f>$E$667</f>
        <v>-0.13304081016323729</v>
      </c>
      <c r="F951" s="38">
        <f>$F$667</f>
        <v>-0.13304081016323729</v>
      </c>
      <c r="G951" s="38">
        <f>$G$667</f>
        <v>-6.2082169612860817E-2</v>
      </c>
      <c r="H951" s="38">
        <f>$H$667</f>
        <v>-0.13304081016323729</v>
      </c>
      <c r="I951" s="38">
        <f>$I$667</f>
        <v>-0.13304081016323729</v>
      </c>
      <c r="J951" s="38">
        <f>$J$667</f>
        <v>-0.13304081016323729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South West in April 19 (no data version)</v>
      </c>
    </row>
    <row r="3" spans="1:11" ht="21" customHeight="1" x14ac:dyDescent="0.3">
      <c r="A3" s="1" t="s">
        <v>828</v>
      </c>
    </row>
    <row r="4" spans="1:11" x14ac:dyDescent="0.25">
      <c r="A4" s="2" t="s">
        <v>381</v>
      </c>
    </row>
    <row r="5" spans="1:11" x14ac:dyDescent="0.25">
      <c r="A5" s="32" t="s">
        <v>602</v>
      </c>
    </row>
    <row r="6" spans="1:11" x14ac:dyDescent="0.25">
      <c r="A6" s="32" t="s">
        <v>829</v>
      </c>
    </row>
    <row r="7" spans="1:11" x14ac:dyDescent="0.25">
      <c r="A7" s="32" t="s">
        <v>830</v>
      </c>
    </row>
    <row r="8" spans="1:11" x14ac:dyDescent="0.25">
      <c r="A8" s="32" t="s">
        <v>586</v>
      </c>
    </row>
    <row r="9" spans="1:11" x14ac:dyDescent="0.25">
      <c r="A9" s="2" t="s">
        <v>831</v>
      </c>
    </row>
    <row r="11" spans="1:11" x14ac:dyDescent="0.25">
      <c r="B11" s="15" t="s">
        <v>150</v>
      </c>
      <c r="C11" s="15" t="s">
        <v>151</v>
      </c>
      <c r="D11" s="15" t="s">
        <v>152</v>
      </c>
      <c r="E11" s="15" t="s">
        <v>153</v>
      </c>
      <c r="F11" s="15" t="s">
        <v>154</v>
      </c>
      <c r="G11" s="15" t="s">
        <v>159</v>
      </c>
      <c r="H11" s="15" t="s">
        <v>155</v>
      </c>
      <c r="I11" s="15" t="s">
        <v>156</v>
      </c>
      <c r="J11" s="15" t="s">
        <v>157</v>
      </c>
    </row>
    <row r="12" spans="1:11" x14ac:dyDescent="0.25">
      <c r="A12" s="4" t="s">
        <v>182</v>
      </c>
      <c r="B12" s="42">
        <f>(Loads!$B$334*Multi!B$882)*LAFs!B$261/(24*Input!$F$60)*1000</f>
        <v>1162324.1121908564</v>
      </c>
      <c r="C12" s="42">
        <f>(Loads!$B$334*Multi!C$882)*LAFs!C$261/(24*Input!$F$60)*1000</f>
        <v>1123467.8137056262</v>
      </c>
      <c r="D12" s="42">
        <f>(Loads!$B$334*Multi!D$882)*LAFs!D$261/(24*Input!$F$60)*1000</f>
        <v>1119000.7448638545</v>
      </c>
      <c r="E12" s="42">
        <f>(Loads!$B$334*Multi!E$882)*LAFs!E$261/(24*Input!$F$60)*1000</f>
        <v>1039898.7241063708</v>
      </c>
      <c r="F12" s="42">
        <f>(Loads!$B$334*Multi!F$882)*LAFs!F$261/(24*Input!$F$60)*1000</f>
        <v>1030732.1339820251</v>
      </c>
      <c r="G12" s="42">
        <f>(Loads!$B$334*Multi!G$882)*LAFs!G$261/(24*Input!$F$60)*1000</f>
        <v>0</v>
      </c>
      <c r="H12" s="42">
        <f>(Loads!$B$334*Multi!H$882)*LAFs!H$261/(24*Input!$F$60)*1000</f>
        <v>1013851.1645430129</v>
      </c>
      <c r="I12" s="42">
        <f>(Loads!$B$334*Multi!I$882)*LAFs!I$261/(24*Input!$F$60)*1000</f>
        <v>1003219.7414639157</v>
      </c>
      <c r="J12" s="42">
        <f>(Loads!$B$334*Multi!J$882)*LAFs!J$261/(24*Input!$F$60)*1000</f>
        <v>990939.27381887694</v>
      </c>
      <c r="K12" s="17"/>
    </row>
    <row r="13" spans="1:11" x14ac:dyDescent="0.25">
      <c r="A13" s="4" t="s">
        <v>228</v>
      </c>
      <c r="B13" s="42">
        <f>(Loads!$B$336*Multi!B$884)*LAFs!B$263/(24*Input!$F$60)*1000</f>
        <v>135.24602977615515</v>
      </c>
      <c r="C13" s="42">
        <f>(Loads!$B$336*Multi!C$884)*LAFs!C$263/(24*Input!$F$60)*1000</f>
        <v>579.32204655539215</v>
      </c>
      <c r="D13" s="42">
        <f>(Loads!$B$336*Multi!D$884)*LAFs!D$263/(24*Input!$F$60)*1000</f>
        <v>577.01857917346217</v>
      </c>
      <c r="E13" s="42">
        <f>(Loads!$B$336*Multi!E$884)*LAFs!E$263/(24*Input!$F$60)*1000</f>
        <v>1270.5466549765847</v>
      </c>
      <c r="F13" s="42">
        <f>(Loads!$B$336*Multi!F$884)*LAFs!F$263/(24*Input!$F$60)*1000</f>
        <v>1259.3469293205719</v>
      </c>
      <c r="G13" s="42">
        <f>(Loads!$B$336*Multi!G$884)*LAFs!G$263/(24*Input!$F$60)*1000</f>
        <v>0</v>
      </c>
      <c r="H13" s="42">
        <f>(Loads!$B$336*Multi!H$884)*LAFs!H$263/(24*Input!$F$60)*1000</f>
        <v>1238.7217869328551</v>
      </c>
      <c r="I13" s="42">
        <f>(Loads!$B$336*Multi!I$884)*LAFs!I$263/(24*Input!$F$60)*1000</f>
        <v>1225.73233063518</v>
      </c>
      <c r="J13" s="42">
        <f>(Loads!$B$336*Multi!J$884)*LAFs!J$263/(24*Input!$F$60)*1000</f>
        <v>1210.7280742338075</v>
      </c>
      <c r="K13" s="17"/>
    </row>
    <row r="14" spans="1:11" x14ac:dyDescent="0.25">
      <c r="A14" s="4" t="s">
        <v>184</v>
      </c>
      <c r="B14" s="42">
        <f>(Loads!$B$337*Multi!B$885)*LAFs!B$264/(24*Input!$F$60)*1000</f>
        <v>240357.21553438166</v>
      </c>
      <c r="C14" s="42">
        <f>(Loads!$B$337*Multi!C$885)*LAFs!C$264/(24*Input!$F$60)*1000</f>
        <v>243809.82633976382</v>
      </c>
      <c r="D14" s="42">
        <f>(Loads!$B$337*Multi!D$885)*LAFs!D$264/(24*Input!$F$60)*1000</f>
        <v>242840.40357101723</v>
      </c>
      <c r="E14" s="42">
        <f>(Loads!$B$337*Multi!E$885)*LAFs!E$264/(24*Input!$F$60)*1000</f>
        <v>256965.84682379948</v>
      </c>
      <c r="F14" s="42">
        <f>(Loads!$B$337*Multi!F$885)*LAFs!F$264/(24*Input!$F$60)*1000</f>
        <v>254700.72182731159</v>
      </c>
      <c r="G14" s="42">
        <f>(Loads!$B$337*Multi!G$885)*LAFs!G$264/(24*Input!$F$60)*1000</f>
        <v>0</v>
      </c>
      <c r="H14" s="42">
        <f>(Loads!$B$337*Multi!H$885)*LAFs!H$264/(24*Input!$F$60)*1000</f>
        <v>250529.32272223994</v>
      </c>
      <c r="I14" s="42">
        <f>(Loads!$B$337*Multi!I$885)*LAFs!I$264/(24*Input!$F$60)*1000</f>
        <v>247902.22782238814</v>
      </c>
      <c r="J14" s="42">
        <f>(Loads!$B$337*Multi!J$885)*LAFs!J$264/(24*Input!$F$60)*1000</f>
        <v>244867.64311269784</v>
      </c>
      <c r="K14" s="17"/>
    </row>
    <row r="15" spans="1:11" x14ac:dyDescent="0.25">
      <c r="A15" s="4" t="s">
        <v>229</v>
      </c>
      <c r="B15" s="42">
        <f>(Loads!$B$339*Multi!B$887)*LAFs!B$266/(24*Input!$F$60)*1000</f>
        <v>81.085433198860372</v>
      </c>
      <c r="C15" s="42">
        <f>(Loads!$B$339*Multi!C$887)*LAFs!C$266/(24*Input!$F$60)*1000</f>
        <v>245.78187971451533</v>
      </c>
      <c r="D15" s="42">
        <f>(Loads!$B$339*Multi!D$887)*LAFs!D$266/(24*Input!$F$60)*1000</f>
        <v>244.80461577926874</v>
      </c>
      <c r="E15" s="42">
        <f>(Loads!$B$339*Multi!E$887)*LAFs!E$266/(24*Input!$F$60)*1000</f>
        <v>505.80225196319361</v>
      </c>
      <c r="F15" s="42">
        <f>(Loads!$B$339*Multi!F$887)*LAFs!F$266/(24*Input!$F$60)*1000</f>
        <v>501.34366208300895</v>
      </c>
      <c r="G15" s="42">
        <f>(Loads!$B$339*Multi!G$887)*LAFs!G$266/(24*Input!$F$60)*1000</f>
        <v>0</v>
      </c>
      <c r="H15" s="42">
        <f>(Loads!$B$339*Multi!H$887)*LAFs!H$266/(24*Input!$F$60)*1000</f>
        <v>493.13283139378802</v>
      </c>
      <c r="I15" s="42">
        <f>(Loads!$B$339*Multi!I$887)*LAFs!I$266/(24*Input!$F$60)*1000</f>
        <v>487.96175308555962</v>
      </c>
      <c r="J15" s="42">
        <f>(Loads!$B$339*Multi!J$887)*LAFs!J$266/(24*Input!$F$60)*1000</f>
        <v>481.98858661652724</v>
      </c>
      <c r="K15" s="17"/>
    </row>
    <row r="16" spans="1:11" x14ac:dyDescent="0.25">
      <c r="A16" s="4" t="s">
        <v>230</v>
      </c>
      <c r="B16" s="42">
        <f>(Loads!$B$348*Multi!B$896)*LAFs!B$275/(24*Input!$F$60)*1000</f>
        <v>550.02737417328069</v>
      </c>
      <c r="C16" s="42">
        <f>(Loads!$B$348*Multi!C$896)*LAFs!C$275/(24*Input!$F$60)*1000</f>
        <v>549.03205940042551</v>
      </c>
      <c r="D16" s="42">
        <f>(Loads!$B$348*Multi!D$896)*LAFs!D$275/(24*Input!$F$60)*1000</f>
        <v>546.84902934316744</v>
      </c>
      <c r="E16" s="42">
        <f>(Loads!$B$348*Multi!E$896)*LAFs!E$275/(24*Input!$F$60)*1000</f>
        <v>543.92455760090695</v>
      </c>
      <c r="F16" s="42">
        <f>(Loads!$B$348*Multi!F$896)*LAFs!F$275/(24*Input!$F$60)*1000</f>
        <v>539.12992389041926</v>
      </c>
      <c r="G16" s="42">
        <f>(Loads!$B$348*Multi!G$896)*LAFs!G$275/(24*Input!$F$60)*1000</f>
        <v>0</v>
      </c>
      <c r="H16" s="42">
        <f>(Loads!$B$348*Multi!H$896)*LAFs!H$275/(24*Input!$F$60)*1000</f>
        <v>530.30024305599022</v>
      </c>
      <c r="I16" s="42">
        <f>(Loads!$B$348*Multi!I$896)*LAFs!I$275/(24*Input!$F$60)*1000</f>
        <v>524.73942067885412</v>
      </c>
      <c r="J16" s="42">
        <f>(Loads!$B$348*Multi!J$896)*LAFs!J$275/(24*Input!$F$60)*1000</f>
        <v>518.31605677223899</v>
      </c>
      <c r="K16" s="17"/>
    </row>
    <row r="17" spans="1:11" x14ac:dyDescent="0.25">
      <c r="A17" s="4" t="s">
        <v>231</v>
      </c>
      <c r="B17" s="42">
        <f>(Loads!$B$349*Multi!B$897)*LAFs!B$276/(24*Input!$F$60)*1000</f>
        <v>1145.5403154899491</v>
      </c>
      <c r="C17" s="42">
        <f>(Loads!$B$349*Multi!C$897)*LAFs!C$276/(24*Input!$F$60)*1000</f>
        <v>1091.382157517196</v>
      </c>
      <c r="D17" s="42">
        <f>(Loads!$B$349*Multi!D$897)*LAFs!D$276/(24*Input!$F$60)*1000</f>
        <v>1087.0426658372073</v>
      </c>
      <c r="E17" s="42">
        <f>(Loads!$B$349*Multi!E$897)*LAFs!E$276/(24*Input!$F$60)*1000</f>
        <v>837.57715860763471</v>
      </c>
      <c r="F17" s="42">
        <f>(Loads!$B$349*Multi!F$897)*LAFs!F$276/(24*Input!$F$60)*1000</f>
        <v>830.19401029473704</v>
      </c>
      <c r="G17" s="42">
        <f>(Loads!$B$349*Multi!G$897)*LAFs!G$276/(24*Input!$F$60)*1000</f>
        <v>0</v>
      </c>
      <c r="H17" s="42">
        <f>(Loads!$B$349*Multi!H$897)*LAFs!H$276/(24*Input!$F$60)*1000</f>
        <v>816.59738392189445</v>
      </c>
      <c r="I17" s="42">
        <f>(Loads!$B$349*Multi!I$897)*LAFs!I$276/(24*Input!$F$60)*1000</f>
        <v>808.0343989617985</v>
      </c>
      <c r="J17" s="42">
        <f>(Loads!$B$349*Multi!J$897)*LAFs!J$276/(24*Input!$F$60)*1000</f>
        <v>798.14320575416798</v>
      </c>
      <c r="K17" s="17"/>
    </row>
    <row r="18" spans="1:11" x14ac:dyDescent="0.25">
      <c r="A18" s="4" t="s">
        <v>232</v>
      </c>
      <c r="B18" s="42">
        <f>(Loads!$B$350*Multi!B$898)*LAFs!B$277/(24*Input!$F$60)*1000</f>
        <v>233.50409791447402</v>
      </c>
      <c r="C18" s="42">
        <f>(Loads!$B$350*Multi!C$898)*LAFs!C$277/(24*Input!$F$60)*1000</f>
        <v>218.53731455584969</v>
      </c>
      <c r="D18" s="42">
        <f>(Loads!$B$350*Multi!D$898)*LAFs!D$277/(24*Input!$F$60)*1000</f>
        <v>217.66837891149243</v>
      </c>
      <c r="E18" s="42">
        <f>(Loads!$B$350*Multi!E$898)*LAFs!E$277/(24*Input!$F$60)*1000</f>
        <v>161.83483973498087</v>
      </c>
      <c r="F18" s="42">
        <f>(Loads!$B$350*Multi!F$898)*LAFs!F$277/(24*Input!$F$60)*1000</f>
        <v>160.40828385093116</v>
      </c>
      <c r="G18" s="42">
        <f>(Loads!$B$350*Multi!G$898)*LAFs!G$277/(24*Input!$F$60)*1000</f>
        <v>0</v>
      </c>
      <c r="H18" s="42">
        <f>(Loads!$B$350*Multi!H$898)*LAFs!H$277/(24*Input!$F$60)*1000</f>
        <v>157.78117322909506</v>
      </c>
      <c r="I18" s="42">
        <f>(Loads!$B$350*Multi!I$898)*LAFs!I$277/(24*Input!$F$60)*1000</f>
        <v>156.12665187016276</v>
      </c>
      <c r="J18" s="42">
        <f>(Loads!$B$350*Multi!J$898)*LAFs!J$277/(24*Input!$F$60)*1000</f>
        <v>154.21549699792908</v>
      </c>
      <c r="K18" s="17"/>
    </row>
    <row r="19" spans="1:11" x14ac:dyDescent="0.25">
      <c r="A19" s="4" t="s">
        <v>233</v>
      </c>
      <c r="B19" s="42">
        <f>(Loads!$B$351*Multi!B$899)*LAFs!B$278/(24*Input!$F$60)*1000</f>
        <v>0</v>
      </c>
      <c r="C19" s="42">
        <f>(Loads!$B$351*Multi!C$899)*LAFs!C$278/(24*Input!$F$60)*1000</f>
        <v>0</v>
      </c>
      <c r="D19" s="42">
        <f>(Loads!$B$351*Multi!D$899)*LAFs!D$278/(24*Input!$F$60)*1000</f>
        <v>0</v>
      </c>
      <c r="E19" s="42">
        <f>(Loads!$B$351*Multi!E$899)*LAFs!E$278/(24*Input!$F$60)*1000</f>
        <v>0</v>
      </c>
      <c r="F19" s="42">
        <f>(Loads!$B$351*Multi!F$899)*LAFs!F$278/(24*Input!$F$60)*1000</f>
        <v>0</v>
      </c>
      <c r="G19" s="42">
        <f>(Loads!$B$351*Multi!G$899)*LAFs!G$278/(24*Input!$F$60)*1000</f>
        <v>0</v>
      </c>
      <c r="H19" s="42">
        <f>(Loads!$B$351*Multi!H$899)*LAFs!H$278/(24*Input!$F$60)*1000</f>
        <v>0</v>
      </c>
      <c r="I19" s="42">
        <f>(Loads!$B$351*Multi!I$899)*LAFs!I$278/(24*Input!$F$60)*1000</f>
        <v>0</v>
      </c>
      <c r="J19" s="42">
        <f>(Loads!$B$351*Multi!J$899)*LAFs!J$278/(24*Input!$F$60)*1000</f>
        <v>0</v>
      </c>
      <c r="K19" s="17"/>
    </row>
    <row r="21" spans="1:11" ht="21" customHeight="1" x14ac:dyDescent="0.3">
      <c r="A21" s="1" t="s">
        <v>832</v>
      </c>
    </row>
    <row r="22" spans="1:11" x14ac:dyDescent="0.25">
      <c r="A22" s="2" t="s">
        <v>381</v>
      </c>
    </row>
    <row r="23" spans="1:11" x14ac:dyDescent="0.25">
      <c r="A23" s="32" t="s">
        <v>602</v>
      </c>
    </row>
    <row r="24" spans="1:11" x14ac:dyDescent="0.25">
      <c r="A24" s="32" t="s">
        <v>829</v>
      </c>
    </row>
    <row r="25" spans="1:11" x14ac:dyDescent="0.25">
      <c r="A25" s="32" t="s">
        <v>833</v>
      </c>
    </row>
    <row r="26" spans="1:11" x14ac:dyDescent="0.25">
      <c r="A26" s="32" t="s">
        <v>834</v>
      </c>
    </row>
    <row r="27" spans="1:11" x14ac:dyDescent="0.25">
      <c r="A27" s="32" t="s">
        <v>835</v>
      </c>
    </row>
    <row r="28" spans="1:11" x14ac:dyDescent="0.25">
      <c r="A28" s="32" t="s">
        <v>613</v>
      </c>
    </row>
    <row r="29" spans="1:11" x14ac:dyDescent="0.25">
      <c r="A29" s="2" t="s">
        <v>836</v>
      </c>
    </row>
    <row r="31" spans="1:11" x14ac:dyDescent="0.25">
      <c r="B31" s="15" t="s">
        <v>150</v>
      </c>
      <c r="C31" s="15" t="s">
        <v>151</v>
      </c>
      <c r="D31" s="15" t="s">
        <v>152</v>
      </c>
      <c r="E31" s="15" t="s">
        <v>153</v>
      </c>
      <c r="F31" s="15" t="s">
        <v>154</v>
      </c>
      <c r="G31" s="15" t="s">
        <v>159</v>
      </c>
      <c r="H31" s="15" t="s">
        <v>155</v>
      </c>
      <c r="I31" s="15" t="s">
        <v>156</v>
      </c>
      <c r="J31" s="15" t="s">
        <v>157</v>
      </c>
    </row>
    <row r="32" spans="1:11" x14ac:dyDescent="0.25">
      <c r="A32" s="4" t="s">
        <v>183</v>
      </c>
      <c r="B32" s="42">
        <f>(Loads!$B$335*Multi!B$883+Loads!$C$335*Multi!B$915)*LAFs!B$262/(24*Input!$F$60)*1000</f>
        <v>203112.04843994309</v>
      </c>
      <c r="C32" s="42">
        <f>(Loads!$B$335*Multi!C$883+Loads!$C$335*Multi!C$915)*LAFs!C$262/(24*Input!$F$60)*1000</f>
        <v>201582.89078449836</v>
      </c>
      <c r="D32" s="42">
        <f>(Loads!$B$335*Multi!D$883+Loads!$C$335*Multi!D$915)*LAFs!D$262/(24*Input!$F$60)*1000</f>
        <v>200781.3683559318</v>
      </c>
      <c r="E32" s="42">
        <f>(Loads!$B$335*Multi!E$883+Loads!$C$335*Multi!E$915)*LAFs!E$262/(24*Input!$F$60)*1000</f>
        <v>192955.74219650857</v>
      </c>
      <c r="F32" s="42">
        <f>(Loads!$B$335*Multi!F$883+Loads!$C$335*Multi!F$915)*LAFs!F$262/(24*Input!$F$60)*1000</f>
        <v>191254.85906255312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188122.55404900454</v>
      </c>
      <c r="I32" s="42">
        <f>(Loads!$B$335*Multi!I$883+Loads!$C$335*Multi!I$915)*LAFs!I$262/(24*Input!$F$60)*1000</f>
        <v>186149.86759091204</v>
      </c>
      <c r="J32" s="42">
        <f>(Loads!$B$335*Multi!J$883+Loads!$C$335*Multi!J$915)*LAFs!J$262/(24*Input!$F$60)*1000</f>
        <v>183871.19689535469</v>
      </c>
      <c r="K32" s="17"/>
    </row>
    <row r="33" spans="1:11" x14ac:dyDescent="0.25">
      <c r="A33" s="4" t="s">
        <v>185</v>
      </c>
      <c r="B33" s="42">
        <f>(Loads!$B$338*Multi!B$886+Loads!$C$338*Multi!B$916)*LAFs!B$265/(24*Input!$F$60)*1000</f>
        <v>99011.571059695067</v>
      </c>
      <c r="C33" s="42">
        <f>(Loads!$B$338*Multi!C$886+Loads!$C$338*Multi!C$916)*LAFs!C$265/(24*Input!$F$60)*1000</f>
        <v>99921.212659200217</v>
      </c>
      <c r="D33" s="42">
        <f>(Loads!$B$338*Multi!D$886+Loads!$C$338*Multi!D$916)*LAFs!D$265/(24*Input!$F$60)*1000</f>
        <v>99523.91161482966</v>
      </c>
      <c r="E33" s="42">
        <f>(Loads!$B$338*Multi!E$886+Loads!$C$338*Multi!E$916)*LAFs!E$265/(24*Input!$F$60)*1000</f>
        <v>102424.69939116829</v>
      </c>
      <c r="F33" s="42">
        <f>(Loads!$B$338*Multi!F$886+Loads!$C$338*Multi!F$916)*LAFs!F$265/(24*Input!$F$60)*1000</f>
        <v>101521.83720260757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99859.148154009934</v>
      </c>
      <c r="I33" s="42">
        <f>(Loads!$B$338*Multi!I$886+Loads!$C$338*Multi!I$916)*LAFs!I$265/(24*Input!$F$60)*1000</f>
        <v>98812.007420269147</v>
      </c>
      <c r="J33" s="42">
        <f>(Loads!$B$338*Multi!J$886+Loads!$C$338*Multi!J$916)*LAFs!J$265/(24*Input!$F$60)*1000</f>
        <v>97602.444240924946</v>
      </c>
      <c r="K33" s="17"/>
    </row>
    <row r="34" spans="1:11" x14ac:dyDescent="0.25">
      <c r="A34" s="4" t="s">
        <v>186</v>
      </c>
      <c r="B34" s="42">
        <f>(Loads!$B$340*Multi!B$888+Loads!$C$340*Multi!B$917)*LAFs!B$267/(24*Input!$F$60)*1000</f>
        <v>13356.240905322322</v>
      </c>
      <c r="C34" s="42">
        <f>(Loads!$B$340*Multi!C$888+Loads!$C$340*Multi!C$917)*LAFs!C$267/(24*Input!$F$60)*1000</f>
        <v>13341.72032644729</v>
      </c>
      <c r="D34" s="42">
        <f>(Loads!$B$340*Multi!D$888+Loads!$C$340*Multi!D$917)*LAFs!D$267/(24*Input!$F$60)*1000</f>
        <v>13288.671736680104</v>
      </c>
      <c r="E34" s="42">
        <f>(Loads!$B$340*Multi!E$888+Loads!$C$340*Multi!E$917)*LAFs!E$267/(24*Input!$F$60)*1000</f>
        <v>13450.861381679686</v>
      </c>
      <c r="F34" s="42">
        <f>(Loads!$B$340*Multi!F$888+Loads!$C$340*Multi!F$917)*LAFs!F$267/(24*Input!$F$60)*1000</f>
        <v>13332.293553633543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13113.941925105823</v>
      </c>
      <c r="I34" s="42">
        <f>(Loads!$B$340*Multi!I$888+Loads!$C$340*Multi!I$917)*LAFs!I$267/(24*Input!$F$60)*1000</f>
        <v>12976.426804823495</v>
      </c>
      <c r="J34" s="42">
        <f>(Loads!$B$340*Multi!J$888+Loads!$C$340*Multi!J$917)*LAFs!J$267/(24*Input!$F$60)*1000</f>
        <v>12817.581655611904</v>
      </c>
      <c r="K34" s="17"/>
    </row>
    <row r="35" spans="1:11" x14ac:dyDescent="0.25">
      <c r="A35" s="4" t="s">
        <v>187</v>
      </c>
      <c r="B35" s="42">
        <f>(Loads!$B$341*Multi!B$889+Loads!$C$341*Multi!B$918)*LAFs!B$268/(24*Input!$F$60)*1000</f>
        <v>2316.8410407607075</v>
      </c>
      <c r="C35" s="42">
        <f>(Loads!$B$341*Multi!C$889+Loads!$C$341*Multi!C$918)*LAFs!C$268/(24*Input!$F$60)*1000</f>
        <v>2317.0337794618877</v>
      </c>
      <c r="D35" s="42">
        <f>(Loads!$B$341*Multi!D$889+Loads!$C$341*Multi!D$918)*LAFs!D$268/(24*Input!$F$60)*1000</f>
        <v>2307.8209214918602</v>
      </c>
      <c r="E35" s="42">
        <f>(Loads!$B$341*Multi!E$889+Loads!$C$341*Multi!E$918)*LAFs!E$268/(24*Input!$F$60)*1000</f>
        <v>2340.7382510210177</v>
      </c>
      <c r="F35" s="42">
        <f>(Loads!$B$341*Multi!F$889+Loads!$C$341*Multi!F$918)*LAFs!F$268/(24*Input!$F$60)*1000</f>
        <v>2320.1049069865526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2282.1070424212626</v>
      </c>
      <c r="I35" s="42">
        <f>(Loads!$B$341*Multi!I$889+Loads!$C$341*Multi!I$918)*LAFs!I$268/(24*Input!$F$60)*1000</f>
        <v>2258.1764633300954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207</v>
      </c>
      <c r="B36" s="42">
        <f>(Loads!$B$342*Multi!B$890+Loads!$C$342*Multi!B$919)*LAFs!B$269/(24*Input!$F$60)*1000</f>
        <v>113.76491718969667</v>
      </c>
      <c r="C36" s="42">
        <f>(Loads!$B$342*Multi!C$890+Loads!$C$342*Multi!C$919)*LAFs!C$269/(24*Input!$F$60)*1000</f>
        <v>115.12127532411658</v>
      </c>
      <c r="D36" s="42">
        <f>(Loads!$B$342*Multi!D$890+Loads!$C$342*Multi!D$919)*LAFs!D$269/(24*Input!$F$60)*1000</f>
        <v>114.66353665483578</v>
      </c>
      <c r="E36" s="42">
        <f>(Loads!$B$342*Multi!E$890+Loads!$C$342*Multi!E$919)*LAFs!E$269/(24*Input!$F$60)*1000</f>
        <v>118.99667793839897</v>
      </c>
      <c r="F36" s="42">
        <f>(Loads!$B$342*Multi!F$890+Loads!$C$342*Multi!F$919)*LAFs!F$269/(24*Input!$F$60)*1000</f>
        <v>117.94773562552378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116.01602897269726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837</v>
      </c>
    </row>
    <row r="39" spans="1:11" x14ac:dyDescent="0.25">
      <c r="A39" s="2" t="s">
        <v>381</v>
      </c>
    </row>
    <row r="40" spans="1:11" x14ac:dyDescent="0.25">
      <c r="A40" s="32" t="s">
        <v>602</v>
      </c>
    </row>
    <row r="41" spans="1:11" x14ac:dyDescent="0.25">
      <c r="A41" s="32" t="s">
        <v>829</v>
      </c>
    </row>
    <row r="42" spans="1:11" x14ac:dyDescent="0.25">
      <c r="A42" s="32" t="s">
        <v>833</v>
      </c>
    </row>
    <row r="43" spans="1:11" x14ac:dyDescent="0.25">
      <c r="A43" s="32" t="s">
        <v>834</v>
      </c>
    </row>
    <row r="44" spans="1:11" x14ac:dyDescent="0.25">
      <c r="A44" s="32" t="s">
        <v>838</v>
      </c>
    </row>
    <row r="45" spans="1:11" x14ac:dyDescent="0.25">
      <c r="A45" s="32" t="s">
        <v>839</v>
      </c>
    </row>
    <row r="46" spans="1:11" x14ac:dyDescent="0.25">
      <c r="A46" s="32" t="s">
        <v>840</v>
      </c>
    </row>
    <row r="47" spans="1:11" x14ac:dyDescent="0.25">
      <c r="A47" s="32" t="s">
        <v>623</v>
      </c>
    </row>
    <row r="48" spans="1:11" x14ac:dyDescent="0.25">
      <c r="A48" s="2" t="s">
        <v>841</v>
      </c>
    </row>
    <row r="50" spans="1:11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159</v>
      </c>
      <c r="H50" s="15" t="s">
        <v>155</v>
      </c>
      <c r="I50" s="15" t="s">
        <v>156</v>
      </c>
      <c r="J50" s="15" t="s">
        <v>157</v>
      </c>
    </row>
    <row r="51" spans="1:11" x14ac:dyDescent="0.25">
      <c r="A51" s="4" t="s">
        <v>188</v>
      </c>
      <c r="B51" s="42">
        <f>(Loads!$B$343*Multi!B$891+Loads!$C$343*Multi!B$920+Loads!$D$343*Multi!B$940)*LAFs!B$270/(24*Input!$F$60)*1000</f>
        <v>53.817723303277781</v>
      </c>
      <c r="C51" s="42">
        <f>(Loads!$B$343*Multi!C$891+Loads!$C$343*Multi!C$920+Loads!$D$343*Multi!C$940)*LAFs!C$270/(24*Input!$F$60)*1000</f>
        <v>54.432336036214586</v>
      </c>
      <c r="D51" s="42">
        <f>(Loads!$B$343*Multi!D$891+Loads!$C$343*Multi!D$920+Loads!$D$343*Multi!D$940)*LAFs!D$270/(24*Input!$F$60)*1000</f>
        <v>54.215905276627261</v>
      </c>
      <c r="E51" s="42">
        <f>(Loads!$B$343*Multi!E$891+Loads!$C$343*Multi!E$920+Loads!$D$343*Multi!E$940)*LAFs!E$270/(24*Input!$F$60)*1000</f>
        <v>56.488901648838535</v>
      </c>
      <c r="F51" s="42">
        <f>(Loads!$B$343*Multi!F$891+Loads!$C$343*Multi!F$920+Loads!$D$343*Multi!F$940)*LAFs!F$270/(24*Input!$F$60)*1000</f>
        <v>55.990958343412935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55.073958062258768</v>
      </c>
      <c r="I51" s="42">
        <f>(Loads!$B$343*Multi!I$891+Loads!$C$343*Multi!I$920+Loads!$D$343*Multi!I$940)*LAFs!I$270/(24*Input!$F$60)*1000</f>
        <v>54.496442772759394</v>
      </c>
      <c r="J51" s="42">
        <f>(Loads!$B$343*Multi!J$891+Loads!$C$343*Multi!J$920+Loads!$D$343*Multi!J$940)*LAFs!J$270/(24*Input!$F$60)*1000</f>
        <v>53.829348840512807</v>
      </c>
      <c r="K51" s="17"/>
    </row>
    <row r="52" spans="1:11" x14ac:dyDescent="0.25">
      <c r="A52" s="4" t="s">
        <v>189</v>
      </c>
      <c r="B52" s="42">
        <f>(Loads!$B$344*Multi!B$892+Loads!$C$344*Multi!B$921+Loads!$D$344*Multi!B$941)*LAFs!B$271/(24*Input!$F$60)*1000</f>
        <v>78633.040871678939</v>
      </c>
      <c r="C52" s="42">
        <f>(Loads!$B$344*Multi!C$892+Loads!$C$344*Multi!C$921+Loads!$D$344*Multi!C$941)*LAFs!C$271/(24*Input!$F$60)*1000</f>
        <v>78256.387636362619</v>
      </c>
      <c r="D52" s="42">
        <f>(Loads!$B$344*Multi!D$892+Loads!$C$344*Multi!D$921+Loads!$D$344*Multi!D$941)*LAFs!D$271/(24*Input!$F$60)*1000</f>
        <v>77945.229037410871</v>
      </c>
      <c r="E52" s="42">
        <f>(Loads!$B$344*Multi!E$892+Loads!$C$344*Multi!E$921+Loads!$D$344*Multi!E$941)*LAFs!E$271/(24*Input!$F$60)*1000</f>
        <v>78204.092381482886</v>
      </c>
      <c r="F52" s="42">
        <f>(Loads!$B$344*Multi!F$892+Loads!$C$344*Multi!F$921+Loads!$D$344*Multi!F$941)*LAFs!F$271/(24*Input!$F$60)*1000</f>
        <v>77514.732115632432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76245.223015472729</v>
      </c>
      <c r="I52" s="42">
        <f>(Loads!$B$344*Multi!I$892+Loads!$C$344*Multi!I$921+Loads!$D$344*Multi!I$941)*LAFs!I$271/(24*Input!$F$60)*1000</f>
        <v>75445.702087760437</v>
      </c>
      <c r="J52" s="42">
        <f>(Loads!$B$344*Multi!J$892+Loads!$C$344*Multi!J$921+Loads!$D$344*Multi!J$941)*LAFs!J$271/(24*Input!$F$60)*1000</f>
        <v>74522.167128117406</v>
      </c>
      <c r="K52" s="17"/>
    </row>
    <row r="53" spans="1:11" x14ac:dyDescent="0.25">
      <c r="A53" s="4" t="s">
        <v>190</v>
      </c>
      <c r="B53" s="42">
        <f>(Loads!$B$345*Multi!B$893+Loads!$C$345*Multi!B$922+Loads!$D$345*Multi!B$942)*LAFs!B$272/(24*Input!$F$60)*1000</f>
        <v>212479.89430869752</v>
      </c>
      <c r="C53" s="42">
        <f>(Loads!$B$345*Multi!C$893+Loads!$C$345*Multi!C$922+Loads!$D$345*Multi!C$942)*LAFs!C$272/(24*Input!$F$60)*1000</f>
        <v>211080.67614680479</v>
      </c>
      <c r="D53" s="42">
        <f>(Loads!$B$345*Multi!D$893+Loads!$C$345*Multi!D$922+Loads!$D$345*Multi!D$942)*LAFs!D$272/(24*Input!$F$60)*1000</f>
        <v>210241.3891641137</v>
      </c>
      <c r="E53" s="42">
        <f>(Loads!$B$345*Multi!E$893+Loads!$C$345*Multi!E$922+Loads!$D$345*Multi!E$942)*LAFs!E$272/(24*Input!$F$60)*1000</f>
        <v>210252.09934067156</v>
      </c>
      <c r="F53" s="42">
        <f>(Loads!$B$345*Multi!F$893+Loads!$C$345*Multi!F$922+Loads!$D$345*Multi!F$942)*LAFs!F$272/(24*Input!$F$60)*1000</f>
        <v>208398.75076665982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204985.66910670485</v>
      </c>
      <c r="I53" s="42">
        <f>(Loads!$B$345*Multi!I$893+Loads!$C$345*Multi!I$922+Loads!$D$345*Multi!I$942)*LAFs!I$272/(24*Input!$F$60)*1000</f>
        <v>202836.15303408928</v>
      </c>
      <c r="J53" s="42">
        <f>(Loads!$B$345*Multi!J$893+Loads!$C$345*Multi!J$922+Loads!$D$345*Multi!J$942)*LAFs!J$272/(24*Input!$F$60)*1000</f>
        <v>200353.22460711829</v>
      </c>
      <c r="K53" s="17"/>
    </row>
    <row r="54" spans="1:11" x14ac:dyDescent="0.25">
      <c r="A54" s="4" t="s">
        <v>191</v>
      </c>
      <c r="B54" s="42">
        <f>(Loads!$B$346*Multi!B$894+Loads!$C$346*Multi!B$923+Loads!$D$346*Multi!B$943)*LAFs!B$273/(24*Input!$F$60)*1000</f>
        <v>111226.26066047454</v>
      </c>
      <c r="C54" s="42">
        <f>(Loads!$B$346*Multi!C$894+Loads!$C$346*Multi!C$923+Loads!$D$346*Multi!C$943)*LAFs!C$273/(24*Input!$F$60)*1000</f>
        <v>111019.31631448687</v>
      </c>
      <c r="D54" s="42">
        <f>(Loads!$B$346*Multi!D$894+Loads!$C$346*Multi!D$923+Loads!$D$346*Multi!D$943)*LAFs!D$273/(24*Input!$F$60)*1000</f>
        <v>110577.88762138752</v>
      </c>
      <c r="E54" s="42">
        <f>(Loads!$B$346*Multi!E$894+Loads!$C$346*Multi!E$923+Loads!$D$346*Multi!E$943)*LAFs!E$273/(24*Input!$F$60)*1000</f>
        <v>111602.96237458278</v>
      </c>
      <c r="F54" s="42">
        <f>(Loads!$B$346*Multi!F$894+Loads!$C$346*Multi!F$923+Loads!$D$346*Multi!F$943)*LAFs!F$273/(24*Input!$F$60)*1000</f>
        <v>110619.19483161392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108807.5124499786</v>
      </c>
      <c r="I54" s="42">
        <f>(Loads!$B$346*Multi!I$894+Loads!$C$346*Multi!I$923+Loads!$D$346*Multi!I$943)*LAFs!I$273/(24*Input!$F$60)*1000</f>
        <v>107666.53758158036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208</v>
      </c>
      <c r="B55" s="42">
        <f>(Loads!$B$347*Multi!B$895+Loads!$C$347*Multi!B$924+Loads!$D$347*Multi!B$944)*LAFs!B$274/(24*Input!$F$60)*1000</f>
        <v>333296.80530624854</v>
      </c>
      <c r="C55" s="42">
        <f>(Loads!$B$347*Multi!C$895+Loads!$C$347*Multi!C$924+Loads!$D$347*Multi!C$944)*LAFs!C$274/(24*Input!$F$60)*1000</f>
        <v>332657.83274274186</v>
      </c>
      <c r="D55" s="42">
        <f>(Loads!$B$347*Multi!D$895+Loads!$C$347*Multi!D$924+Loads!$D$347*Multi!D$944)*LAFs!D$274/(24*Input!$F$60)*1000</f>
        <v>331335.13758273091</v>
      </c>
      <c r="E55" s="42">
        <f>(Loads!$B$347*Multi!E$895+Loads!$C$347*Multi!E$924+Loads!$D$347*Multi!E$944)*LAFs!E$274/(24*Input!$F$60)*1000</f>
        <v>332237.37503756955</v>
      </c>
      <c r="F55" s="42">
        <f>(Loads!$B$347*Multi!F$895+Loads!$C$347*Multi!F$924+Loads!$D$347*Multi!F$944)*LAFs!F$274/(24*Input!$F$60)*1000</f>
        <v>329308.73999806115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323915.43693450897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234</v>
      </c>
      <c r="B56" s="42">
        <f>(Loads!$B$352*Multi!B$900+Loads!$C$352*Multi!B$925+Loads!$D$352*Multi!B$945)*LAFs!B$279/(24*Input!$F$60)*1000</f>
        <v>27531.847886972886</v>
      </c>
      <c r="C56" s="42">
        <f>(Loads!$B$352*Multi!C$900+Loads!$C$352*Multi!C$925+Loads!$D$352*Multi!C$945)*LAFs!C$279/(24*Input!$F$60)*1000</f>
        <v>26293.506601746081</v>
      </c>
      <c r="D56" s="42">
        <f>(Loads!$B$352*Multi!D$900+Loads!$C$352*Multi!D$925+Loads!$D$352*Multi!D$945)*LAFs!D$279/(24*Input!$F$60)*1000</f>
        <v>26188.959855814686</v>
      </c>
      <c r="E56" s="42">
        <f>(Loads!$B$352*Multi!E$900+Loads!$C$352*Multi!E$925+Loads!$D$352*Multi!E$945)*LAFs!E$279/(24*Input!$F$60)*1000</f>
        <v>20975.501140475775</v>
      </c>
      <c r="F56" s="42">
        <f>(Loads!$B$352*Multi!F$900+Loads!$C$352*Multi!F$925+Loads!$D$352*Multi!F$945)*LAFs!F$279/(24*Input!$F$60)*1000</f>
        <v>20790.604460491173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20450.103231369441</v>
      </c>
      <c r="I56" s="42">
        <f>(Loads!$B$352*Multi!I$900+Loads!$C$352*Multi!I$925+Loads!$D$352*Multi!I$945)*LAFs!I$279/(24*Input!$F$60)*1000</f>
        <v>20235.659822842219</v>
      </c>
      <c r="J56" s="42">
        <f>(Loads!$B$352*Multi!J$900+Loads!$C$352*Multi!J$925+Loads!$D$352*Multi!J$945)*LAFs!J$279/(24*Input!$F$60)*1000</f>
        <v>19987.954005801774</v>
      </c>
      <c r="K56" s="17"/>
    </row>
    <row r="57" spans="1:11" x14ac:dyDescent="0.25">
      <c r="A57" s="4" t="s">
        <v>196</v>
      </c>
      <c r="B57" s="42">
        <f>(Loads!$B$357*Multi!B$901+Loads!$C$357*Multi!B$926+Loads!$D$357*Multi!B$946)*LAFs!B$284/(24*Input!$F$60)*1000</f>
        <v>-461.86418066017148</v>
      </c>
      <c r="C57" s="42">
        <f>(Loads!$B$357*Multi!C$901+Loads!$C$357*Multi!C$926+Loads!$D$357*Multi!C$946)*LAFs!C$284/(24*Input!$F$60)*1000</f>
        <v>-458.92966738349446</v>
      </c>
      <c r="D57" s="42">
        <f>(Loads!$B$357*Multi!D$901+Loads!$C$357*Multi!D$926+Loads!$D$357*Multi!D$946)*LAFs!D$284/(24*Input!$F$60)*1000</f>
        <v>-457.1048973342559</v>
      </c>
      <c r="E57" s="42">
        <f>(Loads!$B$357*Multi!E$901+Loads!$C$357*Multi!E$926+Loads!$D$357*Multi!E$946)*LAFs!E$284/(24*Input!$F$60)*1000</f>
        <v>-449.87725822348409</v>
      </c>
      <c r="F57" s="42">
        <f>(Loads!$B$357*Multi!F$901+Loads!$C$357*Multi!F$926+Loads!$D$357*Multi!F$946)*LAFs!F$284/(24*Input!$F$60)*1000</f>
        <v>-445.91164086402159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-438.60865637973592</v>
      </c>
      <c r="I57" s="42">
        <f>(Loads!$B$357*Multi!I$901+Loads!$C$357*Multi!I$926+Loads!$D$357*Multi!I$946)*LAFs!I$284/(24*Input!$F$60)*1000</f>
        <v>-434.00932823848041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197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200</v>
      </c>
      <c r="B59" s="42">
        <f>(Loads!$B$361*Multi!B$903+Loads!$C$361*Multi!B$928+Loads!$D$361*Multi!B$948)*LAFs!B$288/(24*Input!$F$60)*1000</f>
        <v>-528.93967489047259</v>
      </c>
      <c r="C59" s="42">
        <f>(Loads!$B$361*Multi!C$903+Loads!$C$361*Multi!C$928+Loads!$D$361*Multi!C$948)*LAFs!C$288/(24*Input!$F$60)*1000</f>
        <v>-521.43731166473867</v>
      </c>
      <c r="D59" s="42">
        <f>(Loads!$B$361*Multi!D$903+Loads!$C$361*Multi!D$928+Loads!$D$361*Multi!D$948)*LAFs!D$288/(24*Input!$F$60)*1000</f>
        <v>-519.36400227442175</v>
      </c>
      <c r="E59" s="42">
        <f>(Loads!$B$361*Multi!E$903+Loads!$C$361*Multi!E$928+Loads!$D$361*Multi!E$948)*LAFs!E$288/(24*Input!$F$60)*1000</f>
        <v>-498.6696084265572</v>
      </c>
      <c r="F59" s="42">
        <f>(Loads!$B$361*Multi!F$903+Loads!$C$361*Multi!F$928+Loads!$D$361*Multi!F$948)*LAFs!F$288/(24*Input!$F$60)*1000</f>
        <v>-494.27389199576487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-486.17884752184574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201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211</v>
      </c>
      <c r="B61" s="42">
        <f>(Loads!$B$365*Multi!B$905+Loads!$C$365*Multi!B$930+Loads!$D$365*Multi!B$950)*LAFs!B$292/(24*Input!$F$60)*1000</f>
        <v>-33741.308220007042</v>
      </c>
      <c r="C61" s="42">
        <f>(Loads!$B$365*Multi!C$905+Loads!$C$365*Multi!C$930+Loads!$D$365*Multi!C$950)*LAFs!C$292/(24*Input!$F$60)*1000</f>
        <v>-32745.22441105235</v>
      </c>
      <c r="D61" s="42">
        <f>(Loads!$B$365*Multi!D$905+Loads!$C$365*Multi!D$930+Loads!$D$365*Multi!D$950)*LAFs!D$292/(24*Input!$F$60)*1000</f>
        <v>-32615.024711604819</v>
      </c>
      <c r="E61" s="42">
        <f>(Loads!$B$365*Multi!E$905+Loads!$C$365*Multi!E$930+Loads!$D$365*Multi!E$950)*LAFs!E$292/(24*Input!$F$60)*1000</f>
        <v>-30337.774608555032</v>
      </c>
      <c r="F61" s="42">
        <f>(Loads!$B$365*Multi!F$905+Loads!$C$365*Multi!F$930+Loads!$D$365*Multi!F$950)*LAFs!F$292/(24*Input!$F$60)*1000</f>
        <v>-30070.350542465909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212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842</v>
      </c>
    </row>
    <row r="65" spans="1:11" x14ac:dyDescent="0.25">
      <c r="A65" s="2" t="s">
        <v>381</v>
      </c>
    </row>
    <row r="66" spans="1:11" x14ac:dyDescent="0.25">
      <c r="A66" s="32" t="s">
        <v>608</v>
      </c>
    </row>
    <row r="67" spans="1:11" x14ac:dyDescent="0.25">
      <c r="A67" s="32" t="s">
        <v>843</v>
      </c>
    </row>
    <row r="68" spans="1:11" x14ac:dyDescent="0.25">
      <c r="A68" s="32" t="s">
        <v>830</v>
      </c>
    </row>
    <row r="69" spans="1:11" x14ac:dyDescent="0.25">
      <c r="A69" s="32" t="s">
        <v>586</v>
      </c>
    </row>
    <row r="70" spans="1:11" x14ac:dyDescent="0.25">
      <c r="A70" s="2" t="s">
        <v>844</v>
      </c>
    </row>
    <row r="72" spans="1:11" x14ac:dyDescent="0.25">
      <c r="B72" s="15" t="s">
        <v>150</v>
      </c>
      <c r="C72" s="15" t="s">
        <v>151</v>
      </c>
      <c r="D72" s="15" t="s">
        <v>152</v>
      </c>
      <c r="E72" s="15" t="s">
        <v>153</v>
      </c>
      <c r="F72" s="15" t="s">
        <v>154</v>
      </c>
      <c r="G72" s="15" t="s">
        <v>159</v>
      </c>
      <c r="H72" s="15" t="s">
        <v>155</v>
      </c>
      <c r="I72" s="15" t="s">
        <v>156</v>
      </c>
      <c r="J72" s="15" t="s">
        <v>157</v>
      </c>
    </row>
    <row r="73" spans="1:11" x14ac:dyDescent="0.25">
      <c r="A73" s="4" t="s">
        <v>182</v>
      </c>
      <c r="B73" s="42">
        <f>Multi!$B128*Loads!$B46*LAFs!B261/(24*Input!$F$60)*1000</f>
        <v>1162304.4208687781</v>
      </c>
      <c r="C73" s="42">
        <f>Multi!$B128*Loads!$B46*LAFs!C261/(24*Input!$F$60)*1000</f>
        <v>1159984.4519648484</v>
      </c>
      <c r="D73" s="42">
        <f>Multi!$B128*Loads!$B46*LAFs!D261/(24*Input!$F$60)*1000</f>
        <v>1155372.1877423243</v>
      </c>
      <c r="E73" s="42">
        <f>Multi!$B128*Loads!$B46*LAFs!E261/(24*Input!$F$60)*1000</f>
        <v>1148522.1550086739</v>
      </c>
      <c r="F73" s="42">
        <f>Multi!$B128*Loads!$B46*LAFs!F261/(24*Input!$F$60)*1000</f>
        <v>1138398.0615756889</v>
      </c>
      <c r="G73" s="42">
        <f>Multi!$B128*Loads!$B46*LAFs!G261/(24*Input!$F$60)*1000</f>
        <v>0</v>
      </c>
      <c r="H73" s="42">
        <f>Multi!$B128*Loads!$B46*LAFs!H261/(24*Input!$F$60)*1000</f>
        <v>1119753.7773302295</v>
      </c>
      <c r="I73" s="42">
        <f>Multi!$B128*Loads!$B46*LAFs!I261/(24*Input!$F$60)*1000</f>
        <v>1108011.8406756707</v>
      </c>
      <c r="J73" s="42">
        <f>Multi!$B128*Loads!$B46*LAFs!J261/(24*Input!$F$60)*1000</f>
        <v>1094448.6072210716</v>
      </c>
      <c r="K73" s="17"/>
    </row>
    <row r="74" spans="1:11" x14ac:dyDescent="0.25">
      <c r="A74" s="4" t="s">
        <v>183</v>
      </c>
      <c r="B74" s="42">
        <f>Multi!$B129*Loads!$B47*LAFs!B262/(24*Input!$F$60)*1000</f>
        <v>203108.60745070272</v>
      </c>
      <c r="C74" s="42">
        <f>Multi!$B129*Loads!$B47*LAFs!C262/(24*Input!$F$60)*1000</f>
        <v>202703.20104860549</v>
      </c>
      <c r="D74" s="42">
        <f>Multi!$B129*Loads!$B47*LAFs!D262/(24*Input!$F$60)*1000</f>
        <v>201897.22410606631</v>
      </c>
      <c r="E74" s="42">
        <f>Multi!$B129*Loads!$B47*LAFs!E262/(24*Input!$F$60)*1000</f>
        <v>200700.20499081296</v>
      </c>
      <c r="F74" s="42">
        <f>Multi!$B129*Loads!$B47*LAFs!F262/(24*Input!$F$60)*1000</f>
        <v>198931.05528962071</v>
      </c>
      <c r="G74" s="42">
        <f>Multi!$B129*Loads!$B47*LAFs!G262/(24*Input!$F$60)*1000</f>
        <v>0</v>
      </c>
      <c r="H74" s="42">
        <f>Multi!$B129*Loads!$B47*LAFs!H262/(24*Input!$F$60)*1000</f>
        <v>195673.03222611052</v>
      </c>
      <c r="I74" s="42">
        <f>Multi!$B129*Loads!$B47*LAFs!I262/(24*Input!$F$60)*1000</f>
        <v>193621.1701150646</v>
      </c>
      <c r="J74" s="42">
        <f>Multi!$B129*Loads!$B47*LAFs!J262/(24*Input!$F$60)*1000</f>
        <v>191251.04279727186</v>
      </c>
      <c r="K74" s="17"/>
    </row>
    <row r="75" spans="1:11" x14ac:dyDescent="0.25">
      <c r="A75" s="4" t="s">
        <v>228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184</v>
      </c>
      <c r="B76" s="42">
        <f>Multi!$B131*Loads!$B49*LAFs!B264/(24*Input!$F$60)*1000</f>
        <v>243672.57287482658</v>
      </c>
      <c r="C76" s="42">
        <f>Multi!$B131*Loads!$B49*LAFs!C264/(24*Input!$F$60)*1000</f>
        <v>243186.20047387888</v>
      </c>
      <c r="D76" s="42">
        <f>Multi!$B131*Loads!$B49*LAFs!D264/(24*Input!$F$60)*1000</f>
        <v>242219.25733084153</v>
      </c>
      <c r="E76" s="42">
        <f>Multi!$B131*Loads!$B49*LAFs!E264/(24*Input!$F$60)*1000</f>
        <v>240783.17477749661</v>
      </c>
      <c r="F76" s="42">
        <f>Multi!$B131*Loads!$B49*LAFs!F264/(24*Input!$F$60)*1000</f>
        <v>238660.69821236693</v>
      </c>
      <c r="G76" s="42">
        <f>Multi!$B131*Loads!$B49*LAFs!G264/(24*Input!$F$60)*1000</f>
        <v>0</v>
      </c>
      <c r="H76" s="42">
        <f>Multi!$B131*Loads!$B49*LAFs!H264/(24*Input!$F$60)*1000</f>
        <v>234751.99698923563</v>
      </c>
      <c r="I76" s="42">
        <f>Multi!$B131*Loads!$B49*LAFs!I264/(24*Input!$F$60)*1000</f>
        <v>232290.34592452494</v>
      </c>
      <c r="J76" s="42">
        <f>Multi!$B131*Loads!$B49*LAFs!J264/(24*Input!$F$60)*1000</f>
        <v>229446.86711377269</v>
      </c>
      <c r="K76" s="17"/>
    </row>
    <row r="77" spans="1:11" x14ac:dyDescent="0.25">
      <c r="A77" s="4" t="s">
        <v>185</v>
      </c>
      <c r="B77" s="42">
        <f>Multi!$B132*Loads!$B50*LAFs!B265/(24*Input!$F$60)*1000</f>
        <v>100377.2830819946</v>
      </c>
      <c r="C77" s="42">
        <f>Multi!$B132*Loads!$B50*LAFs!C265/(24*Input!$F$60)*1000</f>
        <v>100176.92922354749</v>
      </c>
      <c r="D77" s="42">
        <f>Multi!$B132*Loads!$B50*LAFs!D265/(24*Input!$F$60)*1000</f>
        <v>99778.611413513499</v>
      </c>
      <c r="E77" s="42">
        <f>Multi!$B132*Loads!$B50*LAFs!E265/(24*Input!$F$60)*1000</f>
        <v>99187.038618571707</v>
      </c>
      <c r="F77" s="42">
        <f>Multi!$B132*Loads!$B50*LAFs!F265/(24*Input!$F$60)*1000</f>
        <v>98312.716045048583</v>
      </c>
      <c r="G77" s="42">
        <f>Multi!$B132*Loads!$B50*LAFs!G265/(24*Input!$F$60)*1000</f>
        <v>0</v>
      </c>
      <c r="H77" s="42">
        <f>Multi!$B132*Loads!$B50*LAFs!H265/(24*Input!$F$60)*1000</f>
        <v>96702.58485741289</v>
      </c>
      <c r="I77" s="42">
        <f>Multi!$B132*Loads!$B50*LAFs!I265/(24*Input!$F$60)*1000</f>
        <v>95688.544406095913</v>
      </c>
      <c r="J77" s="42">
        <f>Multi!$B132*Loads!$B50*LAFs!J265/(24*Input!$F$60)*1000</f>
        <v>94517.215708092815</v>
      </c>
      <c r="K77" s="17"/>
    </row>
    <row r="78" spans="1:11" x14ac:dyDescent="0.25">
      <c r="A78" s="4" t="s">
        <v>229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186</v>
      </c>
      <c r="B79" s="42">
        <f>Multi!$B134*Loads!$B52*LAFs!B267/(24*Input!$F$60)*1000</f>
        <v>13356.240905322318</v>
      </c>
      <c r="C79" s="42">
        <f>Multi!$B134*Loads!$B52*LAFs!C267/(24*Input!$F$60)*1000</f>
        <v>13329.581741838643</v>
      </c>
      <c r="D79" s="42">
        <f>Multi!$B134*Loads!$B52*LAFs!D267/(24*Input!$F$60)*1000</f>
        <v>13276.581416821389</v>
      </c>
      <c r="E79" s="42">
        <f>Multi!$B134*Loads!$B52*LAFs!E267/(24*Input!$F$60)*1000</f>
        <v>13197.866507235492</v>
      </c>
      <c r="F79" s="42">
        <f>Multi!$B134*Loads!$B52*LAFs!F267/(24*Input!$F$60)*1000</f>
        <v>13081.52880051158</v>
      </c>
      <c r="G79" s="42">
        <f>Multi!$B134*Loads!$B52*LAFs!G267/(24*Input!$F$60)*1000</f>
        <v>0</v>
      </c>
      <c r="H79" s="42">
        <f>Multi!$B134*Loads!$B52*LAFs!H267/(24*Input!$F$60)*1000</f>
        <v>12867.284109173717</v>
      </c>
      <c r="I79" s="42">
        <f>Multi!$B134*Loads!$B52*LAFs!I267/(24*Input!$F$60)*1000</f>
        <v>12732.355486484577</v>
      </c>
      <c r="J79" s="42">
        <f>Multi!$B134*Loads!$B52*LAFs!J267/(24*Input!$F$60)*1000</f>
        <v>12576.498027610469</v>
      </c>
      <c r="K79" s="17"/>
    </row>
    <row r="80" spans="1:11" x14ac:dyDescent="0.25">
      <c r="A80" s="4" t="s">
        <v>187</v>
      </c>
      <c r="B80" s="42">
        <f>Multi!$B135*Loads!$B53*LAFs!B268/(24*Input!$F$60)*1000</f>
        <v>2316.841040760708</v>
      </c>
      <c r="C80" s="42">
        <f>Multi!$B135*Loads!$B53*LAFs!C268/(24*Input!$F$60)*1000</f>
        <v>2312.2166075456166</v>
      </c>
      <c r="D80" s="42">
        <f>Multi!$B135*Loads!$B53*LAFs!D268/(24*Input!$F$60)*1000</f>
        <v>2303.0229033406645</v>
      </c>
      <c r="E80" s="42">
        <f>Multi!$B135*Loads!$B53*LAFs!E268/(24*Input!$F$60)*1000</f>
        <v>2289.3686173524779</v>
      </c>
      <c r="F80" s="42">
        <f>Multi!$B135*Loads!$B53*LAFs!F268/(24*Input!$F$60)*1000</f>
        <v>2269.1880908527996</v>
      </c>
      <c r="G80" s="42">
        <f>Multi!$B135*Loads!$B53*LAFs!G268/(24*Input!$F$60)*1000</f>
        <v>0</v>
      </c>
      <c r="H80" s="42">
        <f>Multi!$B135*Loads!$B53*LAFs!H268/(24*Input!$F$60)*1000</f>
        <v>2232.0241240469254</v>
      </c>
      <c r="I80" s="42">
        <f>Multi!$B135*Loads!$B53*LAFs!I268/(24*Input!$F$60)*1000</f>
        <v>2208.6187233181204</v>
      </c>
      <c r="J80" s="42">
        <f>Multi!$B135*Loads!$B53*LAFs!J268/(24*Input!$F$60)*1000</f>
        <v>0</v>
      </c>
      <c r="K80" s="17"/>
    </row>
    <row r="81" spans="1:11" x14ac:dyDescent="0.25">
      <c r="A81" s="4" t="s">
        <v>207</v>
      </c>
      <c r="B81" s="42">
        <f>Multi!$B136*Loads!$B54*LAFs!B269/(24*Input!$F$60)*1000</f>
        <v>113.76491718969667</v>
      </c>
      <c r="C81" s="42">
        <f>Multi!$B136*Loads!$B54*LAFs!C269/(24*Input!$F$60)*1000</f>
        <v>113.53784150668329</v>
      </c>
      <c r="D81" s="42">
        <f>Multi!$B136*Loads!$B54*LAFs!D269/(24*Input!$F$60)*1000</f>
        <v>113.08639879691516</v>
      </c>
      <c r="E81" s="42">
        <f>Multi!$B136*Loads!$B54*LAFs!E269/(24*Input!$F$60)*1000</f>
        <v>112.41592607677536</v>
      </c>
      <c r="F81" s="42">
        <f>Multi!$B136*Loads!$B54*LAFs!F269/(24*Input!$F$60)*1000</f>
        <v>111.42499235033955</v>
      </c>
      <c r="G81" s="42">
        <f>Multi!$B136*Loads!$B54*LAFs!G269/(24*Input!$F$60)*1000</f>
        <v>0</v>
      </c>
      <c r="H81" s="42">
        <f>Multi!$B136*Loads!$B54*LAFs!H269/(24*Input!$F$60)*1000</f>
        <v>109.60011289951508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188</v>
      </c>
      <c r="B82" s="42">
        <f>Multi!$B137*Loads!$B55*LAFs!B270/(24*Input!$F$60)*1000</f>
        <v>76.952325870400756</v>
      </c>
      <c r="C82" s="42">
        <f>Multi!$B137*Loads!$B55*LAFs!C270/(24*Input!$F$60)*1000</f>
        <v>76.798728413573599</v>
      </c>
      <c r="D82" s="42">
        <f>Multi!$B137*Loads!$B55*LAFs!D270/(24*Input!$F$60)*1000</f>
        <v>76.493365676342691</v>
      </c>
      <c r="E82" s="42">
        <f>Multi!$B137*Loads!$B55*LAFs!E270/(24*Input!$F$60)*1000</f>
        <v>76.03984769802446</v>
      </c>
      <c r="F82" s="42">
        <f>Multi!$B137*Loads!$B55*LAFs!F270/(24*Input!$F$60)*1000</f>
        <v>75.369565005289687</v>
      </c>
      <c r="G82" s="42">
        <f>Multi!$B137*Loads!$B55*LAFs!G270/(24*Input!$F$60)*1000</f>
        <v>0</v>
      </c>
      <c r="H82" s="42">
        <f>Multi!$B137*Loads!$B55*LAFs!H270/(24*Input!$F$60)*1000</f>
        <v>74.135188699808054</v>
      </c>
      <c r="I82" s="42">
        <f>Multi!$B137*Loads!$B55*LAFs!I270/(24*Input!$F$60)*1000</f>
        <v>73.357793966063653</v>
      </c>
      <c r="J82" s="42">
        <f>Multi!$B137*Loads!$B55*LAFs!J270/(24*Input!$F$60)*1000</f>
        <v>72.459817203767187</v>
      </c>
      <c r="K82" s="17"/>
    </row>
    <row r="83" spans="1:11" x14ac:dyDescent="0.25">
      <c r="A83" s="4" t="s">
        <v>189</v>
      </c>
      <c r="B83" s="42">
        <f>Multi!$B138*Loads!$B56*LAFs!B271/(24*Input!$F$60)*1000</f>
        <v>73950.853060355541</v>
      </c>
      <c r="C83" s="42">
        <f>Multi!$B138*Loads!$B56*LAFs!C271/(24*Input!$F$60)*1000</f>
        <v>73803.246567221111</v>
      </c>
      <c r="D83" s="42">
        <f>Multi!$B138*Loads!$B56*LAFs!D271/(24*Input!$F$60)*1000</f>
        <v>73509.79429458802</v>
      </c>
      <c r="E83" s="42">
        <f>Multi!$B138*Loads!$B56*LAFs!E271/(24*Input!$F$60)*1000</f>
        <v>73073.965474659635</v>
      </c>
      <c r="F83" s="42">
        <f>Multi!$B138*Loads!$B56*LAFs!F271/(24*Input!$F$60)*1000</f>
        <v>72429.826699662648</v>
      </c>
      <c r="G83" s="42">
        <f>Multi!$B138*Loads!$B56*LAFs!G271/(24*Input!$F$60)*1000</f>
        <v>0</v>
      </c>
      <c r="H83" s="42">
        <f>Multi!$B138*Loads!$B56*LAFs!H271/(24*Input!$F$60)*1000</f>
        <v>71243.59639725968</v>
      </c>
      <c r="I83" s="42">
        <f>Multi!$B138*Loads!$B56*LAFs!I271/(24*Input!$F$60)*1000</f>
        <v>70496.523413113027</v>
      </c>
      <c r="J83" s="42">
        <f>Multi!$B138*Loads!$B56*LAFs!J271/(24*Input!$F$60)*1000</f>
        <v>69633.571619920476</v>
      </c>
      <c r="K83" s="17"/>
    </row>
    <row r="84" spans="1:11" x14ac:dyDescent="0.25">
      <c r="A84" s="4" t="s">
        <v>190</v>
      </c>
      <c r="B84" s="42">
        <f>Multi!$B139*Loads!$B57*LAFs!B272/(24*Input!$F$60)*1000</f>
        <v>212479.89430869758</v>
      </c>
      <c r="C84" s="42">
        <f>Multi!$B139*Loads!$B57*LAFs!C272/(24*Input!$F$60)*1000</f>
        <v>212055.78274321114</v>
      </c>
      <c r="D84" s="42">
        <f>Multi!$B139*Loads!$B57*LAFs!D272/(24*Input!$F$60)*1000</f>
        <v>211212.61859711487</v>
      </c>
      <c r="E84" s="42">
        <f>Multi!$B139*Loads!$B57*LAFs!E272/(24*Input!$F$60)*1000</f>
        <v>209960.36987025445</v>
      </c>
      <c r="F84" s="42">
        <f>Multi!$B139*Loads!$B57*LAFs!F272/(24*Input!$F$60)*1000</f>
        <v>208109.59285866559</v>
      </c>
      <c r="G84" s="42">
        <f>Multi!$B139*Loads!$B57*LAFs!G272/(24*Input!$F$60)*1000</f>
        <v>0</v>
      </c>
      <c r="H84" s="42">
        <f>Multi!$B139*Loads!$B57*LAFs!H272/(24*Input!$F$60)*1000</f>
        <v>204701.24692552749</v>
      </c>
      <c r="I84" s="42">
        <f>Multi!$B139*Loads!$B57*LAFs!I272/(24*Input!$F$60)*1000</f>
        <v>202554.71335433517</v>
      </c>
      <c r="J84" s="42">
        <f>Multi!$B139*Loads!$B57*LAFs!J272/(24*Input!$F$60)*1000</f>
        <v>200075.23004585458</v>
      </c>
      <c r="K84" s="17"/>
    </row>
    <row r="85" spans="1:11" x14ac:dyDescent="0.25">
      <c r="A85" s="4" t="s">
        <v>191</v>
      </c>
      <c r="B85" s="42">
        <f>Multi!$B140*Loads!$B58*LAFs!B273/(24*Input!$F$60)*1000</f>
        <v>111226.26066047455</v>
      </c>
      <c r="C85" s="42">
        <f>Multi!$B140*Loads!$B58*LAFs!C273/(24*Input!$F$60)*1000</f>
        <v>111004.25215616224</v>
      </c>
      <c r="D85" s="42">
        <f>Multi!$B140*Loads!$B58*LAFs!D273/(24*Input!$F$60)*1000</f>
        <v>110562.88336031267</v>
      </c>
      <c r="E85" s="42">
        <f>Multi!$B140*Loads!$B58*LAFs!E273/(24*Input!$F$60)*1000</f>
        <v>109907.37219414482</v>
      </c>
      <c r="F85" s="42">
        <f>Multi!$B140*Loads!$B58*LAFs!F273/(24*Input!$F$60)*1000</f>
        <v>108938.55108763425</v>
      </c>
      <c r="G85" s="42">
        <f>Multi!$B140*Loads!$B58*LAFs!G273/(24*Input!$F$60)*1000</f>
        <v>0</v>
      </c>
      <c r="H85" s="42">
        <f>Multi!$B140*Loads!$B58*LAFs!H273/(24*Input!$F$60)*1000</f>
        <v>107154.39369987915</v>
      </c>
      <c r="I85" s="42">
        <f>Multi!$B140*Loads!$B58*LAFs!I273/(24*Input!$F$60)*1000</f>
        <v>106030.75372781178</v>
      </c>
      <c r="J85" s="42">
        <f>Multi!$B140*Loads!$B58*LAFs!J273/(24*Input!$F$60)*1000</f>
        <v>0</v>
      </c>
      <c r="K85" s="17"/>
    </row>
    <row r="86" spans="1:11" x14ac:dyDescent="0.25">
      <c r="A86" s="4" t="s">
        <v>208</v>
      </c>
      <c r="B86" s="42">
        <f>Multi!$B141*Loads!$B59*LAFs!B274/(24*Input!$F$60)*1000</f>
        <v>333296.80530624854</v>
      </c>
      <c r="C86" s="42">
        <f>Multi!$B141*Loads!$B59*LAFs!C274/(24*Input!$F$60)*1000</f>
        <v>332631.54222180491</v>
      </c>
      <c r="D86" s="42">
        <f>Multi!$B141*Loads!$B59*LAFs!D274/(24*Input!$F$60)*1000</f>
        <v>331308.95159666851</v>
      </c>
      <c r="E86" s="42">
        <f>Multi!$B141*Loads!$B59*LAFs!E274/(24*Input!$F$60)*1000</f>
        <v>329344.66927494918</v>
      </c>
      <c r="F86" s="42">
        <f>Multi!$B141*Loads!$B59*LAFs!F274/(24*Input!$F$60)*1000</f>
        <v>326441.53311091929</v>
      </c>
      <c r="G86" s="42">
        <f>Multi!$B141*Loads!$B59*LAFs!G274/(24*Input!$F$60)*1000</f>
        <v>0</v>
      </c>
      <c r="H86" s="42">
        <f>Multi!$B141*Loads!$B59*LAFs!H274/(24*Input!$F$60)*1000</f>
        <v>321095.18815630878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230</v>
      </c>
      <c r="B87" s="42">
        <f>Multi!$B142*Loads!$B60*LAFs!B275/(24*Input!$F$60)*1000</f>
        <v>501.52642397685241</v>
      </c>
      <c r="C87" s="42">
        <f>Multi!$B142*Loads!$B60*LAFs!C275/(24*Input!$F$60)*1000</f>
        <v>500.52537323039172</v>
      </c>
      <c r="D87" s="42">
        <f>Multi!$B142*Loads!$B60*LAFs!D275/(24*Input!$F$60)*1000</f>
        <v>498.53521270064863</v>
      </c>
      <c r="E87" s="42">
        <f>Multi!$B142*Loads!$B60*LAFs!E275/(24*Input!$F$60)*1000</f>
        <v>495.57947033285819</v>
      </c>
      <c r="F87" s="42">
        <f>Multi!$B142*Loads!$B60*LAFs!F275/(24*Input!$F$60)*1000</f>
        <v>491.21099312130525</v>
      </c>
      <c r="G87" s="42">
        <f>Multi!$B142*Loads!$B60*LAFs!G275/(24*Input!$F$60)*1000</f>
        <v>0</v>
      </c>
      <c r="H87" s="42">
        <f>Multi!$B142*Loads!$B60*LAFs!H275/(24*Input!$F$60)*1000</f>
        <v>483.16611173107174</v>
      </c>
      <c r="I87" s="42">
        <f>Multi!$B142*Loads!$B60*LAFs!I275/(24*Input!$F$60)*1000</f>
        <v>478.09954621244287</v>
      </c>
      <c r="J87" s="42">
        <f>Multi!$B142*Loads!$B60*LAFs!J275/(24*Input!$F$60)*1000</f>
        <v>472.2471035563583</v>
      </c>
      <c r="K87" s="17"/>
    </row>
    <row r="88" spans="1:11" x14ac:dyDescent="0.25">
      <c r="A88" s="4" t="s">
        <v>231</v>
      </c>
      <c r="B88" s="42">
        <f>Multi!$B143*Loads!$B61*LAFs!B276/(24*Input!$F$60)*1000</f>
        <v>1304.6593637889905</v>
      </c>
      <c r="C88" s="42">
        <f>Multi!$B143*Loads!$B61*LAFs!C276/(24*Input!$F$60)*1000</f>
        <v>1302.0552532824256</v>
      </c>
      <c r="D88" s="42">
        <f>Multi!$B143*Loads!$B61*LAFs!D276/(24*Input!$F$60)*1000</f>
        <v>1296.8780952176844</v>
      </c>
      <c r="E88" s="42">
        <f>Multi!$B143*Loads!$B61*LAFs!E276/(24*Input!$F$60)*1000</f>
        <v>1289.1890946531526</v>
      </c>
      <c r="F88" s="42">
        <f>Multi!$B143*Loads!$B61*LAFs!F276/(24*Input!$F$60)*1000</f>
        <v>1277.825037991176</v>
      </c>
      <c r="G88" s="42">
        <f>Multi!$B143*Loads!$B61*LAFs!G276/(24*Input!$F$60)*1000</f>
        <v>0</v>
      </c>
      <c r="H88" s="42">
        <f>Multi!$B143*Loads!$B61*LAFs!H276/(24*Input!$F$60)*1000</f>
        <v>1256.8972676194514</v>
      </c>
      <c r="I88" s="42">
        <f>Multi!$B143*Loads!$B61*LAFs!I276/(24*Input!$F$60)*1000</f>
        <v>1243.7172200085708</v>
      </c>
      <c r="J88" s="42">
        <f>Multi!$B143*Loads!$B61*LAFs!J276/(24*Input!$F$60)*1000</f>
        <v>1228.492809594153</v>
      </c>
      <c r="K88" s="17"/>
    </row>
    <row r="89" spans="1:11" x14ac:dyDescent="0.25">
      <c r="A89" s="4" t="s">
        <v>232</v>
      </c>
      <c r="B89" s="42">
        <f>Multi!$B144*Loads!$B62*LAFs!B277/(24*Input!$F$60)*1000</f>
        <v>247.28903758347386</v>
      </c>
      <c r="C89" s="42">
        <f>Multi!$B144*Loads!$B62*LAFs!C277/(24*Input!$F$60)*1000</f>
        <v>246.79544669009368</v>
      </c>
      <c r="D89" s="42">
        <f>Multi!$B144*Loads!$B62*LAFs!D277/(24*Input!$F$60)*1000</f>
        <v>245.81415266746905</v>
      </c>
      <c r="E89" s="42">
        <f>Multi!$B144*Loads!$B62*LAFs!E277/(24*Input!$F$60)*1000</f>
        <v>244.35675650540895</v>
      </c>
      <c r="F89" s="42">
        <f>Multi!$B144*Loads!$B62*LAFs!F277/(24*Input!$F$60)*1000</f>
        <v>242.20277921985689</v>
      </c>
      <c r="G89" s="42">
        <f>Multi!$B144*Loads!$B62*LAFs!G277/(24*Input!$F$60)*1000</f>
        <v>0</v>
      </c>
      <c r="H89" s="42">
        <f>Multi!$B144*Loads!$B62*LAFs!H277/(24*Input!$F$60)*1000</f>
        <v>238.23606703610201</v>
      </c>
      <c r="I89" s="42">
        <f>Multi!$B144*Loads!$B62*LAFs!I277/(24*Input!$F$60)*1000</f>
        <v>235.73788139511336</v>
      </c>
      <c r="J89" s="42">
        <f>Multi!$B144*Loads!$B62*LAFs!J277/(24*Input!$F$60)*1000</f>
        <v>232.85220111438218</v>
      </c>
      <c r="K89" s="17"/>
    </row>
    <row r="90" spans="1:11" x14ac:dyDescent="0.25">
      <c r="A90" s="4" t="s">
        <v>233</v>
      </c>
      <c r="B90" s="42">
        <f>Multi!$B145*Loads!$B63*LAFs!B278/(24*Input!$F$60)*1000</f>
        <v>0</v>
      </c>
      <c r="C90" s="42">
        <f>Multi!$B145*Loads!$B63*LAFs!C278/(24*Input!$F$60)*1000</f>
        <v>0</v>
      </c>
      <c r="D90" s="42">
        <f>Multi!$B145*Loads!$B63*LAFs!D278/(24*Input!$F$60)*1000</f>
        <v>0</v>
      </c>
      <c r="E90" s="42">
        <f>Multi!$B145*Loads!$B63*LAFs!E278/(24*Input!$F$60)*1000</f>
        <v>0</v>
      </c>
      <c r="F90" s="42">
        <f>Multi!$B145*Loads!$B63*LAFs!F278/(24*Input!$F$60)*1000</f>
        <v>0</v>
      </c>
      <c r="G90" s="42">
        <f>Multi!$B145*Loads!$B63*LAFs!G278/(24*Input!$F$60)*1000</f>
        <v>0</v>
      </c>
      <c r="H90" s="42">
        <f>Multi!$B145*Loads!$B63*LAFs!H278/(24*Input!$F$60)*1000</f>
        <v>0</v>
      </c>
      <c r="I90" s="42">
        <f>Multi!$B145*Loads!$B63*LAFs!I278/(24*Input!$F$60)*1000</f>
        <v>0</v>
      </c>
      <c r="J90" s="42">
        <f>Multi!$B145*Loads!$B63*LAFs!J278/(24*Input!$F$60)*1000</f>
        <v>0</v>
      </c>
      <c r="K90" s="17"/>
    </row>
    <row r="91" spans="1:11" x14ac:dyDescent="0.25">
      <c r="A91" s="4" t="s">
        <v>234</v>
      </c>
      <c r="B91" s="42">
        <f>Multi!$B146*Loads!$B64*LAFs!B279/(24*Input!$F$60)*1000</f>
        <v>30998.260404562945</v>
      </c>
      <c r="C91" s="42">
        <f>Multi!$B146*Loads!$B64*LAFs!C279/(24*Input!$F$60)*1000</f>
        <v>30936.387629304336</v>
      </c>
      <c r="D91" s="42">
        <f>Multi!$B146*Loads!$B64*LAFs!D279/(24*Input!$F$60)*1000</f>
        <v>30813.380123820029</v>
      </c>
      <c r="E91" s="42">
        <f>Multi!$B146*Loads!$B64*LAFs!E279/(24*Input!$F$60)*1000</f>
        <v>30630.692099370499</v>
      </c>
      <c r="F91" s="42">
        <f>Multi!$B146*Loads!$B64*LAFs!F279/(24*Input!$F$60)*1000</f>
        <v>30360.685998592508</v>
      </c>
      <c r="G91" s="42">
        <f>Multi!$B146*Loads!$B64*LAFs!G279/(24*Input!$F$60)*1000</f>
        <v>0</v>
      </c>
      <c r="H91" s="42">
        <f>Multi!$B146*Loads!$B64*LAFs!H279/(24*Input!$F$60)*1000</f>
        <v>29863.449330022107</v>
      </c>
      <c r="I91" s="42">
        <f>Multi!$B146*Loads!$B64*LAFs!I279/(24*Input!$F$60)*1000</f>
        <v>29550.295905207771</v>
      </c>
      <c r="J91" s="42">
        <f>Multi!$B146*Loads!$B64*LAFs!J279/(24*Input!$F$60)*1000</f>
        <v>29188.569119174146</v>
      </c>
      <c r="K91" s="17"/>
    </row>
    <row r="92" spans="1:11" x14ac:dyDescent="0.25">
      <c r="A92" s="4" t="s">
        <v>192</v>
      </c>
      <c r="B92" s="42">
        <f>Multi!$B147*Loads!$B65*LAFs!B280/(24*Input!$F$60)*1000</f>
        <v>-479.05697228143322</v>
      </c>
      <c r="C92" s="42">
        <f>Multi!$B147*Loads!$B65*LAFs!C280/(24*Input!$F$60)*1000</f>
        <v>-478.10077073995325</v>
      </c>
      <c r="D92" s="42">
        <f>Multi!$B147*Loads!$B65*LAFs!D280/(24*Input!$F$60)*1000</f>
        <v>-476.19977363959561</v>
      </c>
      <c r="E92" s="42">
        <f>Multi!$B147*Loads!$B65*LAFs!E280/(24*Input!$F$60)*1000</f>
        <v>-473.37645482355055</v>
      </c>
      <c r="F92" s="42">
        <f>Multi!$B147*Loads!$B65*LAFs!F280/(24*Input!$F$60)*1000</f>
        <v>-469.20369469288278</v>
      </c>
      <c r="G92" s="42">
        <f>Multi!$B147*Loads!$B65*LAFs!G280/(24*Input!$F$60)*1000</f>
        <v>0</v>
      </c>
      <c r="H92" s="42">
        <f>Multi!$B147*Loads!$B65*LAFs!H280/(24*Input!$F$60)*1000</f>
        <v>-461.51924111891435</v>
      </c>
      <c r="I92" s="42">
        <f>Multi!$B147*Loads!$B65*LAFs!I280/(24*Input!$F$60)*1000</f>
        <v>-456.67966852376856</v>
      </c>
      <c r="J92" s="42">
        <f>Multi!$B147*Loads!$B65*LAFs!J280/(24*Input!$F$60)*1000</f>
        <v>0</v>
      </c>
      <c r="K92" s="17"/>
    </row>
    <row r="93" spans="1:11" x14ac:dyDescent="0.25">
      <c r="A93" s="4" t="s">
        <v>193</v>
      </c>
      <c r="B93" s="42">
        <f>Multi!$B148*Loads!$B66*LAFs!B281/(24*Input!$F$60)*1000</f>
        <v>0</v>
      </c>
      <c r="C93" s="42">
        <f>Multi!$B148*Loads!$B66*LAFs!C281/(24*Input!$F$60)*1000</f>
        <v>0</v>
      </c>
      <c r="D93" s="42">
        <f>Multi!$B148*Loads!$B66*LAFs!D281/(24*Input!$F$60)*1000</f>
        <v>0</v>
      </c>
      <c r="E93" s="42">
        <f>Multi!$B148*Loads!$B66*LAFs!E281/(24*Input!$F$60)*1000</f>
        <v>0</v>
      </c>
      <c r="F93" s="42">
        <f>Multi!$B148*Loads!$B66*LAFs!F281/(24*Input!$F$60)*1000</f>
        <v>0</v>
      </c>
      <c r="G93" s="42">
        <f>Multi!$B148*Loads!$B66*LAFs!G281/(24*Input!$F$60)*1000</f>
        <v>0</v>
      </c>
      <c r="H93" s="42">
        <f>Multi!$B148*Loads!$B66*LAFs!H281/(24*Input!$F$60)*1000</f>
        <v>0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194</v>
      </c>
      <c r="B94" s="42">
        <f>Multi!$B149*Loads!$B67*LAFs!B282/(24*Input!$F$60)*1000</f>
        <v>-8671.3232552272857</v>
      </c>
      <c r="C94" s="42">
        <f>Multi!$B149*Loads!$B67*LAFs!C282/(24*Input!$F$60)*1000</f>
        <v>-8654.0152247777296</v>
      </c>
      <c r="D94" s="42">
        <f>Multi!$B149*Loads!$B67*LAFs!D282/(24*Input!$F$60)*1000</f>
        <v>-8619.6056214982964</v>
      </c>
      <c r="E94" s="42">
        <f>Multi!$B149*Loads!$B67*LAFs!E282/(24*Input!$F$60)*1000</f>
        <v>-8568.5012403431683</v>
      </c>
      <c r="F94" s="42">
        <f>Multi!$B149*Loads!$B67*LAFs!F282/(24*Input!$F$60)*1000</f>
        <v>-8492.9708670198706</v>
      </c>
      <c r="G94" s="42">
        <f>Multi!$B149*Loads!$B67*LAFs!G282/(24*Input!$F$60)*1000</f>
        <v>0</v>
      </c>
      <c r="H94" s="42">
        <f>Multi!$B149*Loads!$B67*LAFs!H282/(24*Input!$F$60)*1000</f>
        <v>-8353.8759684270572</v>
      </c>
      <c r="I94" s="42">
        <f>Multi!$B149*Loads!$B67*LAFs!I282/(24*Input!$F$60)*1000</f>
        <v>-8266.275743781971</v>
      </c>
      <c r="J94" s="42">
        <f>Multi!$B149*Loads!$B67*LAFs!J282/(24*Input!$F$60)*1000</f>
        <v>0</v>
      </c>
      <c r="K94" s="17"/>
    </row>
    <row r="95" spans="1:11" x14ac:dyDescent="0.25">
      <c r="A95" s="4" t="s">
        <v>195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196</v>
      </c>
      <c r="B96" s="42">
        <f>Multi!$B151*Loads!$B69*LAFs!B284/(24*Input!$F$60)*1000</f>
        <v>-444.5210196183553</v>
      </c>
      <c r="C96" s="42">
        <f>Multi!$B151*Loads!$B69*LAFs!C284/(24*Input!$F$60)*1000</f>
        <v>-443.63375211412699</v>
      </c>
      <c r="D96" s="42">
        <f>Multi!$B151*Loads!$B69*LAFs!D284/(24*Input!$F$60)*1000</f>
        <v>-441.8698008134744</v>
      </c>
      <c r="E96" s="42">
        <f>Multi!$B151*Loads!$B69*LAFs!E284/(24*Input!$F$60)*1000</f>
        <v>-439.25001938572643</v>
      </c>
      <c r="F96" s="42">
        <f>Multi!$B151*Loads!$B69*LAFs!F284/(24*Input!$F$60)*1000</f>
        <v>-435.37807993962321</v>
      </c>
      <c r="G96" s="42">
        <f>Multi!$B151*Loads!$B69*LAFs!G284/(24*Input!$F$60)*1000</f>
        <v>0</v>
      </c>
      <c r="H96" s="42">
        <f>Multi!$B151*Loads!$B69*LAFs!H284/(24*Input!$F$60)*1000</f>
        <v>-428.24761042230745</v>
      </c>
      <c r="I96" s="42">
        <f>Multi!$B151*Loads!$B69*LAFs!I284/(24*Input!$F$60)*1000</f>
        <v>-423.75693004609656</v>
      </c>
      <c r="J96" s="42">
        <f>Multi!$B151*Loads!$B69*LAFs!J284/(24*Input!$F$60)*1000</f>
        <v>0</v>
      </c>
      <c r="K96" s="17"/>
    </row>
    <row r="97" spans="1:11" x14ac:dyDescent="0.25">
      <c r="A97" s="4" t="s">
        <v>197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198</v>
      </c>
      <c r="B98" s="42">
        <f>Multi!$B153*Loads!$B71*LAFs!B286/(24*Input!$F$60)*1000</f>
        <v>-1377.1456147776212</v>
      </c>
      <c r="C98" s="42">
        <f>Multi!$B153*Loads!$B71*LAFs!C286/(24*Input!$F$60)*1000</f>
        <v>-1374.3968211353506</v>
      </c>
      <c r="D98" s="42">
        <f>Multi!$B153*Loads!$B71*LAFs!D286/(24*Input!$F$60)*1000</f>
        <v>-1368.9320226417708</v>
      </c>
      <c r="E98" s="42">
        <f>Multi!$B153*Loads!$B71*LAFs!E286/(24*Input!$F$60)*1000</f>
        <v>-1360.8158248790724</v>
      </c>
      <c r="F98" s="42">
        <f>Multi!$B153*Loads!$B71*LAFs!F286/(24*Input!$F$60)*1000</f>
        <v>-1348.8203866578071</v>
      </c>
      <c r="G98" s="42">
        <f>Multi!$B153*Loads!$B71*LAFs!G286/(24*Input!$F$60)*1000</f>
        <v>0</v>
      </c>
      <c r="H98" s="42">
        <f>Multi!$B153*Loads!$B71*LAFs!H286/(24*Input!$F$60)*1000</f>
        <v>-1326.7298793618702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199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200</v>
      </c>
      <c r="B100" s="42">
        <f>Multi!$B155*Loads!$B73*LAFs!B288/(24*Input!$F$60)*1000</f>
        <v>-494.64822703885278</v>
      </c>
      <c r="C100" s="42">
        <f>Multi!$B155*Loads!$B73*LAFs!C288/(24*Input!$F$60)*1000</f>
        <v>-493.66090522839613</v>
      </c>
      <c r="D100" s="42">
        <f>Multi!$B155*Loads!$B73*LAFs!D288/(24*Input!$F$60)*1000</f>
        <v>-491.69803880601683</v>
      </c>
      <c r="E100" s="42">
        <f>Multi!$B155*Loads!$B73*LAFs!E288/(24*Input!$F$60)*1000</f>
        <v>-488.78283304234469</v>
      </c>
      <c r="F100" s="42">
        <f>Multi!$B155*Loads!$B73*LAFs!F288/(24*Input!$F$60)*1000</f>
        <v>-484.47426742297051</v>
      </c>
      <c r="G100" s="42">
        <f>Multi!$B155*Loads!$B73*LAFs!G288/(24*Input!$F$60)*1000</f>
        <v>0</v>
      </c>
      <c r="H100" s="42">
        <f>Multi!$B155*Loads!$B73*LAFs!H288/(24*Input!$F$60)*1000</f>
        <v>-476.53971776382747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201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209</v>
      </c>
      <c r="B102" s="42">
        <f>Multi!$B157*Loads!$B75*LAFs!B290/(24*Input!$F$60)*1000</f>
        <v>-48182.492194953586</v>
      </c>
      <c r="C102" s="42">
        <f>Multi!$B157*Loads!$B75*LAFs!C290/(24*Input!$F$60)*1000</f>
        <v>-48086.31955584191</v>
      </c>
      <c r="D102" s="42">
        <f>Multi!$B157*Loads!$B75*LAFs!D290/(24*Input!$F$60)*1000</f>
        <v>-47895.121466156648</v>
      </c>
      <c r="E102" s="42">
        <f>Multi!$B157*Loads!$B75*LAFs!E290/(24*Input!$F$60)*1000</f>
        <v>-47611.158295408684</v>
      </c>
      <c r="F102" s="42">
        <f>Multi!$B157*Loads!$B75*LAFs!F290/(24*Input!$F$60)*1000</f>
        <v>-47191.471297701857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210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211</v>
      </c>
      <c r="B104" s="42">
        <f>Multi!$B159*Loads!$B77*LAFs!B292/(24*Input!$F$60)*1000</f>
        <v>-25733.143635146374</v>
      </c>
      <c r="C104" s="42">
        <f>Multi!$B159*Loads!$B77*LAFs!C292/(24*Input!$F$60)*1000</f>
        <v>-25681.780074996379</v>
      </c>
      <c r="D104" s="42">
        <f>Multi!$B159*Loads!$B77*LAFs!D292/(24*Input!$F$60)*1000</f>
        <v>-25579.665641298583</v>
      </c>
      <c r="E104" s="42">
        <f>Multi!$B159*Loads!$B77*LAFs!E292/(24*Input!$F$60)*1000</f>
        <v>-25428.007544611046</v>
      </c>
      <c r="F104" s="42">
        <f>Multi!$B159*Loads!$B77*LAFs!F292/(24*Input!$F$60)*1000</f>
        <v>-25203.862522180585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212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845</v>
      </c>
    </row>
    <row r="108" spans="1:11" x14ac:dyDescent="0.25">
      <c r="A108" s="2" t="s">
        <v>381</v>
      </c>
    </row>
    <row r="109" spans="1:11" x14ac:dyDescent="0.25">
      <c r="A109" s="32" t="s">
        <v>846</v>
      </c>
    </row>
    <row r="110" spans="1:11" x14ac:dyDescent="0.25">
      <c r="A110" s="32" t="s">
        <v>847</v>
      </c>
    </row>
    <row r="111" spans="1:11" x14ac:dyDescent="0.25">
      <c r="A111" s="32" t="s">
        <v>848</v>
      </c>
    </row>
    <row r="112" spans="1:11" x14ac:dyDescent="0.25">
      <c r="A112" s="32" t="s">
        <v>849</v>
      </c>
    </row>
    <row r="113" spans="1:11" x14ac:dyDescent="0.25">
      <c r="A113" s="2" t="s">
        <v>850</v>
      </c>
    </row>
    <row r="115" spans="1:11" x14ac:dyDescent="0.25">
      <c r="B115" s="15" t="s">
        <v>150</v>
      </c>
      <c r="C115" s="15" t="s">
        <v>151</v>
      </c>
      <c r="D115" s="15" t="s">
        <v>152</v>
      </c>
      <c r="E115" s="15" t="s">
        <v>153</v>
      </c>
      <c r="F115" s="15" t="s">
        <v>154</v>
      </c>
      <c r="G115" s="15" t="s">
        <v>159</v>
      </c>
      <c r="H115" s="15" t="s">
        <v>155</v>
      </c>
      <c r="I115" s="15" t="s">
        <v>156</v>
      </c>
      <c r="J115" s="15" t="s">
        <v>157</v>
      </c>
    </row>
    <row r="116" spans="1:11" x14ac:dyDescent="0.25">
      <c r="A116" s="4" t="s">
        <v>182</v>
      </c>
      <c r="B116" s="44">
        <f t="shared" ref="B116:J116" si="0">B$12</f>
        <v>1162324.1121908564</v>
      </c>
      <c r="C116" s="44">
        <f t="shared" si="0"/>
        <v>1123467.8137056262</v>
      </c>
      <c r="D116" s="44">
        <f t="shared" si="0"/>
        <v>1119000.7448638545</v>
      </c>
      <c r="E116" s="44">
        <f t="shared" si="0"/>
        <v>1039898.7241063708</v>
      </c>
      <c r="F116" s="44">
        <f t="shared" si="0"/>
        <v>1030732.1339820251</v>
      </c>
      <c r="G116" s="44">
        <f t="shared" si="0"/>
        <v>0</v>
      </c>
      <c r="H116" s="44">
        <f t="shared" si="0"/>
        <v>1013851.1645430129</v>
      </c>
      <c r="I116" s="44">
        <f t="shared" si="0"/>
        <v>1003219.7414639157</v>
      </c>
      <c r="J116" s="44">
        <f t="shared" si="0"/>
        <v>990939.27381887694</v>
      </c>
      <c r="K116" s="17"/>
    </row>
    <row r="117" spans="1:11" x14ac:dyDescent="0.25">
      <c r="A117" s="4" t="s">
        <v>183</v>
      </c>
      <c r="B117" s="44">
        <f t="shared" ref="B117:J117" si="1">B$32</f>
        <v>203112.04843994309</v>
      </c>
      <c r="C117" s="44">
        <f t="shared" si="1"/>
        <v>201582.89078449836</v>
      </c>
      <c r="D117" s="44">
        <f t="shared" si="1"/>
        <v>200781.3683559318</v>
      </c>
      <c r="E117" s="44">
        <f t="shared" si="1"/>
        <v>192955.74219650857</v>
      </c>
      <c r="F117" s="44">
        <f t="shared" si="1"/>
        <v>191254.85906255312</v>
      </c>
      <c r="G117" s="44">
        <f t="shared" si="1"/>
        <v>0</v>
      </c>
      <c r="H117" s="44">
        <f t="shared" si="1"/>
        <v>188122.55404900454</v>
      </c>
      <c r="I117" s="44">
        <f t="shared" si="1"/>
        <v>186149.86759091204</v>
      </c>
      <c r="J117" s="44">
        <f t="shared" si="1"/>
        <v>183871.19689535469</v>
      </c>
      <c r="K117" s="17"/>
    </row>
    <row r="118" spans="1:11" x14ac:dyDescent="0.25">
      <c r="A118" s="4" t="s">
        <v>228</v>
      </c>
      <c r="B118" s="44">
        <f t="shared" ref="B118:J118" si="2">B$13</f>
        <v>135.24602977615515</v>
      </c>
      <c r="C118" s="44">
        <f t="shared" si="2"/>
        <v>579.32204655539215</v>
      </c>
      <c r="D118" s="44">
        <f t="shared" si="2"/>
        <v>577.01857917346217</v>
      </c>
      <c r="E118" s="44">
        <f t="shared" si="2"/>
        <v>1270.5466549765847</v>
      </c>
      <c r="F118" s="44">
        <f t="shared" si="2"/>
        <v>1259.3469293205719</v>
      </c>
      <c r="G118" s="44">
        <f t="shared" si="2"/>
        <v>0</v>
      </c>
      <c r="H118" s="44">
        <f t="shared" si="2"/>
        <v>1238.7217869328551</v>
      </c>
      <c r="I118" s="44">
        <f t="shared" si="2"/>
        <v>1225.73233063518</v>
      </c>
      <c r="J118" s="44">
        <f t="shared" si="2"/>
        <v>1210.7280742338075</v>
      </c>
      <c r="K118" s="17"/>
    </row>
    <row r="119" spans="1:11" x14ac:dyDescent="0.25">
      <c r="A119" s="4" t="s">
        <v>184</v>
      </c>
      <c r="B119" s="44">
        <f t="shared" ref="B119:J119" si="3">B$14</f>
        <v>240357.21553438166</v>
      </c>
      <c r="C119" s="44">
        <f t="shared" si="3"/>
        <v>243809.82633976382</v>
      </c>
      <c r="D119" s="44">
        <f t="shared" si="3"/>
        <v>242840.40357101723</v>
      </c>
      <c r="E119" s="44">
        <f t="shared" si="3"/>
        <v>256965.84682379948</v>
      </c>
      <c r="F119" s="44">
        <f t="shared" si="3"/>
        <v>254700.72182731159</v>
      </c>
      <c r="G119" s="44">
        <f t="shared" si="3"/>
        <v>0</v>
      </c>
      <c r="H119" s="44">
        <f t="shared" si="3"/>
        <v>250529.32272223994</v>
      </c>
      <c r="I119" s="44">
        <f t="shared" si="3"/>
        <v>247902.22782238814</v>
      </c>
      <c r="J119" s="44">
        <f t="shared" si="3"/>
        <v>244867.64311269784</v>
      </c>
      <c r="K119" s="17"/>
    </row>
    <row r="120" spans="1:11" x14ac:dyDescent="0.25">
      <c r="A120" s="4" t="s">
        <v>185</v>
      </c>
      <c r="B120" s="44">
        <f t="shared" ref="B120:J120" si="4">B$33</f>
        <v>99011.571059695067</v>
      </c>
      <c r="C120" s="44">
        <f t="shared" si="4"/>
        <v>99921.212659200217</v>
      </c>
      <c r="D120" s="44">
        <f t="shared" si="4"/>
        <v>99523.91161482966</v>
      </c>
      <c r="E120" s="44">
        <f t="shared" si="4"/>
        <v>102424.69939116829</v>
      </c>
      <c r="F120" s="44">
        <f t="shared" si="4"/>
        <v>101521.83720260757</v>
      </c>
      <c r="G120" s="44">
        <f t="shared" si="4"/>
        <v>0</v>
      </c>
      <c r="H120" s="44">
        <f t="shared" si="4"/>
        <v>99859.148154009934</v>
      </c>
      <c r="I120" s="44">
        <f t="shared" si="4"/>
        <v>98812.007420269147</v>
      </c>
      <c r="J120" s="44">
        <f t="shared" si="4"/>
        <v>97602.444240924946</v>
      </c>
      <c r="K120" s="17"/>
    </row>
    <row r="121" spans="1:11" x14ac:dyDescent="0.25">
      <c r="A121" s="4" t="s">
        <v>229</v>
      </c>
      <c r="B121" s="44">
        <f t="shared" ref="B121:J121" si="5">B$15</f>
        <v>81.085433198860372</v>
      </c>
      <c r="C121" s="44">
        <f t="shared" si="5"/>
        <v>245.78187971451533</v>
      </c>
      <c r="D121" s="44">
        <f t="shared" si="5"/>
        <v>244.80461577926874</v>
      </c>
      <c r="E121" s="44">
        <f t="shared" si="5"/>
        <v>505.80225196319361</v>
      </c>
      <c r="F121" s="44">
        <f t="shared" si="5"/>
        <v>501.34366208300895</v>
      </c>
      <c r="G121" s="44">
        <f t="shared" si="5"/>
        <v>0</v>
      </c>
      <c r="H121" s="44">
        <f t="shared" si="5"/>
        <v>493.13283139378802</v>
      </c>
      <c r="I121" s="44">
        <f t="shared" si="5"/>
        <v>487.96175308555962</v>
      </c>
      <c r="J121" s="44">
        <f t="shared" si="5"/>
        <v>481.98858661652724</v>
      </c>
      <c r="K121" s="17"/>
    </row>
    <row r="122" spans="1:11" x14ac:dyDescent="0.25">
      <c r="A122" s="4" t="s">
        <v>186</v>
      </c>
      <c r="B122" s="44">
        <f t="shared" ref="B122:J122" si="6">B$34</f>
        <v>13356.240905322322</v>
      </c>
      <c r="C122" s="44">
        <f t="shared" si="6"/>
        <v>13341.72032644729</v>
      </c>
      <c r="D122" s="44">
        <f t="shared" si="6"/>
        <v>13288.671736680104</v>
      </c>
      <c r="E122" s="44">
        <f t="shared" si="6"/>
        <v>13450.861381679686</v>
      </c>
      <c r="F122" s="44">
        <f t="shared" si="6"/>
        <v>13332.293553633543</v>
      </c>
      <c r="G122" s="44">
        <f t="shared" si="6"/>
        <v>0</v>
      </c>
      <c r="H122" s="44">
        <f t="shared" si="6"/>
        <v>13113.941925105823</v>
      </c>
      <c r="I122" s="44">
        <f t="shared" si="6"/>
        <v>12976.426804823495</v>
      </c>
      <c r="J122" s="44">
        <f t="shared" si="6"/>
        <v>12817.581655611904</v>
      </c>
      <c r="K122" s="17"/>
    </row>
    <row r="123" spans="1:11" x14ac:dyDescent="0.25">
      <c r="A123" s="4" t="s">
        <v>187</v>
      </c>
      <c r="B123" s="44">
        <f t="shared" ref="B123:J123" si="7">B$35</f>
        <v>2316.8410407607075</v>
      </c>
      <c r="C123" s="44">
        <f t="shared" si="7"/>
        <v>2317.0337794618877</v>
      </c>
      <c r="D123" s="44">
        <f t="shared" si="7"/>
        <v>2307.8209214918602</v>
      </c>
      <c r="E123" s="44">
        <f t="shared" si="7"/>
        <v>2340.7382510210177</v>
      </c>
      <c r="F123" s="44">
        <f t="shared" si="7"/>
        <v>2320.1049069865526</v>
      </c>
      <c r="G123" s="44">
        <f t="shared" si="7"/>
        <v>0</v>
      </c>
      <c r="H123" s="44">
        <f t="shared" si="7"/>
        <v>2282.1070424212626</v>
      </c>
      <c r="I123" s="44">
        <f t="shared" si="7"/>
        <v>2258.1764633300954</v>
      </c>
      <c r="J123" s="44">
        <f t="shared" si="7"/>
        <v>0</v>
      </c>
      <c r="K123" s="17"/>
    </row>
    <row r="124" spans="1:11" x14ac:dyDescent="0.25">
      <c r="A124" s="4" t="s">
        <v>207</v>
      </c>
      <c r="B124" s="44">
        <f t="shared" ref="B124:J124" si="8">B$36</f>
        <v>113.76491718969667</v>
      </c>
      <c r="C124" s="44">
        <f t="shared" si="8"/>
        <v>115.12127532411658</v>
      </c>
      <c r="D124" s="44">
        <f t="shared" si="8"/>
        <v>114.66353665483578</v>
      </c>
      <c r="E124" s="44">
        <f t="shared" si="8"/>
        <v>118.99667793839897</v>
      </c>
      <c r="F124" s="44">
        <f t="shared" si="8"/>
        <v>117.94773562552378</v>
      </c>
      <c r="G124" s="44">
        <f t="shared" si="8"/>
        <v>0</v>
      </c>
      <c r="H124" s="44">
        <f t="shared" si="8"/>
        <v>116.01602897269726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188</v>
      </c>
      <c r="B125" s="44">
        <f t="shared" ref="B125:J125" si="9">B$51</f>
        <v>53.817723303277781</v>
      </c>
      <c r="C125" s="44">
        <f t="shared" si="9"/>
        <v>54.432336036214586</v>
      </c>
      <c r="D125" s="44">
        <f t="shared" si="9"/>
        <v>54.215905276627261</v>
      </c>
      <c r="E125" s="44">
        <f t="shared" si="9"/>
        <v>56.488901648838535</v>
      </c>
      <c r="F125" s="44">
        <f t="shared" si="9"/>
        <v>55.990958343412935</v>
      </c>
      <c r="G125" s="44">
        <f t="shared" si="9"/>
        <v>0</v>
      </c>
      <c r="H125" s="44">
        <f t="shared" si="9"/>
        <v>55.073958062258768</v>
      </c>
      <c r="I125" s="44">
        <f t="shared" si="9"/>
        <v>54.496442772759394</v>
      </c>
      <c r="J125" s="44">
        <f t="shared" si="9"/>
        <v>53.829348840512807</v>
      </c>
      <c r="K125" s="17"/>
    </row>
    <row r="126" spans="1:11" x14ac:dyDescent="0.25">
      <c r="A126" s="4" t="s">
        <v>189</v>
      </c>
      <c r="B126" s="44">
        <f t="shared" ref="B126:J126" si="10">B$52</f>
        <v>78633.040871678939</v>
      </c>
      <c r="C126" s="44">
        <f t="shared" si="10"/>
        <v>78256.387636362619</v>
      </c>
      <c r="D126" s="44">
        <f t="shared" si="10"/>
        <v>77945.229037410871</v>
      </c>
      <c r="E126" s="44">
        <f t="shared" si="10"/>
        <v>78204.092381482886</v>
      </c>
      <c r="F126" s="44">
        <f t="shared" si="10"/>
        <v>77514.732115632432</v>
      </c>
      <c r="G126" s="44">
        <f t="shared" si="10"/>
        <v>0</v>
      </c>
      <c r="H126" s="44">
        <f t="shared" si="10"/>
        <v>76245.223015472729</v>
      </c>
      <c r="I126" s="44">
        <f t="shared" si="10"/>
        <v>75445.702087760437</v>
      </c>
      <c r="J126" s="44">
        <f t="shared" si="10"/>
        <v>74522.167128117406</v>
      </c>
      <c r="K126" s="17"/>
    </row>
    <row r="127" spans="1:11" x14ac:dyDescent="0.25">
      <c r="A127" s="4" t="s">
        <v>190</v>
      </c>
      <c r="B127" s="44">
        <f t="shared" ref="B127:J127" si="11">B$53</f>
        <v>212479.89430869752</v>
      </c>
      <c r="C127" s="44">
        <f t="shared" si="11"/>
        <v>211080.67614680479</v>
      </c>
      <c r="D127" s="44">
        <f t="shared" si="11"/>
        <v>210241.3891641137</v>
      </c>
      <c r="E127" s="44">
        <f t="shared" si="11"/>
        <v>210252.09934067156</v>
      </c>
      <c r="F127" s="44">
        <f t="shared" si="11"/>
        <v>208398.75076665982</v>
      </c>
      <c r="G127" s="44">
        <f t="shared" si="11"/>
        <v>0</v>
      </c>
      <c r="H127" s="44">
        <f t="shared" si="11"/>
        <v>204985.66910670485</v>
      </c>
      <c r="I127" s="44">
        <f t="shared" si="11"/>
        <v>202836.15303408928</v>
      </c>
      <c r="J127" s="44">
        <f t="shared" si="11"/>
        <v>200353.22460711829</v>
      </c>
      <c r="K127" s="17"/>
    </row>
    <row r="128" spans="1:11" x14ac:dyDescent="0.25">
      <c r="A128" s="4" t="s">
        <v>191</v>
      </c>
      <c r="B128" s="44">
        <f t="shared" ref="B128:J128" si="12">B$54</f>
        <v>111226.26066047454</v>
      </c>
      <c r="C128" s="44">
        <f t="shared" si="12"/>
        <v>111019.31631448687</v>
      </c>
      <c r="D128" s="44">
        <f t="shared" si="12"/>
        <v>110577.88762138752</v>
      </c>
      <c r="E128" s="44">
        <f t="shared" si="12"/>
        <v>111602.96237458278</v>
      </c>
      <c r="F128" s="44">
        <f t="shared" si="12"/>
        <v>110619.19483161392</v>
      </c>
      <c r="G128" s="44">
        <f t="shared" si="12"/>
        <v>0</v>
      </c>
      <c r="H128" s="44">
        <f t="shared" si="12"/>
        <v>108807.5124499786</v>
      </c>
      <c r="I128" s="44">
        <f t="shared" si="12"/>
        <v>107666.53758158036</v>
      </c>
      <c r="J128" s="44">
        <f t="shared" si="12"/>
        <v>0</v>
      </c>
      <c r="K128" s="17"/>
    </row>
    <row r="129" spans="1:11" x14ac:dyDescent="0.25">
      <c r="A129" s="4" t="s">
        <v>208</v>
      </c>
      <c r="B129" s="44">
        <f t="shared" ref="B129:J129" si="13">B$55</f>
        <v>333296.80530624854</v>
      </c>
      <c r="C129" s="44">
        <f t="shared" si="13"/>
        <v>332657.83274274186</v>
      </c>
      <c r="D129" s="44">
        <f t="shared" si="13"/>
        <v>331335.13758273091</v>
      </c>
      <c r="E129" s="44">
        <f t="shared" si="13"/>
        <v>332237.37503756955</v>
      </c>
      <c r="F129" s="44">
        <f t="shared" si="13"/>
        <v>329308.73999806115</v>
      </c>
      <c r="G129" s="44">
        <f t="shared" si="13"/>
        <v>0</v>
      </c>
      <c r="H129" s="44">
        <f t="shared" si="13"/>
        <v>323915.43693450897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230</v>
      </c>
      <c r="B130" s="44">
        <f t="shared" ref="B130:J130" si="14">B$16</f>
        <v>550.02737417328069</v>
      </c>
      <c r="C130" s="44">
        <f t="shared" si="14"/>
        <v>549.03205940042551</v>
      </c>
      <c r="D130" s="44">
        <f t="shared" si="14"/>
        <v>546.84902934316744</v>
      </c>
      <c r="E130" s="44">
        <f t="shared" si="14"/>
        <v>543.92455760090695</v>
      </c>
      <c r="F130" s="44">
        <f t="shared" si="14"/>
        <v>539.12992389041926</v>
      </c>
      <c r="G130" s="44">
        <f t="shared" si="14"/>
        <v>0</v>
      </c>
      <c r="H130" s="44">
        <f t="shared" si="14"/>
        <v>530.30024305599022</v>
      </c>
      <c r="I130" s="44">
        <f t="shared" si="14"/>
        <v>524.73942067885412</v>
      </c>
      <c r="J130" s="44">
        <f t="shared" si="14"/>
        <v>518.31605677223899</v>
      </c>
      <c r="K130" s="17"/>
    </row>
    <row r="131" spans="1:11" x14ac:dyDescent="0.25">
      <c r="A131" s="4" t="s">
        <v>231</v>
      </c>
      <c r="B131" s="44">
        <f t="shared" ref="B131:J131" si="15">B$17</f>
        <v>1145.5403154899491</v>
      </c>
      <c r="C131" s="44">
        <f t="shared" si="15"/>
        <v>1091.382157517196</v>
      </c>
      <c r="D131" s="44">
        <f t="shared" si="15"/>
        <v>1087.0426658372073</v>
      </c>
      <c r="E131" s="44">
        <f t="shared" si="15"/>
        <v>837.57715860763471</v>
      </c>
      <c r="F131" s="44">
        <f t="shared" si="15"/>
        <v>830.19401029473704</v>
      </c>
      <c r="G131" s="44">
        <f t="shared" si="15"/>
        <v>0</v>
      </c>
      <c r="H131" s="44">
        <f t="shared" si="15"/>
        <v>816.59738392189445</v>
      </c>
      <c r="I131" s="44">
        <f t="shared" si="15"/>
        <v>808.0343989617985</v>
      </c>
      <c r="J131" s="44">
        <f t="shared" si="15"/>
        <v>798.14320575416798</v>
      </c>
      <c r="K131" s="17"/>
    </row>
    <row r="132" spans="1:11" x14ac:dyDescent="0.25">
      <c r="A132" s="4" t="s">
        <v>232</v>
      </c>
      <c r="B132" s="44">
        <f t="shared" ref="B132:J132" si="16">B$18</f>
        <v>233.50409791447402</v>
      </c>
      <c r="C132" s="44">
        <f t="shared" si="16"/>
        <v>218.53731455584969</v>
      </c>
      <c r="D132" s="44">
        <f t="shared" si="16"/>
        <v>217.66837891149243</v>
      </c>
      <c r="E132" s="44">
        <f t="shared" si="16"/>
        <v>161.83483973498087</v>
      </c>
      <c r="F132" s="44">
        <f t="shared" si="16"/>
        <v>160.40828385093116</v>
      </c>
      <c r="G132" s="44">
        <f t="shared" si="16"/>
        <v>0</v>
      </c>
      <c r="H132" s="44">
        <f t="shared" si="16"/>
        <v>157.78117322909506</v>
      </c>
      <c r="I132" s="44">
        <f t="shared" si="16"/>
        <v>156.12665187016276</v>
      </c>
      <c r="J132" s="44">
        <f t="shared" si="16"/>
        <v>154.21549699792908</v>
      </c>
      <c r="K132" s="17"/>
    </row>
    <row r="133" spans="1:11" x14ac:dyDescent="0.25">
      <c r="A133" s="4" t="s">
        <v>233</v>
      </c>
      <c r="B133" s="44">
        <f t="shared" ref="B133:J133" si="17">B$19</f>
        <v>0</v>
      </c>
      <c r="C133" s="44">
        <f t="shared" si="17"/>
        <v>0</v>
      </c>
      <c r="D133" s="44">
        <f t="shared" si="17"/>
        <v>0</v>
      </c>
      <c r="E133" s="44">
        <f t="shared" si="17"/>
        <v>0</v>
      </c>
      <c r="F133" s="44">
        <f t="shared" si="17"/>
        <v>0</v>
      </c>
      <c r="G133" s="44">
        <f t="shared" si="17"/>
        <v>0</v>
      </c>
      <c r="H133" s="44">
        <f t="shared" si="17"/>
        <v>0</v>
      </c>
      <c r="I133" s="44">
        <f t="shared" si="17"/>
        <v>0</v>
      </c>
      <c r="J133" s="44">
        <f t="shared" si="17"/>
        <v>0</v>
      </c>
      <c r="K133" s="17"/>
    </row>
    <row r="134" spans="1:11" x14ac:dyDescent="0.25">
      <c r="A134" s="4" t="s">
        <v>234</v>
      </c>
      <c r="B134" s="44">
        <f t="shared" ref="B134:J134" si="18">B$56</f>
        <v>27531.847886972886</v>
      </c>
      <c r="C134" s="44">
        <f t="shared" si="18"/>
        <v>26293.506601746081</v>
      </c>
      <c r="D134" s="44">
        <f t="shared" si="18"/>
        <v>26188.959855814686</v>
      </c>
      <c r="E134" s="44">
        <f t="shared" si="18"/>
        <v>20975.501140475775</v>
      </c>
      <c r="F134" s="44">
        <f t="shared" si="18"/>
        <v>20790.604460491173</v>
      </c>
      <c r="G134" s="44">
        <f t="shared" si="18"/>
        <v>0</v>
      </c>
      <c r="H134" s="44">
        <f t="shared" si="18"/>
        <v>20450.103231369441</v>
      </c>
      <c r="I134" s="44">
        <f t="shared" si="18"/>
        <v>20235.659822842219</v>
      </c>
      <c r="J134" s="44">
        <f t="shared" si="18"/>
        <v>19987.954005801774</v>
      </c>
      <c r="K134" s="17"/>
    </row>
    <row r="135" spans="1:11" x14ac:dyDescent="0.25">
      <c r="A135" s="4" t="s">
        <v>192</v>
      </c>
      <c r="B135" s="44">
        <f t="shared" ref="B135:J135" si="19">B92</f>
        <v>-479.05697228143322</v>
      </c>
      <c r="C135" s="44">
        <f t="shared" si="19"/>
        <v>-478.10077073995325</v>
      </c>
      <c r="D135" s="44">
        <f t="shared" si="19"/>
        <v>-476.19977363959561</v>
      </c>
      <c r="E135" s="44">
        <f t="shared" si="19"/>
        <v>-473.37645482355055</v>
      </c>
      <c r="F135" s="44">
        <f t="shared" si="19"/>
        <v>-469.20369469288278</v>
      </c>
      <c r="G135" s="44">
        <f t="shared" si="19"/>
        <v>0</v>
      </c>
      <c r="H135" s="44">
        <f t="shared" si="19"/>
        <v>-461.51924111891435</v>
      </c>
      <c r="I135" s="44">
        <f t="shared" si="19"/>
        <v>-456.67966852376856</v>
      </c>
      <c r="J135" s="44">
        <f t="shared" si="19"/>
        <v>0</v>
      </c>
      <c r="K135" s="17"/>
    </row>
    <row r="136" spans="1:11" x14ac:dyDescent="0.25">
      <c r="A136" s="4" t="s">
        <v>193</v>
      </c>
      <c r="B136" s="44">
        <f t="shared" ref="B136:J136" si="20">B93</f>
        <v>0</v>
      </c>
      <c r="C136" s="44">
        <f t="shared" si="20"/>
        <v>0</v>
      </c>
      <c r="D136" s="44">
        <f t="shared" si="20"/>
        <v>0</v>
      </c>
      <c r="E136" s="44">
        <f t="shared" si="20"/>
        <v>0</v>
      </c>
      <c r="F136" s="44">
        <f t="shared" si="20"/>
        <v>0</v>
      </c>
      <c r="G136" s="44">
        <f t="shared" si="20"/>
        <v>0</v>
      </c>
      <c r="H136" s="44">
        <f t="shared" si="20"/>
        <v>0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194</v>
      </c>
      <c r="B137" s="44">
        <f t="shared" ref="B137:J137" si="21">B94</f>
        <v>-8671.3232552272857</v>
      </c>
      <c r="C137" s="44">
        <f t="shared" si="21"/>
        <v>-8654.0152247777296</v>
      </c>
      <c r="D137" s="44">
        <f t="shared" si="21"/>
        <v>-8619.6056214982964</v>
      </c>
      <c r="E137" s="44">
        <f t="shared" si="21"/>
        <v>-8568.5012403431683</v>
      </c>
      <c r="F137" s="44">
        <f t="shared" si="21"/>
        <v>-8492.9708670198706</v>
      </c>
      <c r="G137" s="44">
        <f t="shared" si="21"/>
        <v>0</v>
      </c>
      <c r="H137" s="44">
        <f t="shared" si="21"/>
        <v>-8353.8759684270572</v>
      </c>
      <c r="I137" s="44">
        <f t="shared" si="21"/>
        <v>-8266.275743781971</v>
      </c>
      <c r="J137" s="44">
        <f t="shared" si="21"/>
        <v>0</v>
      </c>
      <c r="K137" s="17"/>
    </row>
    <row r="138" spans="1:11" x14ac:dyDescent="0.25">
      <c r="A138" s="4" t="s">
        <v>195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196</v>
      </c>
      <c r="B139" s="44">
        <f t="shared" ref="B139:J139" si="23">B$57</f>
        <v>-461.86418066017148</v>
      </c>
      <c r="C139" s="44">
        <f t="shared" si="23"/>
        <v>-458.92966738349446</v>
      </c>
      <c r="D139" s="44">
        <f t="shared" si="23"/>
        <v>-457.1048973342559</v>
      </c>
      <c r="E139" s="44">
        <f t="shared" si="23"/>
        <v>-449.87725822348409</v>
      </c>
      <c r="F139" s="44">
        <f t="shared" si="23"/>
        <v>-445.91164086402159</v>
      </c>
      <c r="G139" s="44">
        <f t="shared" si="23"/>
        <v>0</v>
      </c>
      <c r="H139" s="44">
        <f t="shared" si="23"/>
        <v>-438.60865637973592</v>
      </c>
      <c r="I139" s="44">
        <f t="shared" si="23"/>
        <v>-434.00932823848041</v>
      </c>
      <c r="J139" s="44">
        <f t="shared" si="23"/>
        <v>0</v>
      </c>
      <c r="K139" s="17"/>
    </row>
    <row r="140" spans="1:11" x14ac:dyDescent="0.25">
      <c r="A140" s="4" t="s">
        <v>197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198</v>
      </c>
      <c r="B141" s="44">
        <f t="shared" ref="B141:J141" si="25">B98</f>
        <v>-1377.1456147776212</v>
      </c>
      <c r="C141" s="44">
        <f t="shared" si="25"/>
        <v>-1374.3968211353506</v>
      </c>
      <c r="D141" s="44">
        <f t="shared" si="25"/>
        <v>-1368.9320226417708</v>
      </c>
      <c r="E141" s="44">
        <f t="shared" si="25"/>
        <v>-1360.8158248790724</v>
      </c>
      <c r="F141" s="44">
        <f t="shared" si="25"/>
        <v>-1348.8203866578071</v>
      </c>
      <c r="G141" s="44">
        <f t="shared" si="25"/>
        <v>0</v>
      </c>
      <c r="H141" s="44">
        <f t="shared" si="25"/>
        <v>-1326.7298793618702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199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200</v>
      </c>
      <c r="B143" s="44">
        <f t="shared" ref="B143:J143" si="27">B$59</f>
        <v>-528.93967489047259</v>
      </c>
      <c r="C143" s="44">
        <f t="shared" si="27"/>
        <v>-521.43731166473867</v>
      </c>
      <c r="D143" s="44">
        <f t="shared" si="27"/>
        <v>-519.36400227442175</v>
      </c>
      <c r="E143" s="44">
        <f t="shared" si="27"/>
        <v>-498.6696084265572</v>
      </c>
      <c r="F143" s="44">
        <f t="shared" si="27"/>
        <v>-494.27389199576487</v>
      </c>
      <c r="G143" s="44">
        <f t="shared" si="27"/>
        <v>0</v>
      </c>
      <c r="H143" s="44">
        <f t="shared" si="27"/>
        <v>-486.17884752184574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201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209</v>
      </c>
      <c r="B145" s="44">
        <f t="shared" ref="B145:J145" si="29">B102</f>
        <v>-48182.492194953586</v>
      </c>
      <c r="C145" s="44">
        <f t="shared" si="29"/>
        <v>-48086.31955584191</v>
      </c>
      <c r="D145" s="44">
        <f t="shared" si="29"/>
        <v>-47895.121466156648</v>
      </c>
      <c r="E145" s="44">
        <f t="shared" si="29"/>
        <v>-47611.158295408684</v>
      </c>
      <c r="F145" s="44">
        <f t="shared" si="29"/>
        <v>-47191.471297701857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210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211</v>
      </c>
      <c r="B147" s="44">
        <f t="shared" ref="B147:J147" si="31">B$61</f>
        <v>-33741.308220007042</v>
      </c>
      <c r="C147" s="44">
        <f t="shared" si="31"/>
        <v>-32745.22441105235</v>
      </c>
      <c r="D147" s="44">
        <f t="shared" si="31"/>
        <v>-32615.024711604819</v>
      </c>
      <c r="E147" s="44">
        <f t="shared" si="31"/>
        <v>-30337.774608555032</v>
      </c>
      <c r="F147" s="44">
        <f t="shared" si="31"/>
        <v>-30070.350542465909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212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851</v>
      </c>
    </row>
    <row r="151" spans="1:11" x14ac:dyDescent="0.25">
      <c r="A151" s="2" t="s">
        <v>381</v>
      </c>
    </row>
    <row r="152" spans="1:11" x14ac:dyDescent="0.25">
      <c r="A152" s="32" t="s">
        <v>852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854</v>
      </c>
      <c r="B156" s="42">
        <f t="shared" ref="B156:J156" si="33">SUM(B$116:B$148)</f>
        <v>2392516.7339832783</v>
      </c>
      <c r="C156" s="42">
        <f t="shared" si="33"/>
        <v>2354283.402343649</v>
      </c>
      <c r="D156" s="42">
        <f t="shared" si="33"/>
        <v>2344922.4345410895</v>
      </c>
      <c r="E156" s="42">
        <f t="shared" si="33"/>
        <v>2275503.6401771414</v>
      </c>
      <c r="F156" s="42">
        <f t="shared" si="33"/>
        <v>2255445.331889587</v>
      </c>
      <c r="G156" s="42">
        <f t="shared" si="33"/>
        <v>0</v>
      </c>
      <c r="H156" s="42">
        <f t="shared" si="33"/>
        <v>2294502.8939865883</v>
      </c>
      <c r="I156" s="42">
        <f t="shared" si="33"/>
        <v>1951602.6263493707</v>
      </c>
      <c r="J156" s="42">
        <f t="shared" si="33"/>
        <v>1828178.7062337189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South West in April 19 (no data version)</v>
      </c>
    </row>
    <row r="3" spans="1:12" ht="21" customHeight="1" x14ac:dyDescent="0.3">
      <c r="A3" s="1" t="s">
        <v>855</v>
      </c>
    </row>
    <row r="4" spans="1:12" x14ac:dyDescent="0.25">
      <c r="A4" s="2" t="s">
        <v>381</v>
      </c>
    </row>
    <row r="5" spans="1:12" x14ac:dyDescent="0.25">
      <c r="A5" s="32" t="s">
        <v>856</v>
      </c>
    </row>
    <row r="6" spans="1:12" x14ac:dyDescent="0.25">
      <c r="A6" s="32" t="s">
        <v>857</v>
      </c>
    </row>
    <row r="7" spans="1:12" x14ac:dyDescent="0.25">
      <c r="A7" s="32" t="s">
        <v>858</v>
      </c>
    </row>
    <row r="8" spans="1:12" x14ac:dyDescent="0.25">
      <c r="A8" s="33" t="s">
        <v>384</v>
      </c>
      <c r="B8" s="34" t="s">
        <v>385</v>
      </c>
      <c r="C8" s="34"/>
      <c r="D8" s="34"/>
      <c r="E8" s="34"/>
      <c r="F8" s="34"/>
      <c r="G8" s="34"/>
      <c r="H8" s="34"/>
      <c r="I8" s="34"/>
      <c r="J8" s="33" t="s">
        <v>385</v>
      </c>
      <c r="K8" s="33" t="s">
        <v>514</v>
      </c>
    </row>
    <row r="9" spans="1:12" x14ac:dyDescent="0.25">
      <c r="A9" s="33" t="s">
        <v>387</v>
      </c>
      <c r="B9" s="34" t="s">
        <v>388</v>
      </c>
      <c r="C9" s="34"/>
      <c r="D9" s="34"/>
      <c r="E9" s="34"/>
      <c r="F9" s="34"/>
      <c r="G9" s="34"/>
      <c r="H9" s="34"/>
      <c r="I9" s="34"/>
      <c r="J9" s="33" t="s">
        <v>388</v>
      </c>
      <c r="K9" s="33" t="s">
        <v>859</v>
      </c>
    </row>
    <row r="11" spans="1:12" x14ac:dyDescent="0.25">
      <c r="B11" s="35" t="s">
        <v>860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150</v>
      </c>
      <c r="C12" s="15" t="s">
        <v>151</v>
      </c>
      <c r="D12" s="15" t="s">
        <v>152</v>
      </c>
      <c r="E12" s="15" t="s">
        <v>153</v>
      </c>
      <c r="F12" s="15" t="s">
        <v>154</v>
      </c>
      <c r="G12" s="15" t="s">
        <v>155</v>
      </c>
      <c r="H12" s="15" t="s">
        <v>156</v>
      </c>
      <c r="I12" s="15" t="s">
        <v>157</v>
      </c>
      <c r="J12" s="15" t="s">
        <v>861</v>
      </c>
      <c r="K12" s="15" t="s">
        <v>862</v>
      </c>
    </row>
    <row r="13" spans="1:12" x14ac:dyDescent="0.25">
      <c r="A13" s="4" t="s">
        <v>182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229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207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190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208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230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231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234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863</v>
      </c>
    </row>
    <row r="34" spans="1:11" x14ac:dyDescent="0.25">
      <c r="A34" s="2" t="s">
        <v>381</v>
      </c>
    </row>
    <row r="35" spans="1:11" x14ac:dyDescent="0.25">
      <c r="A35" s="32" t="s">
        <v>864</v>
      </c>
    </row>
    <row r="36" spans="1:11" x14ac:dyDescent="0.25">
      <c r="A36" s="32" t="s">
        <v>865</v>
      </c>
    </row>
    <row r="37" spans="1:11" x14ac:dyDescent="0.25">
      <c r="A37" s="32" t="s">
        <v>866</v>
      </c>
    </row>
    <row r="38" spans="1:11" x14ac:dyDescent="0.25">
      <c r="A38" s="2" t="s">
        <v>424</v>
      </c>
    </row>
    <row r="40" spans="1:11" x14ac:dyDescent="0.25">
      <c r="B40" s="15" t="s">
        <v>150</v>
      </c>
      <c r="C40" s="15" t="s">
        <v>151</v>
      </c>
      <c r="D40" s="15" t="s">
        <v>152</v>
      </c>
      <c r="E40" s="15" t="s">
        <v>153</v>
      </c>
      <c r="F40" s="15" t="s">
        <v>154</v>
      </c>
      <c r="G40" s="15" t="s">
        <v>159</v>
      </c>
      <c r="H40" s="15" t="s">
        <v>155</v>
      </c>
      <c r="I40" s="15" t="s">
        <v>156</v>
      </c>
      <c r="J40" s="15" t="s">
        <v>157</v>
      </c>
    </row>
    <row r="41" spans="1:11" x14ac:dyDescent="0.25">
      <c r="A41" s="4" t="s">
        <v>182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183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228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184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185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229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186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187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207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188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189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190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191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208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230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231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232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233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234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867</v>
      </c>
    </row>
    <row r="62" spans="1:11" x14ac:dyDescent="0.25">
      <c r="A62" s="2" t="s">
        <v>381</v>
      </c>
    </row>
    <row r="63" spans="1:11" x14ac:dyDescent="0.25">
      <c r="A63" s="32" t="s">
        <v>868</v>
      </c>
    </row>
    <row r="64" spans="1:11" x14ac:dyDescent="0.25">
      <c r="A64" s="32" t="s">
        <v>869</v>
      </c>
    </row>
    <row r="65" spans="1:11" x14ac:dyDescent="0.25">
      <c r="A65" s="32" t="s">
        <v>870</v>
      </c>
    </row>
    <row r="66" spans="1:11" x14ac:dyDescent="0.25">
      <c r="A66" s="32" t="s">
        <v>871</v>
      </c>
    </row>
    <row r="67" spans="1:11" x14ac:dyDescent="0.25">
      <c r="A67" s="32" t="s">
        <v>835</v>
      </c>
    </row>
    <row r="68" spans="1:11" x14ac:dyDescent="0.25">
      <c r="A68" s="2" t="s">
        <v>872</v>
      </c>
    </row>
    <row r="70" spans="1:11" x14ac:dyDescent="0.25">
      <c r="B70" s="15" t="s">
        <v>150</v>
      </c>
      <c r="C70" s="15" t="s">
        <v>151</v>
      </c>
      <c r="D70" s="15" t="s">
        <v>152</v>
      </c>
      <c r="E70" s="15" t="s">
        <v>153</v>
      </c>
      <c r="F70" s="15" t="s">
        <v>154</v>
      </c>
      <c r="G70" s="15" t="s">
        <v>159</v>
      </c>
      <c r="H70" s="15" t="s">
        <v>155</v>
      </c>
      <c r="I70" s="15" t="s">
        <v>156</v>
      </c>
      <c r="J70" s="15" t="s">
        <v>157</v>
      </c>
    </row>
    <row r="71" spans="1:11" x14ac:dyDescent="0.25">
      <c r="A71" s="4" t="s">
        <v>190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137952.77887224776</v>
      </c>
      <c r="I71" s="42">
        <f>(Loads!$F$345+Loads!$G$345)*Input!$E$60*I$52*LAFs!I$272</f>
        <v>682530.90786174079</v>
      </c>
      <c r="J71" s="42">
        <f>(Loads!$F$345+Loads!$G$345)*Input!$E$60*J$52*LAFs!J$272</f>
        <v>674176.00974290574</v>
      </c>
      <c r="K71" s="17"/>
    </row>
    <row r="72" spans="1:11" x14ac:dyDescent="0.25">
      <c r="A72" s="4" t="s">
        <v>191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345144.37467466533</v>
      </c>
      <c r="I72" s="42">
        <f>(Loads!$F$346+Loads!$G$346)*Input!$E$60*I$53*LAFs!I$273</f>
        <v>341525.12956368219</v>
      </c>
      <c r="J72" s="42">
        <f>(Loads!$F$346+Loads!$G$346)*Input!$E$60*J$53*LAFs!J$273</f>
        <v>0</v>
      </c>
      <c r="K72" s="17"/>
    </row>
    <row r="73" spans="1:11" x14ac:dyDescent="0.25">
      <c r="A73" s="4" t="s">
        <v>208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178080.22927210151</v>
      </c>
      <c r="F73" s="42">
        <f>(Loads!$F$347+Loads!$G$347)*Input!$E$60*F$54*LAFs!F$274</f>
        <v>882552.36054538074</v>
      </c>
      <c r="G73" s="42">
        <f>(Loads!$F$347+Loads!$G$347)*Input!$E$60*G$54*LAFs!G$274</f>
        <v>0</v>
      </c>
      <c r="H73" s="42">
        <f>(Loads!$F$347+Loads!$G$347)*Input!$E$60*H$54*LAFs!H$274</f>
        <v>868098.22747286467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873</v>
      </c>
    </row>
    <row r="76" spans="1:11" x14ac:dyDescent="0.25">
      <c r="A76" s="2" t="s">
        <v>381</v>
      </c>
    </row>
    <row r="77" spans="1:11" x14ac:dyDescent="0.25">
      <c r="A77" s="32" t="s">
        <v>608</v>
      </c>
    </row>
    <row r="78" spans="1:11" x14ac:dyDescent="0.25">
      <c r="A78" s="32" t="s">
        <v>529</v>
      </c>
    </row>
    <row r="79" spans="1:11" x14ac:dyDescent="0.25">
      <c r="A79" s="32" t="s">
        <v>874</v>
      </c>
    </row>
    <row r="80" spans="1:11" x14ac:dyDescent="0.25">
      <c r="A80" s="32" t="s">
        <v>875</v>
      </c>
    </row>
    <row r="81" spans="1:11" x14ac:dyDescent="0.25">
      <c r="A81" s="32" t="s">
        <v>775</v>
      </c>
    </row>
    <row r="82" spans="1:11" x14ac:dyDescent="0.25">
      <c r="A82" s="2" t="s">
        <v>876</v>
      </c>
    </row>
    <row r="84" spans="1:11" x14ac:dyDescent="0.25">
      <c r="B84" s="15" t="s">
        <v>150</v>
      </c>
      <c r="C84" s="15" t="s">
        <v>151</v>
      </c>
      <c r="D84" s="15" t="s">
        <v>152</v>
      </c>
      <c r="E84" s="15" t="s">
        <v>153</v>
      </c>
      <c r="F84" s="15" t="s">
        <v>154</v>
      </c>
      <c r="G84" s="15" t="s">
        <v>159</v>
      </c>
      <c r="H84" s="15" t="s">
        <v>155</v>
      </c>
      <c r="I84" s="15" t="s">
        <v>156</v>
      </c>
      <c r="J84" s="15" t="s">
        <v>157</v>
      </c>
    </row>
    <row r="85" spans="1:11" x14ac:dyDescent="0.25">
      <c r="A85" s="4" t="s">
        <v>182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1211078.8137347742</v>
      </c>
      <c r="K85" s="17"/>
    </row>
    <row r="86" spans="1:11" x14ac:dyDescent="0.25">
      <c r="A86" s="4" t="s">
        <v>183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548794.64689321583</v>
      </c>
      <c r="K86" s="17"/>
    </row>
    <row r="87" spans="1:11" x14ac:dyDescent="0.25">
      <c r="A87" s="4" t="s">
        <v>184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349040.15327295871</v>
      </c>
      <c r="K87" s="17"/>
    </row>
    <row r="88" spans="1:11" x14ac:dyDescent="0.25">
      <c r="A88" s="4" t="s">
        <v>185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149821.60809846799</v>
      </c>
      <c r="K88" s="17"/>
    </row>
    <row r="89" spans="1:11" x14ac:dyDescent="0.25">
      <c r="A89" s="4" t="s">
        <v>186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14648.510493842741</v>
      </c>
      <c r="K89" s="17"/>
    </row>
    <row r="90" spans="1:11" x14ac:dyDescent="0.25">
      <c r="A90" s="4" t="s">
        <v>187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2634.855575562427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207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33.900001160210969</v>
      </c>
      <c r="F91" s="42">
        <f>Multi!$B$136/Input!$C$176*F$49*LAFs!F$269/(24*Input!$F$60)*1000</f>
        <v>168.00588234149612</v>
      </c>
      <c r="G91" s="42">
        <f>Multi!$B$136/Input!$C$176*G$49*LAFs!G$269/(24*Input!$F$60)*1000</f>
        <v>0</v>
      </c>
      <c r="H91" s="42">
        <f>Multi!$B$136/Input!$C$176*H$49*LAFs!H$269/(24*Input!$F$60)*1000</f>
        <v>165.25434091586465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188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88.748898320426846</v>
      </c>
      <c r="K92" s="17"/>
    </row>
    <row r="93" spans="1:11" x14ac:dyDescent="0.25">
      <c r="A93" s="4" t="s">
        <v>189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106793.82502419238</v>
      </c>
      <c r="K93" s="17"/>
    </row>
    <row r="95" spans="1:11" ht="21" customHeight="1" x14ac:dyDescent="0.3">
      <c r="A95" s="1" t="s">
        <v>877</v>
      </c>
    </row>
    <row r="96" spans="1:11" x14ac:dyDescent="0.25">
      <c r="A96" s="2" t="s">
        <v>381</v>
      </c>
    </row>
    <row r="97" spans="1:11" x14ac:dyDescent="0.25">
      <c r="A97" s="32" t="s">
        <v>878</v>
      </c>
    </row>
    <row r="98" spans="1:11" x14ac:dyDescent="0.25">
      <c r="A98" s="32" t="s">
        <v>879</v>
      </c>
    </row>
    <row r="99" spans="1:11" x14ac:dyDescent="0.25">
      <c r="A99" s="2" t="s">
        <v>399</v>
      </c>
    </row>
    <row r="101" spans="1:11" x14ac:dyDescent="0.25">
      <c r="B101" s="15" t="s">
        <v>150</v>
      </c>
      <c r="C101" s="15" t="s">
        <v>151</v>
      </c>
      <c r="D101" s="15" t="s">
        <v>152</v>
      </c>
      <c r="E101" s="15" t="s">
        <v>153</v>
      </c>
      <c r="F101" s="15" t="s">
        <v>154</v>
      </c>
      <c r="G101" s="15" t="s">
        <v>159</v>
      </c>
      <c r="H101" s="15" t="s">
        <v>155</v>
      </c>
      <c r="I101" s="15" t="s">
        <v>156</v>
      </c>
      <c r="J101" s="15" t="s">
        <v>157</v>
      </c>
    </row>
    <row r="102" spans="1:11" x14ac:dyDescent="0.25">
      <c r="A102" s="4" t="s">
        <v>182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1211078.8137347742</v>
      </c>
      <c r="K102" s="17"/>
    </row>
    <row r="103" spans="1:11" x14ac:dyDescent="0.25">
      <c r="A103" s="4" t="s">
        <v>183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548794.64689321583</v>
      </c>
      <c r="K103" s="17"/>
    </row>
    <row r="104" spans="1:11" x14ac:dyDescent="0.25">
      <c r="A104" s="4" t="s">
        <v>184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349040.15327295871</v>
      </c>
      <c r="K104" s="17"/>
    </row>
    <row r="105" spans="1:11" x14ac:dyDescent="0.25">
      <c r="A105" s="4" t="s">
        <v>185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149821.60809846799</v>
      </c>
      <c r="K105" s="17"/>
    </row>
    <row r="106" spans="1:11" x14ac:dyDescent="0.25">
      <c r="A106" s="4" t="s">
        <v>186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14648.510493842741</v>
      </c>
      <c r="K106" s="17"/>
    </row>
    <row r="107" spans="1:11" x14ac:dyDescent="0.25">
      <c r="A107" s="4" t="s">
        <v>187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2634.855575562427</v>
      </c>
      <c r="J107" s="44">
        <f t="shared" si="13"/>
        <v>0</v>
      </c>
      <c r="K107" s="17"/>
    </row>
    <row r="108" spans="1:11" x14ac:dyDescent="0.25">
      <c r="A108" s="4" t="s">
        <v>207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33.900001160210969</v>
      </c>
      <c r="F108" s="44">
        <f t="shared" si="14"/>
        <v>168.00588234149612</v>
      </c>
      <c r="G108" s="44">
        <f t="shared" si="14"/>
        <v>0</v>
      </c>
      <c r="H108" s="44">
        <f t="shared" si="14"/>
        <v>165.25434091586465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188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88.748898320426846</v>
      </c>
      <c r="K109" s="17"/>
    </row>
    <row r="110" spans="1:11" x14ac:dyDescent="0.25">
      <c r="A110" s="4" t="s">
        <v>189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106793.82502419238</v>
      </c>
      <c r="K110" s="17"/>
    </row>
    <row r="111" spans="1:11" x14ac:dyDescent="0.25">
      <c r="A111" s="4" t="s">
        <v>190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137952.77887224776</v>
      </c>
      <c r="I111" s="44">
        <f t="shared" si="17"/>
        <v>682530.90786174079</v>
      </c>
      <c r="J111" s="44">
        <f t="shared" si="17"/>
        <v>674176.00974290574</v>
      </c>
      <c r="K111" s="17"/>
    </row>
    <row r="112" spans="1:11" x14ac:dyDescent="0.25">
      <c r="A112" s="4" t="s">
        <v>191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345144.37467466533</v>
      </c>
      <c r="I112" s="44">
        <f t="shared" si="18"/>
        <v>341525.12956368219</v>
      </c>
      <c r="J112" s="44">
        <f t="shared" si="18"/>
        <v>0</v>
      </c>
      <c r="K112" s="17"/>
    </row>
    <row r="113" spans="1:11" x14ac:dyDescent="0.25">
      <c r="A113" s="4" t="s">
        <v>208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178080.22927210151</v>
      </c>
      <c r="F113" s="44">
        <f t="shared" si="19"/>
        <v>882552.36054538074</v>
      </c>
      <c r="G113" s="44">
        <f t="shared" si="19"/>
        <v>0</v>
      </c>
      <c r="H113" s="44">
        <f t="shared" si="19"/>
        <v>868098.22747286467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880</v>
      </c>
    </row>
    <row r="116" spans="1:11" x14ac:dyDescent="0.25">
      <c r="A116" s="2" t="s">
        <v>381</v>
      </c>
    </row>
    <row r="117" spans="1:11" x14ac:dyDescent="0.25">
      <c r="A117" s="32" t="s">
        <v>881</v>
      </c>
    </row>
    <row r="118" spans="1:11" x14ac:dyDescent="0.25">
      <c r="A118" s="2" t="s">
        <v>853</v>
      </c>
    </row>
    <row r="120" spans="1:11" x14ac:dyDescent="0.25">
      <c r="B120" s="15" t="s">
        <v>150</v>
      </c>
      <c r="C120" s="15" t="s">
        <v>151</v>
      </c>
      <c r="D120" s="15" t="s">
        <v>152</v>
      </c>
      <c r="E120" s="15" t="s">
        <v>153</v>
      </c>
      <c r="F120" s="15" t="s">
        <v>154</v>
      </c>
      <c r="G120" s="15" t="s">
        <v>159</v>
      </c>
      <c r="H120" s="15" t="s">
        <v>155</v>
      </c>
      <c r="I120" s="15" t="s">
        <v>156</v>
      </c>
      <c r="J120" s="15" t="s">
        <v>157</v>
      </c>
    </row>
    <row r="121" spans="1:11" x14ac:dyDescent="0.25">
      <c r="A121" s="4" t="s">
        <v>882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178114.12927326173</v>
      </c>
      <c r="F121" s="42">
        <f t="shared" si="20"/>
        <v>882720.36642772227</v>
      </c>
      <c r="G121" s="42">
        <f t="shared" si="20"/>
        <v>0</v>
      </c>
      <c r="H121" s="42">
        <f t="shared" si="20"/>
        <v>1351360.6353606936</v>
      </c>
      <c r="I121" s="42">
        <f t="shared" si="20"/>
        <v>1026690.8930009855</v>
      </c>
      <c r="J121" s="42">
        <f t="shared" si="20"/>
        <v>3054442.3161586779</v>
      </c>
      <c r="K121" s="17"/>
    </row>
    <row r="123" spans="1:11" ht="21" customHeight="1" x14ac:dyDescent="0.3">
      <c r="A123" s="1" t="s">
        <v>883</v>
      </c>
    </row>
    <row r="124" spans="1:11" x14ac:dyDescent="0.25">
      <c r="A124" s="2" t="s">
        <v>381</v>
      </c>
    </row>
    <row r="125" spans="1:11" x14ac:dyDescent="0.25">
      <c r="A125" s="32" t="s">
        <v>852</v>
      </c>
    </row>
    <row r="126" spans="1:11" x14ac:dyDescent="0.25">
      <c r="A126" s="32" t="s">
        <v>884</v>
      </c>
    </row>
    <row r="127" spans="1:11" x14ac:dyDescent="0.25">
      <c r="A127" s="2" t="s">
        <v>723</v>
      </c>
    </row>
    <row r="129" spans="1:11" x14ac:dyDescent="0.25">
      <c r="B129" s="15" t="s">
        <v>150</v>
      </c>
      <c r="C129" s="15" t="s">
        <v>151</v>
      </c>
      <c r="D129" s="15" t="s">
        <v>152</v>
      </c>
      <c r="E129" s="15" t="s">
        <v>153</v>
      </c>
      <c r="F129" s="15" t="s">
        <v>154</v>
      </c>
      <c r="G129" s="15" t="s">
        <v>159</v>
      </c>
      <c r="H129" s="15" t="s">
        <v>155</v>
      </c>
      <c r="I129" s="15" t="s">
        <v>156</v>
      </c>
      <c r="J129" s="15" t="s">
        <v>157</v>
      </c>
    </row>
    <row r="130" spans="1:11" x14ac:dyDescent="0.25">
      <c r="A130" s="4" t="s">
        <v>182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990939.27381887694</v>
      </c>
      <c r="K130" s="17"/>
    </row>
    <row r="131" spans="1:11" x14ac:dyDescent="0.25">
      <c r="A131" s="4" t="s">
        <v>183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183871.19689535469</v>
      </c>
      <c r="K131" s="17"/>
    </row>
    <row r="132" spans="1:11" x14ac:dyDescent="0.25">
      <c r="A132" s="4" t="s">
        <v>228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1210.7280742338075</v>
      </c>
      <c r="K132" s="17"/>
    </row>
    <row r="133" spans="1:11" x14ac:dyDescent="0.25">
      <c r="A133" s="4" t="s">
        <v>184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244867.64311269784</v>
      </c>
      <c r="K133" s="17"/>
    </row>
    <row r="134" spans="1:11" x14ac:dyDescent="0.25">
      <c r="A134" s="4" t="s">
        <v>185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97602.444240924946</v>
      </c>
      <c r="K134" s="17"/>
    </row>
    <row r="135" spans="1:11" x14ac:dyDescent="0.25">
      <c r="A135" s="4" t="s">
        <v>229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481.98858661652724</v>
      </c>
      <c r="K135" s="17"/>
    </row>
    <row r="136" spans="1:11" x14ac:dyDescent="0.25">
      <c r="A136" s="4" t="s">
        <v>186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12817.581655611904</v>
      </c>
      <c r="K136" s="17"/>
    </row>
    <row r="137" spans="1:11" x14ac:dyDescent="0.25">
      <c r="A137" s="4" t="s">
        <v>187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2258.1764633300954</v>
      </c>
      <c r="J137" s="42">
        <f>SMD!J$123*J48</f>
        <v>0</v>
      </c>
      <c r="K137" s="17"/>
    </row>
    <row r="138" spans="1:11" x14ac:dyDescent="0.25">
      <c r="A138" s="4" t="s">
        <v>207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23.799335587679796</v>
      </c>
      <c r="F138" s="42">
        <f>SMD!F$124*F49</f>
        <v>117.94773562552378</v>
      </c>
      <c r="G138" s="42">
        <f>SMD!G$124*G49</f>
        <v>0</v>
      </c>
      <c r="H138" s="42">
        <f>SMD!H$124*H49</f>
        <v>116.01602897269726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188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53.829348840512807</v>
      </c>
      <c r="K139" s="17"/>
    </row>
    <row r="140" spans="1:11" x14ac:dyDescent="0.25">
      <c r="A140" s="4" t="s">
        <v>189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74522.167128117406</v>
      </c>
      <c r="K140" s="17"/>
    </row>
    <row r="141" spans="1:11" x14ac:dyDescent="0.25">
      <c r="A141" s="4" t="s">
        <v>190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40997.133821340976</v>
      </c>
      <c r="I141" s="42">
        <f>SMD!I$127*I52</f>
        <v>202836.15303408928</v>
      </c>
      <c r="J141" s="42">
        <f>SMD!J$127*J52</f>
        <v>200353.22460711829</v>
      </c>
      <c r="K141" s="17"/>
    </row>
    <row r="142" spans="1:11" x14ac:dyDescent="0.25">
      <c r="A142" s="4" t="s">
        <v>191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108807.5124499786</v>
      </c>
      <c r="I142" s="42">
        <f>SMD!I$128*I53</f>
        <v>107666.53758158036</v>
      </c>
      <c r="J142" s="42">
        <f>SMD!J$128*J53</f>
        <v>0</v>
      </c>
      <c r="K142" s="17"/>
    </row>
    <row r="143" spans="1:11" x14ac:dyDescent="0.25">
      <c r="A143" s="4" t="s">
        <v>208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66447.475007513916</v>
      </c>
      <c r="F143" s="42">
        <f>SMD!F$129*F54</f>
        <v>329308.73999806115</v>
      </c>
      <c r="G143" s="42">
        <f>SMD!G$129*G54</f>
        <v>0</v>
      </c>
      <c r="H143" s="42">
        <f>SMD!H$129*H54</f>
        <v>323915.43693450897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230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231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232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233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234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885</v>
      </c>
    </row>
    <row r="151" spans="1:11" x14ac:dyDescent="0.25">
      <c r="A151" s="2" t="s">
        <v>381</v>
      </c>
    </row>
    <row r="152" spans="1:11" x14ac:dyDescent="0.25">
      <c r="A152" s="32" t="s">
        <v>886</v>
      </c>
    </row>
    <row r="153" spans="1:11" x14ac:dyDescent="0.25">
      <c r="A153" s="2" t="s">
        <v>853</v>
      </c>
    </row>
    <row r="155" spans="1:11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159</v>
      </c>
      <c r="H155" s="15" t="s">
        <v>155</v>
      </c>
      <c r="I155" s="15" t="s">
        <v>156</v>
      </c>
      <c r="J155" s="15" t="s">
        <v>157</v>
      </c>
    </row>
    <row r="156" spans="1:11" ht="30" x14ac:dyDescent="0.25">
      <c r="A156" s="4" t="s">
        <v>887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66471.274343101599</v>
      </c>
      <c r="F156" s="42">
        <f t="shared" si="21"/>
        <v>329426.6877336867</v>
      </c>
      <c r="G156" s="42">
        <f t="shared" si="21"/>
        <v>0</v>
      </c>
      <c r="H156" s="42">
        <f t="shared" si="21"/>
        <v>473836.09923480125</v>
      </c>
      <c r="I156" s="42">
        <f t="shared" si="21"/>
        <v>312760.86707899976</v>
      </c>
      <c r="J156" s="42">
        <f t="shared" si="21"/>
        <v>1806720.0774683929</v>
      </c>
      <c r="K156" s="17"/>
    </row>
    <row r="158" spans="1:11" ht="21" customHeight="1" x14ac:dyDescent="0.3">
      <c r="A158" s="1" t="s">
        <v>888</v>
      </c>
    </row>
    <row r="159" spans="1:11" x14ac:dyDescent="0.25">
      <c r="A159" s="2" t="s">
        <v>381</v>
      </c>
    </row>
    <row r="160" spans="1:11" x14ac:dyDescent="0.25">
      <c r="A160" s="32" t="s">
        <v>889</v>
      </c>
    </row>
    <row r="161" spans="1:11" x14ac:dyDescent="0.25">
      <c r="A161" s="32" t="s">
        <v>890</v>
      </c>
    </row>
    <row r="162" spans="1:11" x14ac:dyDescent="0.25">
      <c r="A162" s="2" t="s">
        <v>891</v>
      </c>
    </row>
    <row r="164" spans="1:11" x14ac:dyDescent="0.25">
      <c r="B164" s="15" t="s">
        <v>157</v>
      </c>
    </row>
    <row r="165" spans="1:11" x14ac:dyDescent="0.25">
      <c r="A165" s="4" t="s">
        <v>892</v>
      </c>
      <c r="B165" s="39">
        <f>$J121/$J156-1</f>
        <v>0.69060074897635215</v>
      </c>
      <c r="C165" s="17"/>
    </row>
    <row r="167" spans="1:11" ht="21" customHeight="1" x14ac:dyDescent="0.3">
      <c r="A167" s="1" t="s">
        <v>893</v>
      </c>
    </row>
    <row r="169" spans="1:11" x14ac:dyDescent="0.25">
      <c r="B169" s="15" t="s">
        <v>150</v>
      </c>
      <c r="C169" s="15" t="s">
        <v>151</v>
      </c>
      <c r="D169" s="15" t="s">
        <v>152</v>
      </c>
      <c r="E169" s="15" t="s">
        <v>153</v>
      </c>
      <c r="F169" s="15" t="s">
        <v>154</v>
      </c>
      <c r="G169" s="15" t="s">
        <v>159</v>
      </c>
      <c r="H169" s="15" t="s">
        <v>155</v>
      </c>
      <c r="I169" s="15" t="s">
        <v>156</v>
      </c>
      <c r="J169" s="15" t="s">
        <v>157</v>
      </c>
    </row>
    <row r="170" spans="1:11" x14ac:dyDescent="0.25">
      <c r="A170" s="4" t="s">
        <v>150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151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152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153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154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155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156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157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894</v>
      </c>
    </row>
    <row r="180" spans="1:11" x14ac:dyDescent="0.25">
      <c r="A180" s="2" t="s">
        <v>381</v>
      </c>
    </row>
    <row r="181" spans="1:11" x14ac:dyDescent="0.25">
      <c r="A181" s="32" t="s">
        <v>895</v>
      </c>
    </row>
    <row r="182" spans="1:11" x14ac:dyDescent="0.25">
      <c r="A182" s="32" t="s">
        <v>896</v>
      </c>
    </row>
    <row r="183" spans="1:11" x14ac:dyDescent="0.25">
      <c r="A183" s="2" t="s">
        <v>394</v>
      </c>
    </row>
    <row r="185" spans="1:11" ht="60" x14ac:dyDescent="0.25">
      <c r="B185" s="15" t="s">
        <v>897</v>
      </c>
    </row>
    <row r="186" spans="1:11" x14ac:dyDescent="0.25">
      <c r="A186" s="4" t="s">
        <v>150</v>
      </c>
      <c r="B186" s="39">
        <f>SUMPRODUCT(DRM!D$48:D$55,$B$170:$B$177)</f>
        <v>2.200000000000002E-2</v>
      </c>
      <c r="C186" s="17"/>
    </row>
    <row r="187" spans="1:11" x14ac:dyDescent="0.25">
      <c r="A187" s="4" t="s">
        <v>151</v>
      </c>
      <c r="B187" s="39">
        <f>SUMPRODUCT(DRM!D$48:D$55,$C$170:$C$177)</f>
        <v>5.3682000000000007E-2</v>
      </c>
      <c r="C187" s="17"/>
    </row>
    <row r="188" spans="1:11" x14ac:dyDescent="0.25">
      <c r="A188" s="4" t="s">
        <v>152</v>
      </c>
      <c r="B188" s="39">
        <f>SUMPRODUCT(DRM!D$48:D$55,$D$170:$D$177)</f>
        <v>5.3682000000000007E-2</v>
      </c>
      <c r="C188" s="17"/>
    </row>
    <row r="189" spans="1:11" x14ac:dyDescent="0.25">
      <c r="A189" s="4" t="s">
        <v>153</v>
      </c>
      <c r="B189" s="39">
        <f>SUMPRODUCT(DRM!D$48:D$55,$E$170:$E$177)</f>
        <v>0.13270815000000002</v>
      </c>
      <c r="C189" s="17"/>
    </row>
    <row r="190" spans="1:11" x14ac:dyDescent="0.25">
      <c r="A190" s="4" t="s">
        <v>154</v>
      </c>
      <c r="B190" s="39">
        <f>SUMPRODUCT(DRM!D$48:D$55,$F$170:$F$177)</f>
        <v>0.13270815000000002</v>
      </c>
      <c r="C190" s="17"/>
    </row>
    <row r="191" spans="1:11" x14ac:dyDescent="0.25">
      <c r="A191" s="4" t="s">
        <v>159</v>
      </c>
      <c r="B191" s="39">
        <f>SUMPRODUCT(DRM!D$48:D$55,$G$170:$G$177)</f>
        <v>5.3682000000000007E-2</v>
      </c>
      <c r="C191" s="17"/>
    </row>
    <row r="192" spans="1:11" x14ac:dyDescent="0.25">
      <c r="A192" s="4" t="s">
        <v>155</v>
      </c>
      <c r="B192" s="39">
        <f>SUMPRODUCT(DRM!D$48:D$55,$H$170:$H$177)</f>
        <v>0.55181016550000006</v>
      </c>
      <c r="C192" s="17"/>
    </row>
    <row r="193" spans="1:11" x14ac:dyDescent="0.25">
      <c r="A193" s="4" t="s">
        <v>156</v>
      </c>
      <c r="B193" s="39">
        <f>SUMPRODUCT(DRM!D$48:D$55,$I$170:$I$177)</f>
        <v>0.55181016550000006</v>
      </c>
      <c r="C193" s="17"/>
    </row>
    <row r="194" spans="1:11" x14ac:dyDescent="0.25">
      <c r="A194" s="4" t="s">
        <v>157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898</v>
      </c>
    </row>
    <row r="197" spans="1:11" x14ac:dyDescent="0.25">
      <c r="A197" s="2" t="s">
        <v>381</v>
      </c>
    </row>
    <row r="198" spans="1:11" x14ac:dyDescent="0.25">
      <c r="A198" s="32" t="s">
        <v>899</v>
      </c>
    </row>
    <row r="199" spans="1:11" x14ac:dyDescent="0.25">
      <c r="A199" s="32" t="s">
        <v>900</v>
      </c>
    </row>
    <row r="200" spans="1:11" x14ac:dyDescent="0.25">
      <c r="A200" s="2" t="s">
        <v>399</v>
      </c>
    </row>
    <row r="202" spans="1:11" x14ac:dyDescent="0.25">
      <c r="B202" s="15" t="s">
        <v>150</v>
      </c>
      <c r="C202" s="15" t="s">
        <v>151</v>
      </c>
      <c r="D202" s="15" t="s">
        <v>152</v>
      </c>
      <c r="E202" s="15" t="s">
        <v>153</v>
      </c>
      <c r="F202" s="15" t="s">
        <v>154</v>
      </c>
      <c r="G202" s="15" t="s">
        <v>159</v>
      </c>
      <c r="H202" s="15" t="s">
        <v>155</v>
      </c>
      <c r="I202" s="15" t="s">
        <v>156</v>
      </c>
      <c r="J202" s="15" t="s">
        <v>157</v>
      </c>
    </row>
    <row r="203" spans="1:11" x14ac:dyDescent="0.25">
      <c r="A203" s="4" t="s">
        <v>901</v>
      </c>
      <c r="B203" s="41">
        <f>$B$186</f>
        <v>2.200000000000002E-2</v>
      </c>
      <c r="C203" s="41">
        <f>$B$187</f>
        <v>5.3682000000000007E-2</v>
      </c>
      <c r="D203" s="41">
        <f>$B$188</f>
        <v>5.3682000000000007E-2</v>
      </c>
      <c r="E203" s="41">
        <f>$B$189</f>
        <v>0.13270815000000002</v>
      </c>
      <c r="F203" s="41">
        <f>$B$190</f>
        <v>0.13270815000000002</v>
      </c>
      <c r="G203" s="41">
        <f>$B$191</f>
        <v>5.3682000000000007E-2</v>
      </c>
      <c r="H203" s="41">
        <f>$B$192</f>
        <v>0.55181016550000006</v>
      </c>
      <c r="I203" s="41">
        <f>$B$193</f>
        <v>0.55181016550000006</v>
      </c>
      <c r="J203" s="41">
        <f>$B165</f>
        <v>0.69060074897635215</v>
      </c>
      <c r="K203" s="17"/>
    </row>
    <row r="205" spans="1:11" ht="21" customHeight="1" x14ac:dyDescent="0.3">
      <c r="A205" s="1" t="s">
        <v>902</v>
      </c>
    </row>
    <row r="206" spans="1:11" x14ac:dyDescent="0.25">
      <c r="A206" s="2" t="s">
        <v>381</v>
      </c>
    </row>
    <row r="207" spans="1:11" x14ac:dyDescent="0.25">
      <c r="A207" s="32" t="s">
        <v>903</v>
      </c>
    </row>
    <row r="208" spans="1:11" x14ac:dyDescent="0.25">
      <c r="A208" s="32" t="s">
        <v>890</v>
      </c>
    </row>
    <row r="209" spans="1:11" x14ac:dyDescent="0.25">
      <c r="A209" s="32" t="s">
        <v>904</v>
      </c>
    </row>
    <row r="210" spans="1:11" x14ac:dyDescent="0.25">
      <c r="A210" s="32" t="s">
        <v>905</v>
      </c>
    </row>
    <row r="211" spans="1:11" x14ac:dyDescent="0.25">
      <c r="A211" s="2" t="s">
        <v>906</v>
      </c>
    </row>
    <row r="213" spans="1:11" x14ac:dyDescent="0.25">
      <c r="B213" s="15" t="s">
        <v>150</v>
      </c>
      <c r="C213" s="15" t="s">
        <v>151</v>
      </c>
      <c r="D213" s="15" t="s">
        <v>152</v>
      </c>
      <c r="E213" s="15" t="s">
        <v>153</v>
      </c>
      <c r="F213" s="15" t="s">
        <v>154</v>
      </c>
      <c r="G213" s="15" t="s">
        <v>159</v>
      </c>
      <c r="H213" s="15" t="s">
        <v>155</v>
      </c>
      <c r="I213" s="15" t="s">
        <v>156</v>
      </c>
      <c r="J213" s="15" t="s">
        <v>157</v>
      </c>
    </row>
    <row r="214" spans="1:11" ht="30" x14ac:dyDescent="0.25">
      <c r="A214" s="4" t="s">
        <v>907</v>
      </c>
      <c r="B214" s="42">
        <f>SMD!B156-B156+B121/(1+B203)</f>
        <v>2392516.7339832783</v>
      </c>
      <c r="C214" s="42">
        <f>SMD!C156-C156+C121/(1+C203)</f>
        <v>2354283.402343649</v>
      </c>
      <c r="D214" s="42">
        <f>SMD!D156-D156+D121/(1+D203)</f>
        <v>2344922.4345410895</v>
      </c>
      <c r="E214" s="42">
        <f>SMD!E156-E156+E121/(1+E203)</f>
        <v>2366278.6337921731</v>
      </c>
      <c r="F214" s="42">
        <f>SMD!F156-F156+F121/(1+F203)</f>
        <v>2705319.4432432223</v>
      </c>
      <c r="G214" s="42">
        <f>SMD!G156-G156+G121/(1+G203)</f>
        <v>0</v>
      </c>
      <c r="H214" s="42">
        <f>SMD!H156-H156+H121/(1+H203)</f>
        <v>2691495.3699243693</v>
      </c>
      <c r="I214" s="42">
        <f>SMD!I156-I156+I121/(1+I203)</f>
        <v>2300450.3218552032</v>
      </c>
      <c r="J214" s="42">
        <f>SMD!J156-J156+J121/(1+J203)</f>
        <v>1828178.7062337189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South West in April 19 (no data version)</v>
      </c>
    </row>
    <row r="3" spans="1:13" ht="21" customHeight="1" x14ac:dyDescent="0.3">
      <c r="A3" s="1" t="s">
        <v>908</v>
      </c>
    </row>
    <row r="4" spans="1:13" x14ac:dyDescent="0.25">
      <c r="A4" s="2" t="s">
        <v>381</v>
      </c>
    </row>
    <row r="5" spans="1:13" x14ac:dyDescent="0.25">
      <c r="A5" s="32" t="s">
        <v>909</v>
      </c>
    </row>
    <row r="6" spans="1:13" x14ac:dyDescent="0.25">
      <c r="A6" s="2" t="s">
        <v>910</v>
      </c>
    </row>
    <row r="7" spans="1:13" x14ac:dyDescent="0.25">
      <c r="A7" s="2" t="s">
        <v>399</v>
      </c>
    </row>
    <row r="9" spans="1:13" ht="30" x14ac:dyDescent="0.25">
      <c r="B9" s="15" t="s">
        <v>323</v>
      </c>
      <c r="C9" s="15" t="s">
        <v>911</v>
      </c>
      <c r="D9" s="15" t="s">
        <v>912</v>
      </c>
      <c r="E9" s="15" t="s">
        <v>913</v>
      </c>
      <c r="F9" s="15" t="s">
        <v>914</v>
      </c>
      <c r="G9" s="15" t="s">
        <v>915</v>
      </c>
      <c r="H9" s="15" t="s">
        <v>916</v>
      </c>
      <c r="I9" s="15" t="s">
        <v>917</v>
      </c>
      <c r="J9" s="15" t="s">
        <v>918</v>
      </c>
      <c r="K9" s="15" t="s">
        <v>919</v>
      </c>
      <c r="L9" s="15" t="s">
        <v>920</v>
      </c>
    </row>
    <row r="10" spans="1:13" ht="30" x14ac:dyDescent="0.25">
      <c r="A10" s="4" t="s">
        <v>921</v>
      </c>
      <c r="B10" s="44">
        <f>Input!$B308</f>
        <v>8982651.1920017302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922</v>
      </c>
    </row>
    <row r="13" spans="1:13" x14ac:dyDescent="0.25">
      <c r="A13" s="2" t="s">
        <v>381</v>
      </c>
    </row>
    <row r="14" spans="1:13" x14ac:dyDescent="0.25">
      <c r="A14" s="32" t="s">
        <v>476</v>
      </c>
    </row>
    <row r="15" spans="1:13" x14ac:dyDescent="0.25">
      <c r="A15" s="32" t="s">
        <v>923</v>
      </c>
    </row>
    <row r="16" spans="1:13" x14ac:dyDescent="0.25">
      <c r="A16" s="32" t="s">
        <v>924</v>
      </c>
    </row>
    <row r="17" spans="1:10" x14ac:dyDescent="0.25">
      <c r="A17" s="2" t="s">
        <v>925</v>
      </c>
    </row>
    <row r="19" spans="1:10" ht="30" x14ac:dyDescent="0.25">
      <c r="B19" s="15" t="s">
        <v>335</v>
      </c>
      <c r="C19" s="15" t="s">
        <v>336</v>
      </c>
      <c r="D19" s="15" t="s">
        <v>337</v>
      </c>
      <c r="E19" s="15" t="s">
        <v>338</v>
      </c>
      <c r="F19" s="15" t="s">
        <v>339</v>
      </c>
      <c r="G19" s="15" t="s">
        <v>340</v>
      </c>
      <c r="H19" s="15" t="s">
        <v>341</v>
      </c>
      <c r="I19" s="15" t="s">
        <v>342</v>
      </c>
    </row>
    <row r="20" spans="1:10" x14ac:dyDescent="0.25">
      <c r="A20" s="4" t="s">
        <v>926</v>
      </c>
      <c r="B20" s="42">
        <f>IF(DRM!$B$113,AMD!$C214*Input!$B$92/DRM!$B$113/1000,0)</f>
        <v>557385390.08362377</v>
      </c>
      <c r="C20" s="42">
        <f>IF(DRM!$B$114,AMD!$D214*Input!$B$93/DRM!$B$114/1000,0)</f>
        <v>85963494.719814375</v>
      </c>
      <c r="D20" s="42">
        <f>IF(DRM!$B$115,AMD!$E214*Input!$B$94/DRM!$B$115/1000,0)</f>
        <v>194750432.191046</v>
      </c>
      <c r="E20" s="42">
        <f>IF(DRM!$B$116,AMD!$F214*Input!$B$95/DRM!$B$116/1000,0)</f>
        <v>222946949.17891872</v>
      </c>
      <c r="F20" s="42">
        <f>IF(DRM!$B$117,AMD!$G214*Input!$B$96/DRM!$B$117/1000,0)</f>
        <v>0</v>
      </c>
      <c r="G20" s="42">
        <f>IF(DRM!$B$118,AMD!$H214*Input!$B$97/DRM!$B$118/1000,0)</f>
        <v>871338202.43772948</v>
      </c>
      <c r="H20" s="42">
        <f>IF(DRM!$B$119,AMD!$I214*Input!$B$98/DRM!$B$119/1000,0)</f>
        <v>313466715.59321648</v>
      </c>
      <c r="I20" s="42">
        <f>IF(DRM!$B$120,AMD!$J214*Input!$B$99/DRM!$B$120/1000,0)</f>
        <v>591177151.50398386</v>
      </c>
      <c r="J20" s="17"/>
    </row>
    <row r="22" spans="1:10" ht="21" customHeight="1" x14ac:dyDescent="0.3">
      <c r="A22" s="1" t="s">
        <v>927</v>
      </c>
    </row>
    <row r="23" spans="1:10" x14ac:dyDescent="0.25">
      <c r="A23" s="2" t="s">
        <v>381</v>
      </c>
    </row>
    <row r="24" spans="1:10" x14ac:dyDescent="0.25">
      <c r="A24" s="32" t="s">
        <v>608</v>
      </c>
    </row>
    <row r="25" spans="1:10" x14ac:dyDescent="0.25">
      <c r="A25" s="2" t="s">
        <v>667</v>
      </c>
    </row>
    <row r="27" spans="1:10" ht="75" x14ac:dyDescent="0.25">
      <c r="B27" s="15" t="s">
        <v>928</v>
      </c>
    </row>
    <row r="28" spans="1:10" x14ac:dyDescent="0.25">
      <c r="A28" s="4" t="s">
        <v>230</v>
      </c>
      <c r="B28" s="44">
        <f>Multi!B$142</f>
        <v>4148.2185576390511</v>
      </c>
      <c r="C28" s="17"/>
    </row>
    <row r="29" spans="1:10" x14ac:dyDescent="0.25">
      <c r="A29" s="4" t="s">
        <v>231</v>
      </c>
      <c r="B29" s="44">
        <f>Multi!B$143</f>
        <v>5217.2339608351122</v>
      </c>
      <c r="C29" s="17"/>
    </row>
    <row r="30" spans="1:10" x14ac:dyDescent="0.25">
      <c r="A30" s="4" t="s">
        <v>232</v>
      </c>
      <c r="B30" s="44">
        <f>Multi!B$144</f>
        <v>595.31717219053098</v>
      </c>
      <c r="C30" s="17"/>
    </row>
    <row r="31" spans="1:10" x14ac:dyDescent="0.25">
      <c r="A31" s="4" t="s">
        <v>233</v>
      </c>
      <c r="B31" s="44">
        <f>Multi!B$145</f>
        <v>0</v>
      </c>
      <c r="C31" s="17"/>
    </row>
    <row r="32" spans="1:10" x14ac:dyDescent="0.25">
      <c r="A32" s="4" t="s">
        <v>234</v>
      </c>
      <c r="B32" s="44">
        <f>Multi!B$146</f>
        <v>121903.77092239675</v>
      </c>
      <c r="C32" s="17"/>
    </row>
    <row r="34" spans="1:3" ht="21" customHeight="1" x14ac:dyDescent="0.3">
      <c r="A34" s="1" t="s">
        <v>929</v>
      </c>
    </row>
    <row r="35" spans="1:3" x14ac:dyDescent="0.25">
      <c r="A35" s="2" t="s">
        <v>381</v>
      </c>
    </row>
    <row r="36" spans="1:3" x14ac:dyDescent="0.25">
      <c r="A36" s="32" t="s">
        <v>930</v>
      </c>
    </row>
    <row r="37" spans="1:3" x14ac:dyDescent="0.25">
      <c r="A37" s="2" t="s">
        <v>853</v>
      </c>
    </row>
    <row r="39" spans="1:3" ht="30" x14ac:dyDescent="0.25">
      <c r="B39" s="15" t="s">
        <v>931</v>
      </c>
    </row>
    <row r="40" spans="1:3" x14ac:dyDescent="0.25">
      <c r="A40" s="4" t="s">
        <v>931</v>
      </c>
      <c r="B40" s="42">
        <f>SUM(B$28:B$32)</f>
        <v>131864.54061306146</v>
      </c>
      <c r="C40" s="17"/>
    </row>
    <row r="42" spans="1:3" ht="21" customHeight="1" x14ac:dyDescent="0.3">
      <c r="A42" s="1" t="s">
        <v>932</v>
      </c>
    </row>
    <row r="43" spans="1:3" x14ac:dyDescent="0.25">
      <c r="A43" s="2" t="s">
        <v>381</v>
      </c>
    </row>
    <row r="44" spans="1:3" x14ac:dyDescent="0.25">
      <c r="A44" s="32" t="s">
        <v>933</v>
      </c>
    </row>
    <row r="45" spans="1:3" x14ac:dyDescent="0.25">
      <c r="A45" s="32" t="s">
        <v>934</v>
      </c>
    </row>
    <row r="46" spans="1:3" x14ac:dyDescent="0.25">
      <c r="A46" s="32" t="s">
        <v>935</v>
      </c>
    </row>
    <row r="47" spans="1:3" x14ac:dyDescent="0.25">
      <c r="A47" s="32" t="s">
        <v>936</v>
      </c>
    </row>
    <row r="48" spans="1:3" x14ac:dyDescent="0.25">
      <c r="A48" s="32" t="s">
        <v>937</v>
      </c>
    </row>
    <row r="49" spans="1:13" x14ac:dyDescent="0.25">
      <c r="A49" s="32" t="s">
        <v>938</v>
      </c>
    </row>
    <row r="50" spans="1:13" x14ac:dyDescent="0.25">
      <c r="A50" s="32" t="s">
        <v>939</v>
      </c>
    </row>
    <row r="51" spans="1:13" x14ac:dyDescent="0.25">
      <c r="A51" s="33" t="s">
        <v>384</v>
      </c>
      <c r="B51" s="33" t="s">
        <v>386</v>
      </c>
      <c r="C51" s="33"/>
      <c r="D51" s="33" t="s">
        <v>514</v>
      </c>
      <c r="E51" s="33" t="s">
        <v>443</v>
      </c>
      <c r="F51" s="33"/>
      <c r="G51" s="33" t="s">
        <v>514</v>
      </c>
      <c r="H51" s="33"/>
    </row>
    <row r="52" spans="1:13" x14ac:dyDescent="0.25">
      <c r="A52" s="33" t="s">
        <v>387</v>
      </c>
      <c r="B52" s="33" t="s">
        <v>389</v>
      </c>
      <c r="C52" s="33"/>
      <c r="D52" s="33" t="s">
        <v>940</v>
      </c>
      <c r="E52" s="33" t="s">
        <v>941</v>
      </c>
      <c r="F52" s="33"/>
      <c r="G52" s="33" t="s">
        <v>942</v>
      </c>
      <c r="H52" s="33"/>
    </row>
    <row r="54" spans="1:13" ht="30" x14ac:dyDescent="0.25">
      <c r="B54" s="30" t="s">
        <v>943</v>
      </c>
      <c r="C54" s="30"/>
      <c r="E54" s="30" t="s">
        <v>944</v>
      </c>
      <c r="F54" s="30"/>
      <c r="G54" s="30" t="s">
        <v>945</v>
      </c>
      <c r="H54" s="30"/>
    </row>
    <row r="55" spans="1:13" ht="45" x14ac:dyDescent="0.25">
      <c r="B55" s="15" t="s">
        <v>493</v>
      </c>
      <c r="C55" s="15" t="s">
        <v>505</v>
      </c>
      <c r="D55" s="15" t="s">
        <v>944</v>
      </c>
      <c r="E55" s="15" t="s">
        <v>493</v>
      </c>
      <c r="F55" s="15" t="s">
        <v>505</v>
      </c>
      <c r="G55" s="15" t="s">
        <v>493</v>
      </c>
      <c r="H55" s="15" t="s">
        <v>505</v>
      </c>
    </row>
    <row r="56" spans="1:13" x14ac:dyDescent="0.25">
      <c r="A56" s="4" t="s">
        <v>946</v>
      </c>
      <c r="B56" s="42">
        <f>SUMPRODUCT(SM!B$72:B$104,Loads!$E$334:$E$366)</f>
        <v>432529941.81553411</v>
      </c>
      <c r="C56" s="42">
        <f>SUMPRODUCT(SM!C$72:C$104,Loads!$E$334:$E$366)</f>
        <v>14464485.893689742</v>
      </c>
      <c r="D56" s="42">
        <f>SM!B39*$B40</f>
        <v>33823117.33824309</v>
      </c>
      <c r="E56" s="44">
        <f>$D56</f>
        <v>33823117.33824309</v>
      </c>
      <c r="F56" s="10"/>
      <c r="G56" s="42">
        <f>B56+E56</f>
        <v>466353059.15377718</v>
      </c>
      <c r="H56" s="42">
        <f>C56+F56</f>
        <v>14464485.893689742</v>
      </c>
      <c r="I56" s="17"/>
    </row>
    <row r="58" spans="1:13" ht="21" customHeight="1" x14ac:dyDescent="0.3">
      <c r="A58" s="1" t="s">
        <v>947</v>
      </c>
    </row>
    <row r="59" spans="1:13" x14ac:dyDescent="0.25">
      <c r="A59" s="2" t="s">
        <v>381</v>
      </c>
    </row>
    <row r="60" spans="1:13" x14ac:dyDescent="0.25">
      <c r="A60" s="32" t="s">
        <v>948</v>
      </c>
    </row>
    <row r="61" spans="1:13" x14ac:dyDescent="0.25">
      <c r="A61" s="32" t="s">
        <v>949</v>
      </c>
    </row>
    <row r="62" spans="1:13" x14ac:dyDescent="0.25">
      <c r="A62" s="32" t="s">
        <v>950</v>
      </c>
    </row>
    <row r="63" spans="1:13" x14ac:dyDescent="0.25">
      <c r="A63" s="33" t="s">
        <v>384</v>
      </c>
      <c r="B63" s="34" t="s">
        <v>549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515</v>
      </c>
    </row>
    <row r="64" spans="1:13" x14ac:dyDescent="0.25">
      <c r="A64" s="33" t="s">
        <v>387</v>
      </c>
      <c r="B64" s="34" t="s">
        <v>777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570</v>
      </c>
    </row>
    <row r="66" spans="1:14" x14ac:dyDescent="0.25">
      <c r="B66" s="35" t="s">
        <v>951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150</v>
      </c>
      <c r="C67" s="15" t="s">
        <v>335</v>
      </c>
      <c r="D67" s="15" t="s">
        <v>336</v>
      </c>
      <c r="E67" s="15" t="s">
        <v>337</v>
      </c>
      <c r="F67" s="15" t="s">
        <v>338</v>
      </c>
      <c r="G67" s="15" t="s">
        <v>339</v>
      </c>
      <c r="H67" s="15" t="s">
        <v>340</v>
      </c>
      <c r="I67" s="15" t="s">
        <v>341</v>
      </c>
      <c r="J67" s="15" t="s">
        <v>342</v>
      </c>
      <c r="K67" s="15" t="s">
        <v>493</v>
      </c>
      <c r="L67" s="15" t="s">
        <v>505</v>
      </c>
      <c r="M67" s="15" t="s">
        <v>952</v>
      </c>
    </row>
    <row r="68" spans="1:14" x14ac:dyDescent="0.25">
      <c r="A68" s="4" t="s">
        <v>953</v>
      </c>
      <c r="B68" s="10"/>
      <c r="C68" s="44">
        <f>$B20</f>
        <v>557385390.08362377</v>
      </c>
      <c r="D68" s="44">
        <f>$C20</f>
        <v>85963494.719814375</v>
      </c>
      <c r="E68" s="44">
        <f>$D20</f>
        <v>194750432.191046</v>
      </c>
      <c r="F68" s="44">
        <f>$E20</f>
        <v>222946949.17891872</v>
      </c>
      <c r="G68" s="44">
        <f>$F20</f>
        <v>0</v>
      </c>
      <c r="H68" s="44">
        <f>$G20</f>
        <v>871338202.43772948</v>
      </c>
      <c r="I68" s="44">
        <f>$H20</f>
        <v>313466715.59321648</v>
      </c>
      <c r="J68" s="44">
        <f>$I20</f>
        <v>591177151.50398386</v>
      </c>
      <c r="K68" s="44">
        <f>$G56</f>
        <v>466353059.15377718</v>
      </c>
      <c r="L68" s="44">
        <f>$H56</f>
        <v>14464485.893689742</v>
      </c>
      <c r="M68" s="44">
        <f>SUM($B68:$L68)</f>
        <v>3317845880.7557998</v>
      </c>
      <c r="N68" s="17"/>
    </row>
    <row r="70" spans="1:14" ht="21" customHeight="1" x14ac:dyDescent="0.3">
      <c r="A70" s="1" t="s">
        <v>954</v>
      </c>
    </row>
    <row r="71" spans="1:14" x14ac:dyDescent="0.25">
      <c r="A71" s="2" t="s">
        <v>381</v>
      </c>
    </row>
    <row r="72" spans="1:14" x14ac:dyDescent="0.25">
      <c r="A72" s="32" t="s">
        <v>955</v>
      </c>
    </row>
    <row r="73" spans="1:14" x14ac:dyDescent="0.25">
      <c r="A73" s="32" t="s">
        <v>956</v>
      </c>
    </row>
    <row r="74" spans="1:14" x14ac:dyDescent="0.25">
      <c r="A74" s="32" t="s">
        <v>957</v>
      </c>
    </row>
    <row r="75" spans="1:14" x14ac:dyDescent="0.25">
      <c r="A75" s="32" t="s">
        <v>958</v>
      </c>
    </row>
    <row r="76" spans="1:14" x14ac:dyDescent="0.25">
      <c r="A76" s="2" t="s">
        <v>959</v>
      </c>
    </row>
    <row r="78" spans="1:14" ht="90" x14ac:dyDescent="0.25">
      <c r="B78" s="15" t="s">
        <v>960</v>
      </c>
    </row>
    <row r="79" spans="1:14" x14ac:dyDescent="0.25">
      <c r="A79" s="4" t="s">
        <v>330</v>
      </c>
      <c r="B79" s="42">
        <f>Input!B313+Input!E313+Input!C313*Input!D313</f>
        <v>118438074.9891645</v>
      </c>
      <c r="C79" s="17"/>
    </row>
    <row r="81" spans="1:13" ht="21" customHeight="1" x14ac:dyDescent="0.3">
      <c r="A81" s="1" t="s">
        <v>961</v>
      </c>
    </row>
    <row r="82" spans="1:13" x14ac:dyDescent="0.25">
      <c r="A82" s="2" t="s">
        <v>381</v>
      </c>
    </row>
    <row r="83" spans="1:13" x14ac:dyDescent="0.25">
      <c r="A83" s="32" t="s">
        <v>962</v>
      </c>
    </row>
    <row r="84" spans="1:13" x14ac:dyDescent="0.25">
      <c r="A84" s="32" t="s">
        <v>963</v>
      </c>
    </row>
    <row r="85" spans="1:13" x14ac:dyDescent="0.25">
      <c r="A85" s="32" t="s">
        <v>964</v>
      </c>
    </row>
    <row r="86" spans="1:13" x14ac:dyDescent="0.25">
      <c r="A86" s="32" t="s">
        <v>965</v>
      </c>
    </row>
    <row r="87" spans="1:13" x14ac:dyDescent="0.25">
      <c r="A87" s="2" t="s">
        <v>966</v>
      </c>
    </row>
    <row r="89" spans="1:13" ht="30" x14ac:dyDescent="0.25">
      <c r="B89" s="15" t="s">
        <v>323</v>
      </c>
      <c r="C89" s="15" t="s">
        <v>911</v>
      </c>
      <c r="D89" s="15" t="s">
        <v>912</v>
      </c>
      <c r="E89" s="15" t="s">
        <v>913</v>
      </c>
      <c r="F89" s="15" t="s">
        <v>914</v>
      </c>
      <c r="G89" s="15" t="s">
        <v>915</v>
      </c>
      <c r="H89" s="15" t="s">
        <v>916</v>
      </c>
      <c r="I89" s="15" t="s">
        <v>917</v>
      </c>
      <c r="J89" s="15" t="s">
        <v>918</v>
      </c>
      <c r="K89" s="15" t="s">
        <v>919</v>
      </c>
      <c r="L89" s="15" t="s">
        <v>920</v>
      </c>
    </row>
    <row r="90" spans="1:13" x14ac:dyDescent="0.25">
      <c r="A90" s="4" t="s">
        <v>967</v>
      </c>
      <c r="B90" s="42">
        <f t="shared" ref="B90:L90" si="0">B10+$B79/$M68*B68</f>
        <v>8982651.1920017302</v>
      </c>
      <c r="C90" s="42">
        <f t="shared" si="0"/>
        <v>19897142.604330581</v>
      </c>
      <c r="D90" s="42">
        <f t="shared" si="0"/>
        <v>3068662.9819094334</v>
      </c>
      <c r="E90" s="42">
        <f t="shared" si="0"/>
        <v>6952060.8011969915</v>
      </c>
      <c r="F90" s="42">
        <f t="shared" si="0"/>
        <v>7958599.7766246805</v>
      </c>
      <c r="G90" s="42">
        <f t="shared" si="0"/>
        <v>0</v>
      </c>
      <c r="H90" s="42">
        <f t="shared" si="0"/>
        <v>31104404.203891143</v>
      </c>
      <c r="I90" s="42">
        <f t="shared" si="0"/>
        <v>11189909.267147498</v>
      </c>
      <c r="J90" s="42">
        <f t="shared" si="0"/>
        <v>21103416.589609507</v>
      </c>
      <c r="K90" s="42">
        <f t="shared" si="0"/>
        <v>16647535.954532985</v>
      </c>
      <c r="L90" s="42">
        <f t="shared" si="0"/>
        <v>516342.80992168514</v>
      </c>
      <c r="M90" s="17"/>
    </row>
    <row r="92" spans="1:13" ht="21" customHeight="1" x14ac:dyDescent="0.3">
      <c r="A92" s="1" t="s">
        <v>968</v>
      </c>
    </row>
    <row r="93" spans="1:13" x14ac:dyDescent="0.25">
      <c r="A93" s="2" t="s">
        <v>381</v>
      </c>
    </row>
    <row r="94" spans="1:13" x14ac:dyDescent="0.25">
      <c r="A94" s="32" t="s">
        <v>969</v>
      </c>
    </row>
    <row r="95" spans="1:13" x14ac:dyDescent="0.25">
      <c r="A95" s="32" t="s">
        <v>970</v>
      </c>
    </row>
    <row r="96" spans="1:13" x14ac:dyDescent="0.25">
      <c r="A96" s="2" t="s">
        <v>971</v>
      </c>
    </row>
    <row r="98" spans="1:13" ht="30" x14ac:dyDescent="0.25">
      <c r="B98" s="15" t="s">
        <v>323</v>
      </c>
      <c r="C98" s="15" t="s">
        <v>911</v>
      </c>
      <c r="D98" s="15" t="s">
        <v>912</v>
      </c>
      <c r="E98" s="15" t="s">
        <v>913</v>
      </c>
      <c r="F98" s="15" t="s">
        <v>914</v>
      </c>
      <c r="G98" s="15" t="s">
        <v>915</v>
      </c>
      <c r="H98" s="15" t="s">
        <v>916</v>
      </c>
      <c r="I98" s="15" t="s">
        <v>917</v>
      </c>
      <c r="J98" s="15" t="s">
        <v>918</v>
      </c>
      <c r="K98" s="15" t="s">
        <v>919</v>
      </c>
      <c r="L98" s="15" t="s">
        <v>920</v>
      </c>
    </row>
    <row r="99" spans="1:13" x14ac:dyDescent="0.25">
      <c r="A99" s="4" t="s">
        <v>972</v>
      </c>
      <c r="B99" s="39" t="str">
        <f t="shared" ref="B99:L99" si="1">IF(B68="","",IF(B68&gt;0,B90/B68,0))</f>
        <v/>
      </c>
      <c r="C99" s="39">
        <f t="shared" si="1"/>
        <v>3.5697280478315802E-2</v>
      </c>
      <c r="D99" s="39">
        <f t="shared" si="1"/>
        <v>3.5697280478315802E-2</v>
      </c>
      <c r="E99" s="39">
        <f t="shared" si="1"/>
        <v>3.5697280478315802E-2</v>
      </c>
      <c r="F99" s="39">
        <f t="shared" si="1"/>
        <v>3.5697280478315802E-2</v>
      </c>
      <c r="G99" s="39">
        <f t="shared" si="1"/>
        <v>0</v>
      </c>
      <c r="H99" s="39">
        <f t="shared" si="1"/>
        <v>3.5697280478315802E-2</v>
      </c>
      <c r="I99" s="39">
        <f t="shared" si="1"/>
        <v>3.5697280478315802E-2</v>
      </c>
      <c r="J99" s="39">
        <f t="shared" si="1"/>
        <v>3.5697280478315802E-2</v>
      </c>
      <c r="K99" s="39">
        <f t="shared" si="1"/>
        <v>3.5697280478315802E-2</v>
      </c>
      <c r="L99" s="39">
        <f t="shared" si="1"/>
        <v>3.5697280478315802E-2</v>
      </c>
      <c r="M99" s="17"/>
    </row>
    <row r="101" spans="1:13" ht="21" customHeight="1" x14ac:dyDescent="0.3">
      <c r="A101" s="1" t="s">
        <v>973</v>
      </c>
    </row>
    <row r="102" spans="1:13" x14ac:dyDescent="0.25">
      <c r="A102" s="2" t="s">
        <v>381</v>
      </c>
    </row>
    <row r="103" spans="1:13" x14ac:dyDescent="0.25">
      <c r="A103" s="32" t="s">
        <v>974</v>
      </c>
    </row>
    <row r="104" spans="1:13" x14ac:dyDescent="0.25">
      <c r="A104" s="32" t="s">
        <v>970</v>
      </c>
    </row>
    <row r="105" spans="1:13" x14ac:dyDescent="0.25">
      <c r="A105" s="2" t="s">
        <v>975</v>
      </c>
    </row>
    <row r="107" spans="1:13" ht="30" x14ac:dyDescent="0.25">
      <c r="B107" s="15" t="s">
        <v>323</v>
      </c>
      <c r="C107" s="15" t="s">
        <v>911</v>
      </c>
      <c r="D107" s="15" t="s">
        <v>912</v>
      </c>
      <c r="E107" s="15" t="s">
        <v>913</v>
      </c>
      <c r="F107" s="15" t="s">
        <v>914</v>
      </c>
      <c r="G107" s="15" t="s">
        <v>915</v>
      </c>
      <c r="H107" s="15" t="s">
        <v>916</v>
      </c>
      <c r="I107" s="15" t="s">
        <v>917</v>
      </c>
      <c r="J107" s="15" t="s">
        <v>918</v>
      </c>
    </row>
    <row r="108" spans="1:13" ht="30" x14ac:dyDescent="0.25">
      <c r="A108" s="4" t="s">
        <v>976</v>
      </c>
      <c r="B108" s="37">
        <f>IF(AMD!B214&gt;0,$B90/AMD!B214,0)</f>
        <v>3.7544778953527316</v>
      </c>
      <c r="C108" s="37">
        <f>IF(AMD!C214&gt;0,$C90/AMD!C214,0)</f>
        <v>8.4514645027541349</v>
      </c>
      <c r="D108" s="37">
        <f>IF(AMD!D214&gt;0,$D90/AMD!D214,0)</f>
        <v>1.3086415724066296</v>
      </c>
      <c r="E108" s="37">
        <f>IF(AMD!E214&gt;0,$E90/AMD!E214,0)</f>
        <v>2.9379721821076044</v>
      </c>
      <c r="F108" s="37">
        <f>IF(AMD!F214&gt;0,$F90/AMD!F214,0)</f>
        <v>2.9418336516606187</v>
      </c>
      <c r="G108" s="37">
        <f>IF(AMD!G214&gt;0,$G90/AMD!G214,0)</f>
        <v>0</v>
      </c>
      <c r="H108" s="37">
        <f>IF(AMD!H214&gt;0,$H90/AMD!H214,0)</f>
        <v>11.556551258256547</v>
      </c>
      <c r="I108" s="37">
        <f>IF(AMD!I214&gt;0,$I90/AMD!I214,0)</f>
        <v>4.8642255652464472</v>
      </c>
      <c r="J108" s="37">
        <f>IF(AMD!J214&gt;0,$J90/AMD!J214,0)</f>
        <v>11.543410125963689</v>
      </c>
      <c r="K108" s="17"/>
    </row>
    <row r="110" spans="1:13" ht="21" customHeight="1" x14ac:dyDescent="0.3">
      <c r="A110" s="1" t="s">
        <v>977</v>
      </c>
    </row>
    <row r="111" spans="1:13" x14ac:dyDescent="0.25">
      <c r="A111" s="2" t="s">
        <v>381</v>
      </c>
    </row>
    <row r="112" spans="1:13" x14ac:dyDescent="0.25">
      <c r="A112" s="32" t="s">
        <v>510</v>
      </c>
    </row>
    <row r="113" spans="1:5" x14ac:dyDescent="0.25">
      <c r="A113" s="32" t="s">
        <v>978</v>
      </c>
    </row>
    <row r="114" spans="1:5" x14ac:dyDescent="0.25">
      <c r="A114" s="32" t="s">
        <v>979</v>
      </c>
    </row>
    <row r="115" spans="1:5" x14ac:dyDescent="0.25">
      <c r="A115" s="32" t="s">
        <v>980</v>
      </c>
    </row>
    <row r="116" spans="1:5" x14ac:dyDescent="0.25">
      <c r="A116" s="33" t="s">
        <v>384</v>
      </c>
      <c r="B116" s="33" t="s">
        <v>514</v>
      </c>
      <c r="C116" s="33"/>
      <c r="D116" s="33" t="s">
        <v>515</v>
      </c>
    </row>
    <row r="117" spans="1:5" x14ac:dyDescent="0.25">
      <c r="A117" s="33" t="s">
        <v>387</v>
      </c>
      <c r="B117" s="33" t="s">
        <v>981</v>
      </c>
      <c r="C117" s="33"/>
      <c r="D117" s="33" t="s">
        <v>571</v>
      </c>
    </row>
    <row r="119" spans="1:5" ht="30" x14ac:dyDescent="0.25">
      <c r="B119" s="30" t="s">
        <v>982</v>
      </c>
      <c r="C119" s="30"/>
    </row>
    <row r="120" spans="1:5" ht="75" x14ac:dyDescent="0.25">
      <c r="B120" s="15" t="s">
        <v>919</v>
      </c>
      <c r="C120" s="15" t="s">
        <v>920</v>
      </c>
      <c r="D120" s="15" t="s">
        <v>983</v>
      </c>
    </row>
    <row r="121" spans="1:5" x14ac:dyDescent="0.25">
      <c r="A121" s="4" t="s">
        <v>182</v>
      </c>
      <c r="B121" s="37">
        <f>100/Input!$F$60*$K$99*SM!$B72</f>
        <v>2.1249285582131563</v>
      </c>
      <c r="C121" s="37">
        <f>100/Input!$F$60*$L$99*SM!$C72</f>
        <v>0</v>
      </c>
      <c r="D121" s="37">
        <f t="shared" ref="D121:D153" si="2">SUM($B121:$C121)</f>
        <v>2.1249285582131563</v>
      </c>
      <c r="E121" s="17"/>
    </row>
    <row r="122" spans="1:5" x14ac:dyDescent="0.25">
      <c r="A122" s="4" t="s">
        <v>183</v>
      </c>
      <c r="B122" s="37">
        <f>100/Input!$F$60*$K$99*SM!$B73</f>
        <v>2.1249285582131563</v>
      </c>
      <c r="C122" s="37">
        <f>100/Input!$F$60*$L$99*SM!$C73</f>
        <v>0</v>
      </c>
      <c r="D122" s="37">
        <f t="shared" si="2"/>
        <v>2.1249285582131563</v>
      </c>
      <c r="E122" s="17"/>
    </row>
    <row r="123" spans="1:5" x14ac:dyDescent="0.25">
      <c r="A123" s="4" t="s">
        <v>228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184</v>
      </c>
      <c r="B124" s="37">
        <f>100/Input!$F$60*$K$99*SM!$B75</f>
        <v>6.4794669092842296</v>
      </c>
      <c r="C124" s="37">
        <f>100/Input!$F$60*$L$99*SM!$C75</f>
        <v>0</v>
      </c>
      <c r="D124" s="37">
        <f t="shared" si="2"/>
        <v>6.4794669092842296</v>
      </c>
      <c r="E124" s="17"/>
    </row>
    <row r="125" spans="1:5" x14ac:dyDescent="0.25">
      <c r="A125" s="4" t="s">
        <v>185</v>
      </c>
      <c r="B125" s="37">
        <f>100/Input!$F$60*$K$99*SM!$B76</f>
        <v>6.4794669092842296</v>
      </c>
      <c r="C125" s="37">
        <f>100/Input!$F$60*$L$99*SM!$C76</f>
        <v>0</v>
      </c>
      <c r="D125" s="37">
        <f t="shared" si="2"/>
        <v>6.4794669092842296</v>
      </c>
      <c r="E125" s="17"/>
    </row>
    <row r="126" spans="1:5" x14ac:dyDescent="0.25">
      <c r="A126" s="4" t="s">
        <v>229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186</v>
      </c>
      <c r="B127" s="37">
        <f>100/Input!$F$60*$K$99*SM!$B78</f>
        <v>7.4940396535042888</v>
      </c>
      <c r="C127" s="37">
        <f>100/Input!$F$60*$L$99*SM!$C78</f>
        <v>0</v>
      </c>
      <c r="D127" s="37">
        <f t="shared" si="2"/>
        <v>7.4940396535042888</v>
      </c>
      <c r="E127" s="17"/>
    </row>
    <row r="128" spans="1:5" x14ac:dyDescent="0.25">
      <c r="A128" s="4" t="s">
        <v>187</v>
      </c>
      <c r="B128" s="37">
        <f>100/Input!$F$60*$K$99*SM!$B79</f>
        <v>5.4386068892892787</v>
      </c>
      <c r="C128" s="37">
        <f>100/Input!$F$60*$L$99*SM!$C79</f>
        <v>0</v>
      </c>
      <c r="D128" s="37">
        <f t="shared" si="2"/>
        <v>5.4386068892892787</v>
      </c>
      <c r="E128" s="17"/>
    </row>
    <row r="129" spans="1:5" x14ac:dyDescent="0.25">
      <c r="A129" s="4" t="s">
        <v>207</v>
      </c>
      <c r="B129" s="37">
        <f>100/Input!$F$60*$K$99*SM!$B80</f>
        <v>0</v>
      </c>
      <c r="C129" s="37">
        <f>100/Input!$F$60*$L$99*SM!$C80</f>
        <v>101.15815052324123</v>
      </c>
      <c r="D129" s="37">
        <f t="shared" si="2"/>
        <v>101.15815052324123</v>
      </c>
      <c r="E129" s="17"/>
    </row>
    <row r="130" spans="1:5" x14ac:dyDescent="0.25">
      <c r="A130" s="4" t="s">
        <v>188</v>
      </c>
      <c r="B130" s="37">
        <f>100/Input!$F$60*$K$99*SM!$B81</f>
        <v>2.1249285582131563</v>
      </c>
      <c r="C130" s="37">
        <f>100/Input!$F$60*$L$99*SM!$C81</f>
        <v>0</v>
      </c>
      <c r="D130" s="37">
        <f t="shared" si="2"/>
        <v>2.1249285582131563</v>
      </c>
      <c r="E130" s="17"/>
    </row>
    <row r="131" spans="1:5" x14ac:dyDescent="0.25">
      <c r="A131" s="4" t="s">
        <v>189</v>
      </c>
      <c r="B131" s="37">
        <f>100/Input!$F$60*$K$99*SM!$B82</f>
        <v>6.4794669092842296</v>
      </c>
      <c r="C131" s="37">
        <f>100/Input!$F$60*$L$99*SM!$C82</f>
        <v>0</v>
      </c>
      <c r="D131" s="37">
        <f t="shared" si="2"/>
        <v>6.4794669092842296</v>
      </c>
      <c r="E131" s="17"/>
    </row>
    <row r="132" spans="1:5" x14ac:dyDescent="0.25">
      <c r="A132" s="4" t="s">
        <v>190</v>
      </c>
      <c r="B132" s="37">
        <f>100/Input!$F$60*$K$99*SM!$B83</f>
        <v>11.998753381487354</v>
      </c>
      <c r="C132" s="37">
        <f>100/Input!$F$60*$L$99*SM!$C83</f>
        <v>0</v>
      </c>
      <c r="D132" s="37">
        <f t="shared" si="2"/>
        <v>11.998753381487354</v>
      </c>
      <c r="E132" s="17"/>
    </row>
    <row r="133" spans="1:5" x14ac:dyDescent="0.25">
      <c r="A133" s="4" t="s">
        <v>191</v>
      </c>
      <c r="B133" s="37">
        <f>100/Input!$F$60*$K$99*SM!$B84</f>
        <v>9.3667264649691493</v>
      </c>
      <c r="C133" s="37">
        <f>100/Input!$F$60*$L$99*SM!$C84</f>
        <v>0</v>
      </c>
      <c r="D133" s="37">
        <f t="shared" si="2"/>
        <v>9.3667264649691493</v>
      </c>
      <c r="E133" s="17"/>
    </row>
    <row r="134" spans="1:5" x14ac:dyDescent="0.25">
      <c r="A134" s="4" t="s">
        <v>208</v>
      </c>
      <c r="B134" s="37">
        <f>100/Input!$F$60*$K$99*SM!$B85</f>
        <v>0</v>
      </c>
      <c r="C134" s="37">
        <f>100/Input!$F$60*$L$99*SM!$C85</f>
        <v>101.15815052324123</v>
      </c>
      <c r="D134" s="37">
        <f t="shared" si="2"/>
        <v>101.15815052324123</v>
      </c>
      <c r="E134" s="17"/>
    </row>
    <row r="135" spans="1:5" x14ac:dyDescent="0.25">
      <c r="A135" s="4" t="s">
        <v>230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231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232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233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234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192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193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194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195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196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197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198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199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200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201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209</v>
      </c>
      <c r="B150" s="37">
        <f>100/Input!$F$60*$K$99*SM!$B101</f>
        <v>0</v>
      </c>
      <c r="C150" s="37">
        <f>100/Input!$F$60*$L$99*SM!$C101</f>
        <v>41.588307092770108</v>
      </c>
      <c r="D150" s="37">
        <f t="shared" si="2"/>
        <v>41.588307092770108</v>
      </c>
      <c r="E150" s="17"/>
    </row>
    <row r="151" spans="1:5" x14ac:dyDescent="0.25">
      <c r="A151" s="4" t="s">
        <v>210</v>
      </c>
      <c r="B151" s="37">
        <f>100/Input!$F$60*$K$99*SM!$B102</f>
        <v>0</v>
      </c>
      <c r="C151" s="37">
        <f>100/Input!$F$60*$L$99*SM!$C102</f>
        <v>41.588307092770108</v>
      </c>
      <c r="D151" s="37">
        <f t="shared" si="2"/>
        <v>41.588307092770108</v>
      </c>
      <c r="E151" s="17"/>
    </row>
    <row r="152" spans="1:5" x14ac:dyDescent="0.25">
      <c r="A152" s="4" t="s">
        <v>211</v>
      </c>
      <c r="B152" s="37">
        <f>100/Input!$F$60*$K$99*SM!$B103</f>
        <v>0</v>
      </c>
      <c r="C152" s="37">
        <f>100/Input!$F$60*$L$99*SM!$C103</f>
        <v>41.588307092770108</v>
      </c>
      <c r="D152" s="37">
        <f t="shared" si="2"/>
        <v>41.588307092770108</v>
      </c>
      <c r="E152" s="17"/>
    </row>
    <row r="153" spans="1:5" x14ac:dyDescent="0.25">
      <c r="A153" s="4" t="s">
        <v>212</v>
      </c>
      <c r="B153" s="37">
        <f>100/Input!$F$60*$K$99*SM!$B104</f>
        <v>0</v>
      </c>
      <c r="C153" s="37">
        <f>100/Input!$F$60*$L$99*SM!$C104</f>
        <v>41.588307092770108</v>
      </c>
      <c r="D153" s="37">
        <f t="shared" si="2"/>
        <v>41.588307092770108</v>
      </c>
      <c r="E153" s="17"/>
    </row>
    <row r="155" spans="1:5" ht="21" customHeight="1" x14ac:dyDescent="0.3">
      <c r="A155" s="1" t="s">
        <v>984</v>
      </c>
    </row>
    <row r="156" spans="1:5" x14ac:dyDescent="0.25">
      <c r="A156" s="2" t="s">
        <v>381</v>
      </c>
    </row>
    <row r="157" spans="1:5" x14ac:dyDescent="0.25">
      <c r="A157" s="32" t="s">
        <v>985</v>
      </c>
    </row>
    <row r="158" spans="1:5" x14ac:dyDescent="0.25">
      <c r="A158" s="32" t="s">
        <v>499</v>
      </c>
    </row>
    <row r="159" spans="1:5" x14ac:dyDescent="0.25">
      <c r="A159" s="2" t="s">
        <v>986</v>
      </c>
    </row>
    <row r="161" spans="1:3" ht="30" x14ac:dyDescent="0.25">
      <c r="B161" s="15" t="s">
        <v>919</v>
      </c>
    </row>
    <row r="162" spans="1:3" x14ac:dyDescent="0.25">
      <c r="A162" s="4" t="s">
        <v>230</v>
      </c>
      <c r="B162" s="37">
        <f>0.1*$K$99*SM!$B$39</f>
        <v>0.91563152661122216</v>
      </c>
      <c r="C162" s="17"/>
    </row>
    <row r="163" spans="1:3" x14ac:dyDescent="0.25">
      <c r="A163" s="4" t="s">
        <v>231</v>
      </c>
      <c r="B163" s="37">
        <f>0.1*$K$99*SM!$B$39</f>
        <v>0.91563152661122216</v>
      </c>
      <c r="C163" s="17"/>
    </row>
    <row r="164" spans="1:3" x14ac:dyDescent="0.25">
      <c r="A164" s="4" t="s">
        <v>232</v>
      </c>
      <c r="B164" s="37">
        <f>0.1*$K$99*SM!$B$39</f>
        <v>0.91563152661122216</v>
      </c>
      <c r="C164" s="17"/>
    </row>
    <row r="165" spans="1:3" x14ac:dyDescent="0.25">
      <c r="A165" s="4" t="s">
        <v>233</v>
      </c>
      <c r="B165" s="37">
        <f>0.1*$K$99*SM!$B$39</f>
        <v>0.91563152661122216</v>
      </c>
      <c r="C165" s="17"/>
    </row>
    <row r="166" spans="1:3" x14ac:dyDescent="0.25">
      <c r="A166" s="4" t="s">
        <v>234</v>
      </c>
      <c r="B166" s="37">
        <f>0.1*$K$99*SM!$B$39</f>
        <v>0.91563152661122216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South West in April 19 (no data version)</v>
      </c>
    </row>
    <row r="2" spans="1:6" x14ac:dyDescent="0.25">
      <c r="A2" s="2" t="s">
        <v>987</v>
      </c>
    </row>
    <row r="4" spans="1:6" ht="21" customHeight="1" x14ac:dyDescent="0.3">
      <c r="A4" s="1" t="s">
        <v>988</v>
      </c>
    </row>
    <row r="6" spans="1:6" x14ac:dyDescent="0.25">
      <c r="B6" s="15" t="s">
        <v>343</v>
      </c>
      <c r="C6" s="15" t="s">
        <v>344</v>
      </c>
      <c r="D6" s="15" t="s">
        <v>345</v>
      </c>
      <c r="E6" s="15" t="s">
        <v>346</v>
      </c>
    </row>
    <row r="7" spans="1:6" x14ac:dyDescent="0.25">
      <c r="A7" s="4" t="s">
        <v>182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183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228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184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185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229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186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187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207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188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189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190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191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208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230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231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232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233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234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192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193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194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195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196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197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198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199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200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201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209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210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211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212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989</v>
      </c>
    </row>
    <row r="42" spans="1:6" x14ac:dyDescent="0.25">
      <c r="A42" s="2" t="s">
        <v>381</v>
      </c>
    </row>
    <row r="43" spans="1:6" x14ac:dyDescent="0.25">
      <c r="A43" s="32" t="s">
        <v>990</v>
      </c>
    </row>
    <row r="44" spans="1:6" x14ac:dyDescent="0.25">
      <c r="A44" s="32" t="s">
        <v>991</v>
      </c>
    </row>
    <row r="45" spans="1:6" x14ac:dyDescent="0.25">
      <c r="A45" s="2" t="s">
        <v>992</v>
      </c>
    </row>
    <row r="47" spans="1:6" x14ac:dyDescent="0.25">
      <c r="B47" s="15" t="s">
        <v>343</v>
      </c>
      <c r="C47" s="15" t="s">
        <v>344</v>
      </c>
      <c r="D47" s="15" t="s">
        <v>345</v>
      </c>
      <c r="E47" s="15" t="s">
        <v>346</v>
      </c>
    </row>
    <row r="48" spans="1:6" x14ac:dyDescent="0.25">
      <c r="A48" s="4" t="s">
        <v>481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482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0.67</v>
      </c>
      <c r="E49" s="39">
        <f>Input!$C$324*(1-Input!$D$60)</f>
        <v>0.67</v>
      </c>
      <c r="F49" s="17"/>
    </row>
    <row r="50" spans="1:10" x14ac:dyDescent="0.25">
      <c r="A50" s="4" t="s">
        <v>483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0.67</v>
      </c>
      <c r="E50" s="39">
        <f>Input!$D$324*(1-Input!$D$60)</f>
        <v>0.67</v>
      </c>
      <c r="F50" s="17"/>
    </row>
    <row r="51" spans="1:10" x14ac:dyDescent="0.25">
      <c r="A51" s="4" t="s">
        <v>484</v>
      </c>
      <c r="B51" s="39">
        <f>Input!$E$321*(1-Input!$D$60)</f>
        <v>0.81</v>
      </c>
      <c r="C51" s="39">
        <f>Input!$E$322*(1-Input!$D$60)</f>
        <v>0.81</v>
      </c>
      <c r="D51" s="39">
        <f>Input!$E$323*(1-Input!$D$60)</f>
        <v>1</v>
      </c>
      <c r="E51" s="39">
        <f>Input!$E$324*(1-Input!$D$60)</f>
        <v>1</v>
      </c>
      <c r="F51" s="17"/>
    </row>
    <row r="52" spans="1:10" x14ac:dyDescent="0.25">
      <c r="A52" s="4" t="s">
        <v>485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486</v>
      </c>
      <c r="B53" s="39">
        <f>Input!$G$321*(1-Input!$D$60)</f>
        <v>0.81</v>
      </c>
      <c r="C53" s="39">
        <f>Input!$G$322*(1-Input!$D$60)</f>
        <v>0.81</v>
      </c>
      <c r="D53" s="39">
        <f>Input!$G$323*(1-Input!$D$60)</f>
        <v>1</v>
      </c>
      <c r="E53" s="39">
        <f>Input!$G$324*(1-Input!$D$60)</f>
        <v>0</v>
      </c>
      <c r="F53" s="17"/>
    </row>
    <row r="54" spans="1:10" x14ac:dyDescent="0.25">
      <c r="A54" s="4" t="s">
        <v>487</v>
      </c>
      <c r="B54" s="39">
        <f>Input!$H$321*(1-Input!$D$60)</f>
        <v>0.95</v>
      </c>
      <c r="C54" s="39">
        <f>Input!$H$322*(1-Input!$D$60)</f>
        <v>0.95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488</v>
      </c>
      <c r="B55" s="39">
        <f>Input!$I$321*(1-Input!$D$60)</f>
        <v>0.95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993</v>
      </c>
    </row>
    <row r="58" spans="1:10" x14ac:dyDescent="0.25">
      <c r="A58" s="2" t="s">
        <v>381</v>
      </c>
    </row>
    <row r="59" spans="1:10" x14ac:dyDescent="0.25">
      <c r="A59" s="32" t="s">
        <v>994</v>
      </c>
    </row>
    <row r="60" spans="1:10" x14ac:dyDescent="0.25">
      <c r="A60" s="32" t="s">
        <v>995</v>
      </c>
    </row>
    <row r="61" spans="1:10" x14ac:dyDescent="0.25">
      <c r="A61" s="2" t="s">
        <v>394</v>
      </c>
    </row>
    <row r="63" spans="1:10" ht="30" x14ac:dyDescent="0.25">
      <c r="B63" s="15" t="s">
        <v>335</v>
      </c>
      <c r="C63" s="15" t="s">
        <v>336</v>
      </c>
      <c r="D63" s="15" t="s">
        <v>337</v>
      </c>
      <c r="E63" s="15" t="s">
        <v>338</v>
      </c>
      <c r="F63" s="15" t="s">
        <v>339</v>
      </c>
      <c r="G63" s="15" t="s">
        <v>340</v>
      </c>
      <c r="H63" s="15" t="s">
        <v>341</v>
      </c>
      <c r="I63" s="15" t="s">
        <v>342</v>
      </c>
    </row>
    <row r="64" spans="1:10" x14ac:dyDescent="0.25">
      <c r="A64" s="4" t="s">
        <v>182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0.81</v>
      </c>
      <c r="F64" s="39">
        <f t="shared" ref="F64:F96" si="4">SUMPRODUCT($B7:$E7,$B$52:$E$52)</f>
        <v>0</v>
      </c>
      <c r="G64" s="39">
        <f t="shared" ref="G64:G96" si="5">SUMPRODUCT($B7:$E7,$B$53:$E$53)</f>
        <v>0.81</v>
      </c>
      <c r="H64" s="39">
        <f t="shared" ref="H64:H96" si="6">SUMPRODUCT($B7:$E7,$B$54:$E$54)</f>
        <v>0.95</v>
      </c>
      <c r="I64" s="39">
        <f t="shared" ref="I64:I96" si="7">SUMPRODUCT($B7:$E7,$B$55:$E$55)</f>
        <v>0.95</v>
      </c>
      <c r="J64" s="17"/>
    </row>
    <row r="65" spans="1:10" x14ac:dyDescent="0.25">
      <c r="A65" s="4" t="s">
        <v>183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0.81</v>
      </c>
      <c r="F65" s="39">
        <f t="shared" si="4"/>
        <v>0</v>
      </c>
      <c r="G65" s="39">
        <f t="shared" si="5"/>
        <v>0.81</v>
      </c>
      <c r="H65" s="39">
        <f t="shared" si="6"/>
        <v>0.95</v>
      </c>
      <c r="I65" s="39">
        <f t="shared" si="7"/>
        <v>0.95</v>
      </c>
      <c r="J65" s="17"/>
    </row>
    <row r="66" spans="1:10" x14ac:dyDescent="0.25">
      <c r="A66" s="4" t="s">
        <v>228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0.81</v>
      </c>
      <c r="F66" s="39">
        <f t="shared" si="4"/>
        <v>0</v>
      </c>
      <c r="G66" s="39">
        <f t="shared" si="5"/>
        <v>0.81</v>
      </c>
      <c r="H66" s="39">
        <f t="shared" si="6"/>
        <v>0.95</v>
      </c>
      <c r="I66" s="39">
        <f t="shared" si="7"/>
        <v>0.95</v>
      </c>
      <c r="J66" s="17"/>
    </row>
    <row r="67" spans="1:10" x14ac:dyDescent="0.25">
      <c r="A67" s="4" t="s">
        <v>184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0.81</v>
      </c>
      <c r="F67" s="39">
        <f t="shared" si="4"/>
        <v>0</v>
      </c>
      <c r="G67" s="39">
        <f t="shared" si="5"/>
        <v>0.81</v>
      </c>
      <c r="H67" s="39">
        <f t="shared" si="6"/>
        <v>0.95</v>
      </c>
      <c r="I67" s="39">
        <f t="shared" si="7"/>
        <v>0.95</v>
      </c>
      <c r="J67" s="17"/>
    </row>
    <row r="68" spans="1:10" x14ac:dyDescent="0.25">
      <c r="A68" s="4" t="s">
        <v>185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0.81</v>
      </c>
      <c r="F68" s="39">
        <f t="shared" si="4"/>
        <v>0</v>
      </c>
      <c r="G68" s="39">
        <f t="shared" si="5"/>
        <v>0.81</v>
      </c>
      <c r="H68" s="39">
        <f t="shared" si="6"/>
        <v>0.95</v>
      </c>
      <c r="I68" s="39">
        <f t="shared" si="7"/>
        <v>0.95</v>
      </c>
      <c r="J68" s="17"/>
    </row>
    <row r="69" spans="1:10" x14ac:dyDescent="0.25">
      <c r="A69" s="4" t="s">
        <v>229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0.81</v>
      </c>
      <c r="F69" s="39">
        <f t="shared" si="4"/>
        <v>0</v>
      </c>
      <c r="G69" s="39">
        <f t="shared" si="5"/>
        <v>0.81</v>
      </c>
      <c r="H69" s="39">
        <f t="shared" si="6"/>
        <v>0.95</v>
      </c>
      <c r="I69" s="39">
        <f t="shared" si="7"/>
        <v>0.95</v>
      </c>
      <c r="J69" s="17"/>
    </row>
    <row r="70" spans="1:10" x14ac:dyDescent="0.25">
      <c r="A70" s="4" t="s">
        <v>186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0.81</v>
      </c>
      <c r="F70" s="39">
        <f t="shared" si="4"/>
        <v>0</v>
      </c>
      <c r="G70" s="39">
        <f t="shared" si="5"/>
        <v>0.81</v>
      </c>
      <c r="H70" s="39">
        <f t="shared" si="6"/>
        <v>0.95</v>
      </c>
      <c r="I70" s="39">
        <f t="shared" si="7"/>
        <v>0.95</v>
      </c>
      <c r="J70" s="17"/>
    </row>
    <row r="71" spans="1:10" x14ac:dyDescent="0.25">
      <c r="A71" s="4" t="s">
        <v>187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0.81</v>
      </c>
      <c r="F71" s="39">
        <f t="shared" si="4"/>
        <v>0</v>
      </c>
      <c r="G71" s="39">
        <f t="shared" si="5"/>
        <v>0.81</v>
      </c>
      <c r="H71" s="39">
        <f t="shared" si="6"/>
        <v>0.95</v>
      </c>
      <c r="I71" s="39">
        <f t="shared" si="7"/>
        <v>0</v>
      </c>
      <c r="J71" s="17"/>
    </row>
    <row r="72" spans="1:10" x14ac:dyDescent="0.25">
      <c r="A72" s="4" t="s">
        <v>207</v>
      </c>
      <c r="B72" s="39">
        <f t="shared" si="0"/>
        <v>0</v>
      </c>
      <c r="C72" s="39">
        <f t="shared" si="1"/>
        <v>0.67</v>
      </c>
      <c r="D72" s="39">
        <f t="shared" si="2"/>
        <v>0.67</v>
      </c>
      <c r="E72" s="39">
        <f t="shared" si="3"/>
        <v>1</v>
      </c>
      <c r="F72" s="39">
        <f t="shared" si="4"/>
        <v>0</v>
      </c>
      <c r="G72" s="39">
        <f t="shared" si="5"/>
        <v>1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188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0.81</v>
      </c>
      <c r="F73" s="39">
        <f t="shared" si="4"/>
        <v>0</v>
      </c>
      <c r="G73" s="39">
        <f t="shared" si="5"/>
        <v>0.81</v>
      </c>
      <c r="H73" s="39">
        <f t="shared" si="6"/>
        <v>0.95</v>
      </c>
      <c r="I73" s="39">
        <f t="shared" si="7"/>
        <v>0.95</v>
      </c>
      <c r="J73" s="17"/>
    </row>
    <row r="74" spans="1:10" x14ac:dyDescent="0.25">
      <c r="A74" s="4" t="s">
        <v>189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0.81</v>
      </c>
      <c r="F74" s="39">
        <f t="shared" si="4"/>
        <v>0</v>
      </c>
      <c r="G74" s="39">
        <f t="shared" si="5"/>
        <v>0.81</v>
      </c>
      <c r="H74" s="39">
        <f t="shared" si="6"/>
        <v>0.95</v>
      </c>
      <c r="I74" s="39">
        <f t="shared" si="7"/>
        <v>0.95</v>
      </c>
      <c r="J74" s="17"/>
    </row>
    <row r="75" spans="1:10" x14ac:dyDescent="0.25">
      <c r="A75" s="4" t="s">
        <v>190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0.81</v>
      </c>
      <c r="F75" s="39">
        <f t="shared" si="4"/>
        <v>0</v>
      </c>
      <c r="G75" s="39">
        <f t="shared" si="5"/>
        <v>0.81</v>
      </c>
      <c r="H75" s="39">
        <f t="shared" si="6"/>
        <v>0.95</v>
      </c>
      <c r="I75" s="39">
        <f t="shared" si="7"/>
        <v>0.95</v>
      </c>
      <c r="J75" s="17"/>
    </row>
    <row r="76" spans="1:10" x14ac:dyDescent="0.25">
      <c r="A76" s="4" t="s">
        <v>191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0.81</v>
      </c>
      <c r="F76" s="39">
        <f t="shared" si="4"/>
        <v>0</v>
      </c>
      <c r="G76" s="39">
        <f t="shared" si="5"/>
        <v>0.81</v>
      </c>
      <c r="H76" s="39">
        <f t="shared" si="6"/>
        <v>0.95</v>
      </c>
      <c r="I76" s="39">
        <f t="shared" si="7"/>
        <v>0</v>
      </c>
      <c r="J76" s="17"/>
    </row>
    <row r="77" spans="1:10" x14ac:dyDescent="0.25">
      <c r="A77" s="4" t="s">
        <v>208</v>
      </c>
      <c r="B77" s="39">
        <f t="shared" si="0"/>
        <v>0</v>
      </c>
      <c r="C77" s="39">
        <f t="shared" si="1"/>
        <v>0.67</v>
      </c>
      <c r="D77" s="39">
        <f t="shared" si="2"/>
        <v>0.67</v>
      </c>
      <c r="E77" s="39">
        <f t="shared" si="3"/>
        <v>1</v>
      </c>
      <c r="F77" s="39">
        <f t="shared" si="4"/>
        <v>0</v>
      </c>
      <c r="G77" s="39">
        <f t="shared" si="5"/>
        <v>1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230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0.81</v>
      </c>
      <c r="F78" s="39">
        <f t="shared" si="4"/>
        <v>0</v>
      </c>
      <c r="G78" s="39">
        <f t="shared" si="5"/>
        <v>0.81</v>
      </c>
      <c r="H78" s="39">
        <f t="shared" si="6"/>
        <v>0.95</v>
      </c>
      <c r="I78" s="39">
        <f t="shared" si="7"/>
        <v>0.95</v>
      </c>
      <c r="J78" s="17"/>
    </row>
    <row r="79" spans="1:10" x14ac:dyDescent="0.25">
      <c r="A79" s="4" t="s">
        <v>231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0.81</v>
      </c>
      <c r="F79" s="39">
        <f t="shared" si="4"/>
        <v>0</v>
      </c>
      <c r="G79" s="39">
        <f t="shared" si="5"/>
        <v>0.81</v>
      </c>
      <c r="H79" s="39">
        <f t="shared" si="6"/>
        <v>0.95</v>
      </c>
      <c r="I79" s="39">
        <f t="shared" si="7"/>
        <v>0.95</v>
      </c>
      <c r="J79" s="17"/>
    </row>
    <row r="80" spans="1:10" x14ac:dyDescent="0.25">
      <c r="A80" s="4" t="s">
        <v>232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0.81</v>
      </c>
      <c r="F80" s="39">
        <f t="shared" si="4"/>
        <v>0</v>
      </c>
      <c r="G80" s="39">
        <f t="shared" si="5"/>
        <v>0.81</v>
      </c>
      <c r="H80" s="39">
        <f t="shared" si="6"/>
        <v>0.95</v>
      </c>
      <c r="I80" s="39">
        <f t="shared" si="7"/>
        <v>0.95</v>
      </c>
      <c r="J80" s="17"/>
    </row>
    <row r="81" spans="1:10" x14ac:dyDescent="0.25">
      <c r="A81" s="4" t="s">
        <v>233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0.81</v>
      </c>
      <c r="F81" s="39">
        <f t="shared" si="4"/>
        <v>0</v>
      </c>
      <c r="G81" s="39">
        <f t="shared" si="5"/>
        <v>0.81</v>
      </c>
      <c r="H81" s="39">
        <f t="shared" si="6"/>
        <v>0.95</v>
      </c>
      <c r="I81" s="39">
        <f t="shared" si="7"/>
        <v>0.95</v>
      </c>
      <c r="J81" s="17"/>
    </row>
    <row r="82" spans="1:10" x14ac:dyDescent="0.25">
      <c r="A82" s="4" t="s">
        <v>234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0.81</v>
      </c>
      <c r="F82" s="39">
        <f t="shared" si="4"/>
        <v>0</v>
      </c>
      <c r="G82" s="39">
        <f t="shared" si="5"/>
        <v>0.81</v>
      </c>
      <c r="H82" s="39">
        <f t="shared" si="6"/>
        <v>0.95</v>
      </c>
      <c r="I82" s="39">
        <f t="shared" si="7"/>
        <v>0.95</v>
      </c>
      <c r="J82" s="17"/>
    </row>
    <row r="83" spans="1:10" x14ac:dyDescent="0.25">
      <c r="A83" s="4" t="s">
        <v>192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0.81</v>
      </c>
      <c r="F83" s="39">
        <f t="shared" si="4"/>
        <v>0</v>
      </c>
      <c r="G83" s="39">
        <f t="shared" si="5"/>
        <v>0.81</v>
      </c>
      <c r="H83" s="39">
        <f t="shared" si="6"/>
        <v>0.95</v>
      </c>
      <c r="I83" s="39">
        <f t="shared" si="7"/>
        <v>0.95</v>
      </c>
      <c r="J83" s="17"/>
    </row>
    <row r="84" spans="1:10" x14ac:dyDescent="0.25">
      <c r="A84" s="4" t="s">
        <v>193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0.81</v>
      </c>
      <c r="F84" s="39">
        <f t="shared" si="4"/>
        <v>0</v>
      </c>
      <c r="G84" s="39">
        <f t="shared" si="5"/>
        <v>0.81</v>
      </c>
      <c r="H84" s="39">
        <f t="shared" si="6"/>
        <v>0.95</v>
      </c>
      <c r="I84" s="39">
        <f t="shared" si="7"/>
        <v>0</v>
      </c>
      <c r="J84" s="17"/>
    </row>
    <row r="85" spans="1:10" x14ac:dyDescent="0.25">
      <c r="A85" s="4" t="s">
        <v>194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0.81</v>
      </c>
      <c r="F85" s="39">
        <f t="shared" si="4"/>
        <v>0</v>
      </c>
      <c r="G85" s="39">
        <f t="shared" si="5"/>
        <v>0.81</v>
      </c>
      <c r="H85" s="39">
        <f t="shared" si="6"/>
        <v>0.95</v>
      </c>
      <c r="I85" s="39">
        <f t="shared" si="7"/>
        <v>0.95</v>
      </c>
      <c r="J85" s="17"/>
    </row>
    <row r="86" spans="1:10" x14ac:dyDescent="0.25">
      <c r="A86" s="4" t="s">
        <v>195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0.81</v>
      </c>
      <c r="F86" s="39">
        <f t="shared" si="4"/>
        <v>0</v>
      </c>
      <c r="G86" s="39">
        <f t="shared" si="5"/>
        <v>0.81</v>
      </c>
      <c r="H86" s="39">
        <f t="shared" si="6"/>
        <v>0.95</v>
      </c>
      <c r="I86" s="39">
        <f t="shared" si="7"/>
        <v>0.95</v>
      </c>
      <c r="J86" s="17"/>
    </row>
    <row r="87" spans="1:10" x14ac:dyDescent="0.25">
      <c r="A87" s="4" t="s">
        <v>196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0.81</v>
      </c>
      <c r="F87" s="39">
        <f t="shared" si="4"/>
        <v>0</v>
      </c>
      <c r="G87" s="39">
        <f t="shared" si="5"/>
        <v>0.81</v>
      </c>
      <c r="H87" s="39">
        <f t="shared" si="6"/>
        <v>0.95</v>
      </c>
      <c r="I87" s="39">
        <f t="shared" si="7"/>
        <v>0.95</v>
      </c>
      <c r="J87" s="17"/>
    </row>
    <row r="88" spans="1:10" x14ac:dyDescent="0.25">
      <c r="A88" s="4" t="s">
        <v>197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0.81</v>
      </c>
      <c r="F88" s="39">
        <f t="shared" si="4"/>
        <v>0</v>
      </c>
      <c r="G88" s="39">
        <f t="shared" si="5"/>
        <v>0.81</v>
      </c>
      <c r="H88" s="39">
        <f t="shared" si="6"/>
        <v>0.95</v>
      </c>
      <c r="I88" s="39">
        <f t="shared" si="7"/>
        <v>0.95</v>
      </c>
      <c r="J88" s="17"/>
    </row>
    <row r="89" spans="1:10" x14ac:dyDescent="0.25">
      <c r="A89" s="4" t="s">
        <v>198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0.81</v>
      </c>
      <c r="F89" s="39">
        <f t="shared" si="4"/>
        <v>0</v>
      </c>
      <c r="G89" s="39">
        <f t="shared" si="5"/>
        <v>0.81</v>
      </c>
      <c r="H89" s="39">
        <f t="shared" si="6"/>
        <v>0.95</v>
      </c>
      <c r="I89" s="39">
        <f t="shared" si="7"/>
        <v>0</v>
      </c>
      <c r="J89" s="17"/>
    </row>
    <row r="90" spans="1:10" x14ac:dyDescent="0.25">
      <c r="A90" s="4" t="s">
        <v>199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0.81</v>
      </c>
      <c r="F90" s="39">
        <f t="shared" si="4"/>
        <v>0</v>
      </c>
      <c r="G90" s="39">
        <f t="shared" si="5"/>
        <v>0.81</v>
      </c>
      <c r="H90" s="39">
        <f t="shared" si="6"/>
        <v>0.95</v>
      </c>
      <c r="I90" s="39">
        <f t="shared" si="7"/>
        <v>0</v>
      </c>
      <c r="J90" s="17"/>
    </row>
    <row r="91" spans="1:10" x14ac:dyDescent="0.25">
      <c r="A91" s="4" t="s">
        <v>200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0.81</v>
      </c>
      <c r="F91" s="39">
        <f t="shared" si="4"/>
        <v>0</v>
      </c>
      <c r="G91" s="39">
        <f t="shared" si="5"/>
        <v>0.81</v>
      </c>
      <c r="H91" s="39">
        <f t="shared" si="6"/>
        <v>0.95</v>
      </c>
      <c r="I91" s="39">
        <f t="shared" si="7"/>
        <v>0</v>
      </c>
      <c r="J91" s="17"/>
    </row>
    <row r="92" spans="1:10" x14ac:dyDescent="0.25">
      <c r="A92" s="4" t="s">
        <v>201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0.81</v>
      </c>
      <c r="F92" s="39">
        <f t="shared" si="4"/>
        <v>0</v>
      </c>
      <c r="G92" s="39">
        <f t="shared" si="5"/>
        <v>0.81</v>
      </c>
      <c r="H92" s="39">
        <f t="shared" si="6"/>
        <v>0.95</v>
      </c>
      <c r="I92" s="39">
        <f t="shared" si="7"/>
        <v>0</v>
      </c>
      <c r="J92" s="17"/>
    </row>
    <row r="93" spans="1:10" x14ac:dyDescent="0.25">
      <c r="A93" s="4" t="s">
        <v>209</v>
      </c>
      <c r="B93" s="39">
        <f t="shared" si="0"/>
        <v>0</v>
      </c>
      <c r="C93" s="39">
        <f t="shared" si="1"/>
        <v>0.67</v>
      </c>
      <c r="D93" s="39">
        <f t="shared" si="2"/>
        <v>0.67</v>
      </c>
      <c r="E93" s="39">
        <f t="shared" si="3"/>
        <v>1</v>
      </c>
      <c r="F93" s="39">
        <f t="shared" si="4"/>
        <v>0</v>
      </c>
      <c r="G93" s="39">
        <f t="shared" si="5"/>
        <v>1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210</v>
      </c>
      <c r="B94" s="39">
        <f t="shared" si="0"/>
        <v>0</v>
      </c>
      <c r="C94" s="39">
        <f t="shared" si="1"/>
        <v>0.67</v>
      </c>
      <c r="D94" s="39">
        <f t="shared" si="2"/>
        <v>0.67</v>
      </c>
      <c r="E94" s="39">
        <f t="shared" si="3"/>
        <v>1</v>
      </c>
      <c r="F94" s="39">
        <f t="shared" si="4"/>
        <v>0</v>
      </c>
      <c r="G94" s="39">
        <f t="shared" si="5"/>
        <v>1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211</v>
      </c>
      <c r="B95" s="39">
        <f t="shared" si="0"/>
        <v>0</v>
      </c>
      <c r="C95" s="39">
        <f t="shared" si="1"/>
        <v>0.67</v>
      </c>
      <c r="D95" s="39">
        <f t="shared" si="2"/>
        <v>0.67</v>
      </c>
      <c r="E95" s="39">
        <f t="shared" si="3"/>
        <v>1</v>
      </c>
      <c r="F95" s="39">
        <f t="shared" si="4"/>
        <v>0</v>
      </c>
      <c r="G95" s="39">
        <f t="shared" si="5"/>
        <v>1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212</v>
      </c>
      <c r="B96" s="39">
        <f t="shared" si="0"/>
        <v>0</v>
      </c>
      <c r="C96" s="39">
        <f t="shared" si="1"/>
        <v>0.67</v>
      </c>
      <c r="D96" s="39">
        <f t="shared" si="2"/>
        <v>0.67</v>
      </c>
      <c r="E96" s="39">
        <f t="shared" si="3"/>
        <v>1</v>
      </c>
      <c r="F96" s="39">
        <f t="shared" si="4"/>
        <v>0</v>
      </c>
      <c r="G96" s="39">
        <f t="shared" si="5"/>
        <v>1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996</v>
      </c>
    </row>
    <row r="99" spans="1:20" x14ac:dyDescent="0.25">
      <c r="A99" s="2" t="s">
        <v>381</v>
      </c>
    </row>
    <row r="100" spans="1:20" x14ac:dyDescent="0.25">
      <c r="A100" s="2" t="s">
        <v>997</v>
      </c>
    </row>
    <row r="101" spans="1:20" x14ac:dyDescent="0.25">
      <c r="A101" s="2" t="s">
        <v>998</v>
      </c>
    </row>
    <row r="102" spans="1:20" x14ac:dyDescent="0.25">
      <c r="A102" s="32" t="s">
        <v>999</v>
      </c>
    </row>
    <row r="103" spans="1:20" x14ac:dyDescent="0.25">
      <c r="A103" s="2" t="s">
        <v>424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182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0.81</v>
      </c>
      <c r="G106" s="41">
        <f t="shared" ref="G106:G138" si="12">$F64</f>
        <v>0</v>
      </c>
      <c r="H106" s="41">
        <f t="shared" ref="H106:H138" si="13">$G64</f>
        <v>0.81</v>
      </c>
      <c r="I106" s="41">
        <f t="shared" ref="I106:I138" si="14">$H64</f>
        <v>0.95</v>
      </c>
      <c r="J106" s="41">
        <f t="shared" ref="J106:J138" si="15">$I64</f>
        <v>0.95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183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0.81</v>
      </c>
      <c r="G107" s="41">
        <f t="shared" si="12"/>
        <v>0</v>
      </c>
      <c r="H107" s="41">
        <f t="shared" si="13"/>
        <v>0.81</v>
      </c>
      <c r="I107" s="41">
        <f t="shared" si="14"/>
        <v>0.95</v>
      </c>
      <c r="J107" s="41">
        <f t="shared" si="15"/>
        <v>0.95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228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0.81</v>
      </c>
      <c r="G108" s="41">
        <f t="shared" si="12"/>
        <v>0</v>
      </c>
      <c r="H108" s="41">
        <f t="shared" si="13"/>
        <v>0.81</v>
      </c>
      <c r="I108" s="41">
        <f t="shared" si="14"/>
        <v>0.95</v>
      </c>
      <c r="J108" s="41">
        <f t="shared" si="15"/>
        <v>0.95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184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0.81</v>
      </c>
      <c r="G109" s="41">
        <f t="shared" si="12"/>
        <v>0</v>
      </c>
      <c r="H109" s="41">
        <f t="shared" si="13"/>
        <v>0.81</v>
      </c>
      <c r="I109" s="41">
        <f t="shared" si="14"/>
        <v>0.95</v>
      </c>
      <c r="J109" s="41">
        <f t="shared" si="15"/>
        <v>0.95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185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0.81</v>
      </c>
      <c r="G110" s="41">
        <f t="shared" si="12"/>
        <v>0</v>
      </c>
      <c r="H110" s="41">
        <f t="shared" si="13"/>
        <v>0.81</v>
      </c>
      <c r="I110" s="41">
        <f t="shared" si="14"/>
        <v>0.95</v>
      </c>
      <c r="J110" s="41">
        <f t="shared" si="15"/>
        <v>0.95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229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0.81</v>
      </c>
      <c r="G111" s="41">
        <f t="shared" si="12"/>
        <v>0</v>
      </c>
      <c r="H111" s="41">
        <f t="shared" si="13"/>
        <v>0.81</v>
      </c>
      <c r="I111" s="41">
        <f t="shared" si="14"/>
        <v>0.95</v>
      </c>
      <c r="J111" s="41">
        <f t="shared" si="15"/>
        <v>0.95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186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0.81</v>
      </c>
      <c r="G112" s="41">
        <f t="shared" si="12"/>
        <v>0</v>
      </c>
      <c r="H112" s="41">
        <f t="shared" si="13"/>
        <v>0.81</v>
      </c>
      <c r="I112" s="41">
        <f t="shared" si="14"/>
        <v>0.95</v>
      </c>
      <c r="J112" s="41">
        <f t="shared" si="15"/>
        <v>0.95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187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0.81</v>
      </c>
      <c r="G113" s="41">
        <f t="shared" si="12"/>
        <v>0</v>
      </c>
      <c r="H113" s="41">
        <f t="shared" si="13"/>
        <v>0.81</v>
      </c>
      <c r="I113" s="41">
        <f t="shared" si="14"/>
        <v>0.95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207</v>
      </c>
      <c r="B114" s="40">
        <v>0</v>
      </c>
      <c r="C114" s="41">
        <f t="shared" si="8"/>
        <v>0</v>
      </c>
      <c r="D114" s="41">
        <f t="shared" si="9"/>
        <v>0.67</v>
      </c>
      <c r="E114" s="41">
        <f t="shared" si="10"/>
        <v>0.67</v>
      </c>
      <c r="F114" s="41">
        <f t="shared" si="11"/>
        <v>1</v>
      </c>
      <c r="G114" s="41">
        <f t="shared" si="12"/>
        <v>0</v>
      </c>
      <c r="H114" s="41">
        <f t="shared" si="13"/>
        <v>1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188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0.81</v>
      </c>
      <c r="G115" s="41">
        <f t="shared" si="12"/>
        <v>0</v>
      </c>
      <c r="H115" s="41">
        <f t="shared" si="13"/>
        <v>0.81</v>
      </c>
      <c r="I115" s="41">
        <f t="shared" si="14"/>
        <v>0.95</v>
      </c>
      <c r="J115" s="41">
        <f t="shared" si="15"/>
        <v>0.95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189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0.81</v>
      </c>
      <c r="G116" s="41">
        <f t="shared" si="12"/>
        <v>0</v>
      </c>
      <c r="H116" s="41">
        <f t="shared" si="13"/>
        <v>0.81</v>
      </c>
      <c r="I116" s="41">
        <f t="shared" si="14"/>
        <v>0.95</v>
      </c>
      <c r="J116" s="41">
        <f t="shared" si="15"/>
        <v>0.95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190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0.81</v>
      </c>
      <c r="G117" s="41">
        <f t="shared" si="12"/>
        <v>0</v>
      </c>
      <c r="H117" s="41">
        <f t="shared" si="13"/>
        <v>0.81</v>
      </c>
      <c r="I117" s="41">
        <f t="shared" si="14"/>
        <v>0.95</v>
      </c>
      <c r="J117" s="41">
        <f t="shared" si="15"/>
        <v>0.95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191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0.81</v>
      </c>
      <c r="G118" s="41">
        <f t="shared" si="12"/>
        <v>0</v>
      </c>
      <c r="H118" s="41">
        <f t="shared" si="13"/>
        <v>0.81</v>
      </c>
      <c r="I118" s="41">
        <f t="shared" si="14"/>
        <v>0.95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208</v>
      </c>
      <c r="B119" s="40">
        <v>0</v>
      </c>
      <c r="C119" s="41">
        <f t="shared" si="8"/>
        <v>0</v>
      </c>
      <c r="D119" s="41">
        <f t="shared" si="9"/>
        <v>0.67</v>
      </c>
      <c r="E119" s="41">
        <f t="shared" si="10"/>
        <v>0.67</v>
      </c>
      <c r="F119" s="41">
        <f t="shared" si="11"/>
        <v>1</v>
      </c>
      <c r="G119" s="41">
        <f t="shared" si="12"/>
        <v>0</v>
      </c>
      <c r="H119" s="41">
        <f t="shared" si="13"/>
        <v>1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230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0.81</v>
      </c>
      <c r="G120" s="41">
        <f t="shared" si="12"/>
        <v>0</v>
      </c>
      <c r="H120" s="41">
        <f t="shared" si="13"/>
        <v>0.81</v>
      </c>
      <c r="I120" s="41">
        <f t="shared" si="14"/>
        <v>0.95</v>
      </c>
      <c r="J120" s="41">
        <f t="shared" si="15"/>
        <v>0.95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231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0.81</v>
      </c>
      <c r="G121" s="41">
        <f t="shared" si="12"/>
        <v>0</v>
      </c>
      <c r="H121" s="41">
        <f t="shared" si="13"/>
        <v>0.81</v>
      </c>
      <c r="I121" s="41">
        <f t="shared" si="14"/>
        <v>0.95</v>
      </c>
      <c r="J121" s="41">
        <f t="shared" si="15"/>
        <v>0.95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232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0.81</v>
      </c>
      <c r="G122" s="41">
        <f t="shared" si="12"/>
        <v>0</v>
      </c>
      <c r="H122" s="41">
        <f t="shared" si="13"/>
        <v>0.81</v>
      </c>
      <c r="I122" s="41">
        <f t="shared" si="14"/>
        <v>0.95</v>
      </c>
      <c r="J122" s="41">
        <f t="shared" si="15"/>
        <v>0.95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233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0.81</v>
      </c>
      <c r="G123" s="41">
        <f t="shared" si="12"/>
        <v>0</v>
      </c>
      <c r="H123" s="41">
        <f t="shared" si="13"/>
        <v>0.81</v>
      </c>
      <c r="I123" s="41">
        <f t="shared" si="14"/>
        <v>0.95</v>
      </c>
      <c r="J123" s="41">
        <f t="shared" si="15"/>
        <v>0.95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234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0.81</v>
      </c>
      <c r="G124" s="41">
        <f t="shared" si="12"/>
        <v>0</v>
      </c>
      <c r="H124" s="41">
        <f t="shared" si="13"/>
        <v>0.81</v>
      </c>
      <c r="I124" s="41">
        <f t="shared" si="14"/>
        <v>0.95</v>
      </c>
      <c r="J124" s="41">
        <f t="shared" si="15"/>
        <v>0.95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192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0.81</v>
      </c>
      <c r="G125" s="41">
        <f t="shared" si="12"/>
        <v>0</v>
      </c>
      <c r="H125" s="41">
        <f t="shared" si="13"/>
        <v>0.81</v>
      </c>
      <c r="I125" s="41">
        <f t="shared" si="14"/>
        <v>0.95</v>
      </c>
      <c r="J125" s="41">
        <f t="shared" si="15"/>
        <v>0.95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193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0.81</v>
      </c>
      <c r="G126" s="41">
        <f t="shared" si="12"/>
        <v>0</v>
      </c>
      <c r="H126" s="41">
        <f t="shared" si="13"/>
        <v>0.81</v>
      </c>
      <c r="I126" s="41">
        <f t="shared" si="14"/>
        <v>0.95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194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0.81</v>
      </c>
      <c r="G127" s="41">
        <f t="shared" si="12"/>
        <v>0</v>
      </c>
      <c r="H127" s="41">
        <f t="shared" si="13"/>
        <v>0.81</v>
      </c>
      <c r="I127" s="41">
        <f t="shared" si="14"/>
        <v>0.95</v>
      </c>
      <c r="J127" s="41">
        <f t="shared" si="15"/>
        <v>0.95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195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0.81</v>
      </c>
      <c r="G128" s="41">
        <f t="shared" si="12"/>
        <v>0</v>
      </c>
      <c r="H128" s="41">
        <f t="shared" si="13"/>
        <v>0.81</v>
      </c>
      <c r="I128" s="41">
        <f t="shared" si="14"/>
        <v>0.95</v>
      </c>
      <c r="J128" s="41">
        <f t="shared" si="15"/>
        <v>0.95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196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0.81</v>
      </c>
      <c r="G129" s="41">
        <f t="shared" si="12"/>
        <v>0</v>
      </c>
      <c r="H129" s="41">
        <f t="shared" si="13"/>
        <v>0.81</v>
      </c>
      <c r="I129" s="41">
        <f t="shared" si="14"/>
        <v>0.95</v>
      </c>
      <c r="J129" s="41">
        <f t="shared" si="15"/>
        <v>0.95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197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0.81</v>
      </c>
      <c r="G130" s="41">
        <f t="shared" si="12"/>
        <v>0</v>
      </c>
      <c r="H130" s="41">
        <f t="shared" si="13"/>
        <v>0.81</v>
      </c>
      <c r="I130" s="41">
        <f t="shared" si="14"/>
        <v>0.95</v>
      </c>
      <c r="J130" s="41">
        <f t="shared" si="15"/>
        <v>0.95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198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0.81</v>
      </c>
      <c r="G131" s="41">
        <f t="shared" si="12"/>
        <v>0</v>
      </c>
      <c r="H131" s="41">
        <f t="shared" si="13"/>
        <v>0.81</v>
      </c>
      <c r="I131" s="41">
        <f t="shared" si="14"/>
        <v>0.95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199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0.81</v>
      </c>
      <c r="G132" s="41">
        <f t="shared" si="12"/>
        <v>0</v>
      </c>
      <c r="H132" s="41">
        <f t="shared" si="13"/>
        <v>0.81</v>
      </c>
      <c r="I132" s="41">
        <f t="shared" si="14"/>
        <v>0.95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200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0.81</v>
      </c>
      <c r="G133" s="41">
        <f t="shared" si="12"/>
        <v>0</v>
      </c>
      <c r="H133" s="41">
        <f t="shared" si="13"/>
        <v>0.81</v>
      </c>
      <c r="I133" s="41">
        <f t="shared" si="14"/>
        <v>0.95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201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0.81</v>
      </c>
      <c r="G134" s="41">
        <f t="shared" si="12"/>
        <v>0</v>
      </c>
      <c r="H134" s="41">
        <f t="shared" si="13"/>
        <v>0.81</v>
      </c>
      <c r="I134" s="41">
        <f t="shared" si="14"/>
        <v>0.95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209</v>
      </c>
      <c r="B135" s="40">
        <v>0</v>
      </c>
      <c r="C135" s="41">
        <f t="shared" si="8"/>
        <v>0</v>
      </c>
      <c r="D135" s="41">
        <f t="shared" si="9"/>
        <v>0.67</v>
      </c>
      <c r="E135" s="41">
        <f t="shared" si="10"/>
        <v>0.67</v>
      </c>
      <c r="F135" s="41">
        <f t="shared" si="11"/>
        <v>1</v>
      </c>
      <c r="G135" s="41">
        <f t="shared" si="12"/>
        <v>0</v>
      </c>
      <c r="H135" s="41">
        <f t="shared" si="13"/>
        <v>1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210</v>
      </c>
      <c r="B136" s="40">
        <v>0</v>
      </c>
      <c r="C136" s="41">
        <f t="shared" si="8"/>
        <v>0</v>
      </c>
      <c r="D136" s="41">
        <f t="shared" si="9"/>
        <v>0.67</v>
      </c>
      <c r="E136" s="41">
        <f t="shared" si="10"/>
        <v>0.67</v>
      </c>
      <c r="F136" s="41">
        <f t="shared" si="11"/>
        <v>1</v>
      </c>
      <c r="G136" s="41">
        <f t="shared" si="12"/>
        <v>0</v>
      </c>
      <c r="H136" s="41">
        <f t="shared" si="13"/>
        <v>1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211</v>
      </c>
      <c r="B137" s="40">
        <v>0</v>
      </c>
      <c r="C137" s="41">
        <f t="shared" si="8"/>
        <v>0</v>
      </c>
      <c r="D137" s="41">
        <f t="shared" si="9"/>
        <v>0.67</v>
      </c>
      <c r="E137" s="41">
        <f t="shared" si="10"/>
        <v>0.67</v>
      </c>
      <c r="F137" s="41">
        <f t="shared" si="11"/>
        <v>1</v>
      </c>
      <c r="G137" s="41">
        <f t="shared" si="12"/>
        <v>0</v>
      </c>
      <c r="H137" s="41">
        <f t="shared" si="13"/>
        <v>1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212</v>
      </c>
      <c r="B138" s="40">
        <v>0</v>
      </c>
      <c r="C138" s="41">
        <f t="shared" si="8"/>
        <v>0</v>
      </c>
      <c r="D138" s="41">
        <f t="shared" si="9"/>
        <v>0.67</v>
      </c>
      <c r="E138" s="41">
        <f t="shared" si="10"/>
        <v>0.67</v>
      </c>
      <c r="F138" s="41">
        <f t="shared" si="11"/>
        <v>1</v>
      </c>
      <c r="G138" s="41">
        <f t="shared" si="12"/>
        <v>0</v>
      </c>
      <c r="H138" s="41">
        <f t="shared" si="13"/>
        <v>1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South West in April 19 (no data version)</v>
      </c>
    </row>
    <row r="2" spans="1:20" x14ac:dyDescent="0.25">
      <c r="A2" s="2" t="s">
        <v>1000</v>
      </c>
    </row>
    <row r="4" spans="1:20" ht="21" customHeight="1" x14ac:dyDescent="0.3">
      <c r="A4" s="1" t="s">
        <v>1001</v>
      </c>
    </row>
    <row r="5" spans="1:20" x14ac:dyDescent="0.25">
      <c r="A5" s="2" t="s">
        <v>381</v>
      </c>
    </row>
    <row r="6" spans="1:20" x14ac:dyDescent="0.25">
      <c r="A6" s="32" t="s">
        <v>1002</v>
      </c>
    </row>
    <row r="7" spans="1:20" x14ac:dyDescent="0.25">
      <c r="A7" s="32" t="s">
        <v>1003</v>
      </c>
    </row>
    <row r="8" spans="1:20" x14ac:dyDescent="0.25">
      <c r="A8" s="2" t="s">
        <v>399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ht="30" x14ac:dyDescent="0.25">
      <c r="A11" s="4" t="s">
        <v>1004</v>
      </c>
      <c r="B11" s="10"/>
      <c r="C11" s="38">
        <f>DRM!$B$130</f>
        <v>12.104400946805518</v>
      </c>
      <c r="D11" s="38">
        <f>DRM!$B$131</f>
        <v>1.8742695165915775</v>
      </c>
      <c r="E11" s="38">
        <f>DRM!$B$132</f>
        <v>4.2078379730758622</v>
      </c>
      <c r="F11" s="38">
        <f>DRM!$B$133</f>
        <v>4.2133684673113088</v>
      </c>
      <c r="G11" s="38">
        <f>DRM!$B$134</f>
        <v>0</v>
      </c>
      <c r="H11" s="38">
        <f>DRM!$B$135</f>
        <v>16.551584633250457</v>
      </c>
      <c r="I11" s="38">
        <f>DRM!$B$136</f>
        <v>6.9666667260162516</v>
      </c>
      <c r="J11" s="38">
        <f>DRM!$B$137</f>
        <v>16.532763571632564</v>
      </c>
      <c r="K11" s="38">
        <f>Otex!$B108</f>
        <v>3.7544778953527316</v>
      </c>
      <c r="L11" s="38">
        <f>Otex!$C108</f>
        <v>8.4514645027541349</v>
      </c>
      <c r="M11" s="38">
        <f>Otex!$D108</f>
        <v>1.3086415724066296</v>
      </c>
      <c r="N11" s="38">
        <f>Otex!$E108</f>
        <v>2.9379721821076044</v>
      </c>
      <c r="O11" s="38">
        <f>Otex!$F108</f>
        <v>2.9418336516606187</v>
      </c>
      <c r="P11" s="38">
        <f>Otex!$G108</f>
        <v>0</v>
      </c>
      <c r="Q11" s="38">
        <f>Otex!$H108</f>
        <v>11.556551258256547</v>
      </c>
      <c r="R11" s="38">
        <f>Otex!$I108</f>
        <v>4.8642255652464472</v>
      </c>
      <c r="S11" s="38">
        <f>Otex!$J108</f>
        <v>11.543410125963689</v>
      </c>
      <c r="T11" s="17"/>
    </row>
    <row r="13" spans="1:20" ht="21" customHeight="1" x14ac:dyDescent="0.3">
      <c r="A13" s="1" t="s">
        <v>1005</v>
      </c>
    </row>
    <row r="14" spans="1:20" x14ac:dyDescent="0.25">
      <c r="A14" s="2" t="s">
        <v>381</v>
      </c>
    </row>
    <row r="15" spans="1:20" x14ac:dyDescent="0.25">
      <c r="A15" s="32" t="s">
        <v>1006</v>
      </c>
    </row>
    <row r="16" spans="1:20" x14ac:dyDescent="0.25">
      <c r="A16" s="32" t="s">
        <v>843</v>
      </c>
    </row>
    <row r="17" spans="1:20" x14ac:dyDescent="0.25">
      <c r="A17" s="32" t="s">
        <v>830</v>
      </c>
    </row>
    <row r="18" spans="1:20" x14ac:dyDescent="0.25">
      <c r="A18" s="32" t="s">
        <v>1007</v>
      </c>
    </row>
    <row r="19" spans="1:20" x14ac:dyDescent="0.25">
      <c r="A19" s="32" t="s">
        <v>775</v>
      </c>
    </row>
    <row r="20" spans="1:20" x14ac:dyDescent="0.25">
      <c r="A20" s="2" t="s">
        <v>1008</v>
      </c>
    </row>
    <row r="22" spans="1:20" ht="30" x14ac:dyDescent="0.25">
      <c r="B22" s="15" t="s">
        <v>150</v>
      </c>
      <c r="C22" s="15" t="s">
        <v>335</v>
      </c>
      <c r="D22" s="15" t="s">
        <v>336</v>
      </c>
      <c r="E22" s="15" t="s">
        <v>337</v>
      </c>
      <c r="F22" s="15" t="s">
        <v>338</v>
      </c>
      <c r="G22" s="15" t="s">
        <v>339</v>
      </c>
      <c r="H22" s="15" t="s">
        <v>340</v>
      </c>
      <c r="I22" s="15" t="s">
        <v>341</v>
      </c>
      <c r="J22" s="15" t="s">
        <v>342</v>
      </c>
      <c r="K22" s="15" t="s">
        <v>323</v>
      </c>
      <c r="L22" s="15" t="s">
        <v>911</v>
      </c>
      <c r="M22" s="15" t="s">
        <v>912</v>
      </c>
      <c r="N22" s="15" t="s">
        <v>913</v>
      </c>
      <c r="O22" s="15" t="s">
        <v>914</v>
      </c>
      <c r="P22" s="15" t="s">
        <v>915</v>
      </c>
      <c r="Q22" s="15" t="s">
        <v>916</v>
      </c>
      <c r="R22" s="15" t="s">
        <v>917</v>
      </c>
      <c r="S22" s="15" t="s">
        <v>918</v>
      </c>
    </row>
    <row r="23" spans="1:20" x14ac:dyDescent="0.25">
      <c r="A23" s="4" t="s">
        <v>182</v>
      </c>
      <c r="B23" s="37">
        <f>B$11*Loads!$B46*LAFs!B261*(1-Contrib!B106)/(24*Input!$F$60)*100</f>
        <v>0</v>
      </c>
      <c r="C23" s="37">
        <f>C$11*Loads!$B46*LAFs!C261*(1-Contrib!C106)/(24*Input!$F$60)*100</f>
        <v>0.32177722212204579</v>
      </c>
      <c r="D23" s="37">
        <f>D$11*Loads!$B46*LAFs!D261*(1-Contrib!D106)/(24*Input!$F$60)*100</f>
        <v>4.9626515202874394E-2</v>
      </c>
      <c r="E23" s="37">
        <f>E$11*Loads!$B46*LAFs!E261*(1-Contrib!E106)/(24*Input!$F$60)*100</f>
        <v>0.11075369261271542</v>
      </c>
      <c r="F23" s="37">
        <f>F$11*Loads!$B46*LAFs!F261*(1-Contrib!F106)/(24*Input!$F$60)*100</f>
        <v>2.0885122088562112E-2</v>
      </c>
      <c r="G23" s="37">
        <f>G$11*Loads!$B46*LAFs!G261*(1-Contrib!G106)/(24*Input!$F$60)*100</f>
        <v>0</v>
      </c>
      <c r="H23" s="37">
        <f>H$11*Loads!$B46*LAFs!H261*(1-Contrib!H106)/(24*Input!$F$60)*100</f>
        <v>8.0700373605083517E-2</v>
      </c>
      <c r="I23" s="37">
        <f>I$11*Loads!$B46*LAFs!I261*(1-Contrib!I106)/(24*Input!$F$60)*100</f>
        <v>8.8450291810754471E-3</v>
      </c>
      <c r="J23" s="37">
        <f>J$11*Loads!$B46*LAFs!J261*(1-Contrib!J106)/(24*Input!$F$60)*100</f>
        <v>2.0733406450356894E-2</v>
      </c>
      <c r="K23" s="37">
        <f>K$11*Loads!$B46*LAFs!B261*(1-Contrib!K106)/(24*Input!$F$60)*100</f>
        <v>0.10000674002293909</v>
      </c>
      <c r="L23" s="37">
        <f>L$11*Loads!$B46*LAFs!C261*(1-Contrib!L106)/(24*Input!$F$60)*100</f>
        <v>0.2246694225109096</v>
      </c>
      <c r="M23" s="37">
        <f>M$11*Loads!$B46*LAFs!D261*(1-Contrib!M106)/(24*Input!$F$60)*100</f>
        <v>3.4649937115902453E-2</v>
      </c>
      <c r="N23" s="37">
        <f>N$11*Loads!$B46*LAFs!E261*(1-Contrib!N106)/(24*Input!$F$60)*100</f>
        <v>7.7329799779338598E-2</v>
      </c>
      <c r="O23" s="37">
        <f>O$11*Loads!$B46*LAFs!F261*(1-Contrib!O106)/(24*Input!$F$60)*100</f>
        <v>7.6748887381786257E-2</v>
      </c>
      <c r="P23" s="37">
        <f>P$11*Loads!$B46*LAFs!G261*(1-Contrib!P106)/(24*Input!$F$60)*100</f>
        <v>0</v>
      </c>
      <c r="Q23" s="37">
        <f>Q$11*Loads!$B46*LAFs!H261*(1-Contrib!Q106)/(24*Input!$F$60)*100</f>
        <v>0.29655866311055151</v>
      </c>
      <c r="R23" s="37">
        <f>R$11*Loads!$B46*LAFs!I261*(1-Contrib!R106)/(24*Input!$F$60)*100</f>
        <v>0.12351449770740082</v>
      </c>
      <c r="S23" s="37">
        <f>S$11*Loads!$B46*LAFs!J261*(1-Contrib!S106)/(24*Input!$F$60)*100</f>
        <v>0.28952717182193011</v>
      </c>
      <c r="T23" s="17"/>
    </row>
    <row r="24" spans="1:20" x14ac:dyDescent="0.25">
      <c r="A24" s="4" t="s">
        <v>183</v>
      </c>
      <c r="B24" s="37">
        <f>B$11*Loads!$B47*LAFs!B262*(1-Contrib!B107)/(24*Input!$F$60)*100</f>
        <v>0</v>
      </c>
      <c r="C24" s="37">
        <f>C$11*Loads!$B47*LAFs!C262*(1-Contrib!C107)/(24*Input!$F$60)*100</f>
        <v>0.19738266642475677</v>
      </c>
      <c r="D24" s="37">
        <f>D$11*Loads!$B47*LAFs!D262*(1-Contrib!D107)/(24*Input!$F$60)*100</f>
        <v>3.0441601277783448E-2</v>
      </c>
      <c r="E24" s="37">
        <f>E$11*Loads!$B47*LAFs!E262*(1-Contrib!E107)/(24*Input!$F$60)*100</f>
        <v>6.7937870244880558E-2</v>
      </c>
      <c r="F24" s="37">
        <f>F$11*Loads!$B47*LAFs!F262*(1-Contrib!F107)/(24*Input!$F$60)*100</f>
        <v>1.2811227156667474E-2</v>
      </c>
      <c r="G24" s="37">
        <f>G$11*Loads!$B47*LAFs!G262*(1-Contrib!G107)/(24*Input!$F$60)*100</f>
        <v>0</v>
      </c>
      <c r="H24" s="37">
        <f>H$11*Loads!$B47*LAFs!H262*(1-Contrib!H107)/(24*Input!$F$60)*100</f>
        <v>4.9502742358823175E-2</v>
      </c>
      <c r="I24" s="37">
        <f>I$11*Loads!$B47*LAFs!I262*(1-Contrib!I107)/(24*Input!$F$60)*100</f>
        <v>5.4256651010035593E-3</v>
      </c>
      <c r="J24" s="37">
        <f>J$11*Loads!$B47*LAFs!J262*(1-Contrib!J107)/(24*Input!$F$60)*100</f>
        <v>1.2718162653811141E-2</v>
      </c>
      <c r="K24" s="37">
        <f>K$11*Loads!$B47*LAFs!B262*(1-Contrib!K107)/(24*Input!$F$60)*100</f>
        <v>6.1345538618293484E-2</v>
      </c>
      <c r="L24" s="37">
        <f>L$11*Loads!$B47*LAFs!C262*(1-Contrib!L107)/(24*Input!$F$60)*100</f>
        <v>0.13781537856179832</v>
      </c>
      <c r="M24" s="37">
        <f>M$11*Loads!$B47*LAFs!D262*(1-Contrib!M107)/(24*Input!$F$60)*100</f>
        <v>2.1254757979086908E-2</v>
      </c>
      <c r="N24" s="37">
        <f>N$11*Loads!$B47*LAFs!E262*(1-Contrib!N107)/(24*Input!$F$60)*100</f>
        <v>4.7435185044729981E-2</v>
      </c>
      <c r="O24" s="37">
        <f>O$11*Loads!$B47*LAFs!F262*(1-Contrib!O107)/(24*Input!$F$60)*100</f>
        <v>4.7078845222936767E-2</v>
      </c>
      <c r="P24" s="37">
        <f>P$11*Loads!$B47*LAFs!G262*(1-Contrib!P107)/(24*Input!$F$60)*100</f>
        <v>0</v>
      </c>
      <c r="Q24" s="37">
        <f>Q$11*Loads!$B47*LAFs!H262*(1-Contrib!Q107)/(24*Input!$F$60)*100</f>
        <v>0.18191324820971966</v>
      </c>
      <c r="R24" s="37">
        <f>R$11*Loads!$B47*LAFs!I262*(1-Contrib!R107)/(24*Input!$F$60)*100</f>
        <v>7.5765527276366443E-2</v>
      </c>
      <c r="S24" s="37">
        <f>S$11*Loads!$B47*LAFs!J262*(1-Contrib!S107)/(24*Input!$F$60)*100</f>
        <v>0.17760003271753003</v>
      </c>
      <c r="T24" s="17"/>
    </row>
    <row r="25" spans="1:20" x14ac:dyDescent="0.25">
      <c r="A25" s="4" t="s">
        <v>228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184</v>
      </c>
      <c r="B26" s="37">
        <f>B$11*Loads!$B49*LAFs!B264*(1-Contrib!B109)/(24*Input!$F$60)*100</f>
        <v>0</v>
      </c>
      <c r="C26" s="37">
        <f>C$11*Loads!$B49*LAFs!C264*(1-Contrib!C109)/(24*Input!$F$60)*100</f>
        <v>0.24660639026974326</v>
      </c>
      <c r="D26" s="37">
        <f>D$11*Loads!$B49*LAFs!D264*(1-Contrib!D109)/(24*Input!$F$60)*100</f>
        <v>3.8033194814534134E-2</v>
      </c>
      <c r="E26" s="37">
        <f>E$11*Loads!$B49*LAFs!E264*(1-Contrib!E109)/(24*Input!$F$60)*100</f>
        <v>8.4880365875951269E-2</v>
      </c>
      <c r="F26" s="37">
        <f>F$11*Loads!$B49*LAFs!F264*(1-Contrib!F109)/(24*Input!$F$60)*100</f>
        <v>1.600611918593077E-2</v>
      </c>
      <c r="G26" s="37">
        <f>G$11*Loads!$B49*LAFs!G264*(1-Contrib!G109)/(24*Input!$F$60)*100</f>
        <v>0</v>
      </c>
      <c r="H26" s="37">
        <f>H$11*Loads!$B49*LAFs!H264*(1-Contrib!H109)/(24*Input!$F$60)*100</f>
        <v>6.1847845217027346E-2</v>
      </c>
      <c r="I26" s="37">
        <f>I$11*Loads!$B49*LAFs!I264*(1-Contrib!I109)/(24*Input!$F$60)*100</f>
        <v>6.7787294072302095E-3</v>
      </c>
      <c r="J26" s="37">
        <f>J$11*Loads!$B49*LAFs!J264*(1-Contrib!J109)/(24*Input!$F$60)*100</f>
        <v>1.5889846052492291E-2</v>
      </c>
      <c r="K26" s="37">
        <f>K$11*Loads!$B49*LAFs!B264*(1-Contrib!K109)/(24*Input!$F$60)*100</f>
        <v>7.6644024076842815E-2</v>
      </c>
      <c r="L26" s="37">
        <f>L$11*Loads!$B49*LAFs!C264*(1-Contrib!L109)/(24*Input!$F$60)*100</f>
        <v>0.17218408103600591</v>
      </c>
      <c r="M26" s="37">
        <f>M$11*Loads!$B49*LAFs!D264*(1-Contrib!M109)/(24*Input!$F$60)*100</f>
        <v>2.6555316311312235E-2</v>
      </c>
      <c r="N26" s="37">
        <f>N$11*Loads!$B49*LAFs!E264*(1-Contrib!N109)/(24*Input!$F$60)*100</f>
        <v>5.9264675908699591E-2</v>
      </c>
      <c r="O26" s="37">
        <f>O$11*Loads!$B49*LAFs!F264*(1-Contrib!O109)/(24*Input!$F$60)*100</f>
        <v>5.8819471277748447E-2</v>
      </c>
      <c r="P26" s="37">
        <f>P$11*Loads!$B49*LAFs!G264*(1-Contrib!P109)/(24*Input!$F$60)*100</f>
        <v>0</v>
      </c>
      <c r="Q26" s="37">
        <f>Q$11*Loads!$B49*LAFs!H264*(1-Contrib!Q109)/(24*Input!$F$60)*100</f>
        <v>0.22727917448791798</v>
      </c>
      <c r="R26" s="37">
        <f>R$11*Loads!$B49*LAFs!I264*(1-Contrib!R109)/(24*Input!$F$60)*100</f>
        <v>9.4660101248713407E-2</v>
      </c>
      <c r="S26" s="37">
        <f>S$11*Loads!$B49*LAFs!J264*(1-Contrib!S109)/(24*Input!$F$60)*100</f>
        <v>0.22189031982174653</v>
      </c>
      <c r="T26" s="17"/>
    </row>
    <row r="27" spans="1:20" x14ac:dyDescent="0.25">
      <c r="A27" s="4" t="s">
        <v>185</v>
      </c>
      <c r="B27" s="37">
        <f>B$11*Loads!$B50*LAFs!B265*(1-Contrib!B110)/(24*Input!$F$60)*100</f>
        <v>0</v>
      </c>
      <c r="C27" s="37">
        <f>C$11*Loads!$B50*LAFs!C265*(1-Contrib!C110)/(24*Input!$F$60)*100</f>
        <v>0.20899061126201335</v>
      </c>
      <c r="D27" s="37">
        <f>D$11*Loads!$B50*LAFs!D265*(1-Contrib!D110)/(24*Input!$F$60)*100</f>
        <v>3.2231851834181591E-2</v>
      </c>
      <c r="E27" s="37">
        <f>E$11*Loads!$B50*LAFs!E265*(1-Contrib!E110)/(24*Input!$F$60)*100</f>
        <v>7.193325172618148E-2</v>
      </c>
      <c r="F27" s="37">
        <f>F$11*Loads!$B50*LAFs!F265*(1-Contrib!F110)/(24*Input!$F$60)*100</f>
        <v>1.356464700262365E-2</v>
      </c>
      <c r="G27" s="37">
        <f>G$11*Loads!$B50*LAFs!G265*(1-Contrib!G110)/(24*Input!$F$60)*100</f>
        <v>0</v>
      </c>
      <c r="H27" s="37">
        <f>H$11*Loads!$B50*LAFs!H265*(1-Contrib!H110)/(24*Input!$F$60)*100</f>
        <v>5.241396608987553E-2</v>
      </c>
      <c r="I27" s="37">
        <f>I$11*Loads!$B50*LAFs!I265*(1-Contrib!I110)/(24*Input!$F$60)*100</f>
        <v>5.7447448983265221E-3</v>
      </c>
      <c r="J27" s="37">
        <f>J$11*Loads!$B50*LAFs!J265*(1-Contrib!J110)/(24*Input!$F$60)*100</f>
        <v>1.3466109437542399E-2</v>
      </c>
      <c r="K27" s="37">
        <f>K$11*Loads!$B50*LAFs!B265*(1-Contrib!K110)/(24*Input!$F$60)*100</f>
        <v>6.4953229410961946E-2</v>
      </c>
      <c r="L27" s="37">
        <f>L$11*Loads!$B50*LAFs!C265*(1-Contrib!L110)/(24*Input!$F$60)*100</f>
        <v>0.14592021036414313</v>
      </c>
      <c r="M27" s="37">
        <f>M$11*Loads!$B50*LAFs!D265*(1-Contrib!M110)/(24*Input!$F$60)*100</f>
        <v>2.2504736321255735E-2</v>
      </c>
      <c r="N27" s="37">
        <f>N$11*Loads!$B50*LAFs!E265*(1-Contrib!N110)/(24*Input!$F$60)*100</f>
        <v>5.0224817089518391E-2</v>
      </c>
      <c r="O27" s="37">
        <f>O$11*Loads!$B50*LAFs!F265*(1-Contrib!O110)/(24*Input!$F$60)*100</f>
        <v>4.9847521157091887E-2</v>
      </c>
      <c r="P27" s="37">
        <f>P$11*Loads!$B50*LAFs!G265*(1-Contrib!P110)/(24*Input!$F$60)*100</f>
        <v>0</v>
      </c>
      <c r="Q27" s="37">
        <f>Q$11*Loads!$B50*LAFs!H265*(1-Contrib!Q110)/(24*Input!$F$60)*100</f>
        <v>0.19261144673258518</v>
      </c>
      <c r="R27" s="37">
        <f>R$11*Loads!$B50*LAFs!I265*(1-Contrib!R110)/(24*Input!$F$60)*100</f>
        <v>8.022124812115998E-2</v>
      </c>
      <c r="S27" s="37">
        <f>S$11*Loads!$B50*LAFs!J265*(1-Contrib!S110)/(24*Input!$F$60)*100</f>
        <v>0.18804457387315346</v>
      </c>
      <c r="T27" s="17"/>
    </row>
    <row r="28" spans="1:20" x14ac:dyDescent="0.25">
      <c r="A28" s="4" t="s">
        <v>229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186</v>
      </c>
      <c r="B29" s="37">
        <f>B$11*Loads!$B52*LAFs!B267*(1-Contrib!B112)/(24*Input!$F$60)*100</f>
        <v>0</v>
      </c>
      <c r="C29" s="37">
        <f>C$11*Loads!$B52*LAFs!C267*(1-Contrib!C112)/(24*Input!$F$60)*100</f>
        <v>0.2112413984551397</v>
      </c>
      <c r="D29" s="37">
        <f>D$11*Loads!$B52*LAFs!D267*(1-Contrib!D112)/(24*Input!$F$60)*100</f>
        <v>3.2578982448715127E-2</v>
      </c>
      <c r="E29" s="37">
        <f>E$11*Loads!$B52*LAFs!E267*(1-Contrib!E112)/(24*Input!$F$60)*100</f>
        <v>7.2707958497780112E-2</v>
      </c>
      <c r="F29" s="37">
        <f>F$11*Loads!$B52*LAFs!F267*(1-Contrib!F112)/(24*Input!$F$60)*100</f>
        <v>1.3710735544919495E-2</v>
      </c>
      <c r="G29" s="37">
        <f>G$11*Loads!$B52*LAFs!G267*(1-Contrib!G112)/(24*Input!$F$60)*100</f>
        <v>0</v>
      </c>
      <c r="H29" s="37">
        <f>H$11*Loads!$B52*LAFs!H267*(1-Contrib!H112)/(24*Input!$F$60)*100</f>
        <v>5.2978454048945356E-2</v>
      </c>
      <c r="I29" s="37">
        <f>I$11*Loads!$B52*LAFs!I267*(1-Contrib!I112)/(24*Input!$F$60)*100</f>
        <v>5.8066146549000403E-3</v>
      </c>
      <c r="J29" s="37">
        <f>J$11*Loads!$B52*LAFs!J267*(1-Contrib!J112)/(24*Input!$F$60)*100</f>
        <v>1.361113674991893E-2</v>
      </c>
      <c r="K29" s="37">
        <f>K$11*Loads!$B52*LAFs!B267*(1-Contrib!K112)/(24*Input!$F$60)*100</f>
        <v>6.5652762734624531E-2</v>
      </c>
      <c r="L29" s="37">
        <f>L$11*Loads!$B52*LAFs!C267*(1-Contrib!L112)/(24*Input!$F$60)*100</f>
        <v>0.14749174192109979</v>
      </c>
      <c r="M29" s="37">
        <f>M$11*Loads!$B52*LAFs!D267*(1-Contrib!M112)/(24*Input!$F$60)*100</f>
        <v>2.27471078421135E-2</v>
      </c>
      <c r="N29" s="37">
        <f>N$11*Loads!$B52*LAFs!E267*(1-Contrib!N112)/(24*Input!$F$60)*100</f>
        <v>5.0765728350553332E-2</v>
      </c>
      <c r="O29" s="37">
        <f>O$11*Loads!$B52*LAFs!F267*(1-Contrib!O112)/(24*Input!$F$60)*100</f>
        <v>5.0384369016198902E-2</v>
      </c>
      <c r="P29" s="37">
        <f>P$11*Loads!$B52*LAFs!G267*(1-Contrib!P112)/(24*Input!$F$60)*100</f>
        <v>0</v>
      </c>
      <c r="Q29" s="37">
        <f>Q$11*Loads!$B52*LAFs!H267*(1-Contrib!Q112)/(24*Input!$F$60)*100</f>
        <v>0.19468583359110164</v>
      </c>
      <c r="R29" s="37">
        <f>R$11*Loads!$B52*LAFs!I267*(1-Contrib!R112)/(24*Input!$F$60)*100</f>
        <v>8.1085214960614535E-2</v>
      </c>
      <c r="S29" s="37">
        <f>S$11*Loads!$B52*LAFs!J267*(1-Contrib!S112)/(24*Input!$F$60)*100</f>
        <v>0.1900697764219893</v>
      </c>
      <c r="T29" s="17"/>
    </row>
    <row r="30" spans="1:20" x14ac:dyDescent="0.25">
      <c r="A30" s="4" t="s">
        <v>187</v>
      </c>
      <c r="B30" s="37">
        <f>B$11*Loads!$B53*LAFs!B268*(1-Contrib!B113)/(24*Input!$F$60)*100</f>
        <v>0</v>
      </c>
      <c r="C30" s="37">
        <f>C$11*Loads!$B53*LAFs!C268*(1-Contrib!C113)/(24*Input!$F$60)*100</f>
        <v>0.20151447373574718</v>
      </c>
      <c r="D30" s="37">
        <f>D$11*Loads!$B53*LAFs!D268*(1-Contrib!D113)/(24*Input!$F$60)*100</f>
        <v>3.1078834693442803E-2</v>
      </c>
      <c r="E30" s="37">
        <f>E$11*Loads!$B53*LAFs!E268*(1-Contrib!E113)/(24*Input!$F$60)*100</f>
        <v>6.9360012290357084E-2</v>
      </c>
      <c r="F30" s="37">
        <f>F$11*Loads!$B53*LAFs!F268*(1-Contrib!F113)/(24*Input!$F$60)*100</f>
        <v>1.3079404312177001E-2</v>
      </c>
      <c r="G30" s="37">
        <f>G$11*Loads!$B53*LAFs!G268*(1-Contrib!G113)/(24*Input!$F$60)*100</f>
        <v>0</v>
      </c>
      <c r="H30" s="37">
        <f>H$11*Loads!$B53*LAFs!H268*(1-Contrib!H113)/(24*Input!$F$60)*100</f>
        <v>5.0538982250081452E-2</v>
      </c>
      <c r="I30" s="37">
        <f>I$11*Loads!$B53*LAFs!I268*(1-Contrib!I113)/(24*Input!$F$60)*100</f>
        <v>5.5392404373660236E-3</v>
      </c>
      <c r="J30" s="37">
        <f>J$11*Loads!$B53*LAFs!J268*(1-Contrib!J113)/(24*Input!$F$60)*100</f>
        <v>0</v>
      </c>
      <c r="K30" s="37">
        <f>K$11*Loads!$B53*LAFs!B268*(1-Contrib!K113)/(24*Input!$F$60)*100</f>
        <v>6.2629683520937882E-2</v>
      </c>
      <c r="L30" s="37">
        <f>L$11*Loads!$B53*LAFs!C268*(1-Contrib!L113)/(24*Input!$F$60)*100</f>
        <v>0.14070026505676123</v>
      </c>
      <c r="M30" s="37">
        <f>M$11*Loads!$B53*LAFs!D268*(1-Contrib!M113)/(24*Input!$F$60)*100</f>
        <v>2.1699683392255344E-2</v>
      </c>
      <c r="N30" s="37">
        <f>N$11*Loads!$B53*LAFs!E268*(1-Contrib!N113)/(24*Input!$F$60)*100</f>
        <v>4.8428144801106111E-2</v>
      </c>
      <c r="O30" s="37">
        <f>O$11*Loads!$B53*LAFs!F268*(1-Contrib!O113)/(24*Input!$F$60)*100</f>
        <v>4.8064345725126342E-2</v>
      </c>
      <c r="P30" s="37">
        <f>P$11*Loads!$B53*LAFs!G268*(1-Contrib!P113)/(24*Input!$F$60)*100</f>
        <v>0</v>
      </c>
      <c r="Q30" s="37">
        <f>Q$11*Loads!$B53*LAFs!H268*(1-Contrib!Q113)/(24*Input!$F$60)*100</f>
        <v>0.18572123450625425</v>
      </c>
      <c r="R30" s="37">
        <f>R$11*Loads!$B53*LAFs!I268*(1-Contrib!R113)/(24*Input!$F$60)*100</f>
        <v>7.7351525506058338E-2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207</v>
      </c>
      <c r="B31" s="37">
        <f>B$11*Loads!$B54*LAFs!B269*(1-Contrib!B114)/(24*Input!$F$60)*100</f>
        <v>0</v>
      </c>
      <c r="C31" s="37">
        <f>C$11*Loads!$B54*LAFs!C269*(1-Contrib!C114)/(24*Input!$F$60)*100</f>
        <v>0.20812044926576986</v>
      </c>
      <c r="D31" s="37">
        <f>D$11*Loads!$B54*LAFs!D269*(1-Contrib!D114)/(24*Input!$F$60)*100</f>
        <v>1.0592224485510034E-2</v>
      </c>
      <c r="E31" s="37">
        <f>E$11*Loads!$B54*LAFs!E269*(1-Contrib!E114)/(24*Input!$F$60)*100</f>
        <v>2.3639136658241685E-2</v>
      </c>
      <c r="F31" s="37">
        <f>F$11*Loads!$B54*LAFs!F269*(1-Contrib!F114)/(24*Input!$F$60)*100</f>
        <v>0</v>
      </c>
      <c r="G31" s="37">
        <f>G$11*Loads!$B54*LAFs!G269*(1-Contrib!G114)/(24*Input!$F$60)*100</f>
        <v>0</v>
      </c>
      <c r="H31" s="37">
        <f>H$11*Loads!$B54*LAFs!H269*(1-Contrib!H114)/(24*Input!$F$60)*100</f>
        <v>0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6.4682787445050627E-2</v>
      </c>
      <c r="L31" s="37">
        <f>L$11*Loads!$B54*LAFs!C269*(1-Contrib!L114)/(24*Input!$F$60)*100</f>
        <v>0.14531265091074955</v>
      </c>
      <c r="M31" s="37">
        <f>M$11*Loads!$B54*LAFs!D269*(1-Contrib!M114)/(24*Input!$F$60)*100</f>
        <v>2.2411034665645528E-2</v>
      </c>
      <c r="N31" s="37">
        <f>N$11*Loads!$B54*LAFs!E269*(1-Contrib!N114)/(24*Input!$F$60)*100</f>
        <v>5.0015698953370213E-2</v>
      </c>
      <c r="O31" s="37">
        <f>O$11*Loads!$B54*LAFs!F269*(1-Contrib!O114)/(24*Input!$F$60)*100</f>
        <v>4.9639973945971159E-2</v>
      </c>
      <c r="P31" s="37">
        <f>P$11*Loads!$B54*LAFs!G269*(1-Contrib!P114)/(24*Input!$F$60)*100</f>
        <v>0</v>
      </c>
      <c r="Q31" s="37">
        <f>Q$11*Loads!$B54*LAFs!H269*(1-Contrib!Q114)/(24*Input!$F$60)*100</f>
        <v>0.19180948170661538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188</v>
      </c>
      <c r="B32" s="37">
        <f>B$11*Loads!$B55*LAFs!B270*(1-Contrib!B115)/(24*Input!$F$60)*100</f>
        <v>0</v>
      </c>
      <c r="C32" s="37">
        <f>C$11*Loads!$B55*LAFs!C270*(1-Contrib!C115)/(24*Input!$F$60)*100</f>
        <v>0.31093459188686667</v>
      </c>
      <c r="D32" s="37">
        <f>D$11*Loads!$B55*LAFs!D270*(1-Contrib!D115)/(24*Input!$F$60)*100</f>
        <v>4.7954296297332416E-2</v>
      </c>
      <c r="E32" s="37">
        <f>E$11*Loads!$B55*LAFs!E270*(1-Contrib!E115)/(24*Input!$F$60)*100</f>
        <v>0.10702172759586008</v>
      </c>
      <c r="F32" s="37">
        <f>F$11*Loads!$B55*LAFs!F270*(1-Contrib!F115)/(24*Input!$F$60)*100</f>
        <v>2.0181375394717628E-2</v>
      </c>
      <c r="G32" s="37">
        <f>G$11*Loads!$B55*LAFs!G270*(1-Contrib!G115)/(24*Input!$F$60)*100</f>
        <v>0</v>
      </c>
      <c r="H32" s="37">
        <f>H$11*Loads!$B55*LAFs!H270*(1-Contrib!H115)/(24*Input!$F$60)*100</f>
        <v>7.7981087556586115E-2</v>
      </c>
      <c r="I32" s="37">
        <f>I$11*Loads!$B55*LAFs!I270*(1-Contrib!I115)/(24*Input!$F$60)*100</f>
        <v>8.5469863917278649E-3</v>
      </c>
      <c r="J32" s="37">
        <f>J$11*Loads!$B55*LAFs!J270*(1-Contrib!J115)/(24*Input!$F$60)*100</f>
        <v>2.003477197842515E-2</v>
      </c>
      <c r="K32" s="37">
        <f>K$11*Loads!$B55*LAFs!B270*(1-Contrib!K115)/(24*Input!$F$60)*100</f>
        <v>9.6636905154133063E-2</v>
      </c>
      <c r="L32" s="37">
        <f>L$11*Loads!$B55*LAFs!C270*(1-Contrib!L115)/(24*Input!$F$60)*100</f>
        <v>0.2170989442235649</v>
      </c>
      <c r="M32" s="37">
        <f>M$11*Loads!$B55*LAFs!D270*(1-Contrib!M115)/(24*Input!$F$60)*100</f>
        <v>3.3482370147232925E-2</v>
      </c>
      <c r="N32" s="37">
        <f>N$11*Loads!$B55*LAFs!E270*(1-Contrib!N115)/(24*Input!$F$60)*100</f>
        <v>7.4724088847911055E-2</v>
      </c>
      <c r="O32" s="37">
        <f>O$11*Loads!$B55*LAFs!F270*(1-Contrib!O115)/(24*Input!$F$60)*100</f>
        <v>7.4162750919564924E-2</v>
      </c>
      <c r="P32" s="37">
        <f>P$11*Loads!$B55*LAFs!G270*(1-Contrib!P115)/(24*Input!$F$60)*100</f>
        <v>0</v>
      </c>
      <c r="Q32" s="37">
        <f>Q$11*Loads!$B55*LAFs!H270*(1-Contrib!Q115)/(24*Input!$F$60)*100</f>
        <v>0.28656579939589377</v>
      </c>
      <c r="R32" s="37">
        <f>R$11*Loads!$B55*LAFs!I270*(1-Contrib!R115)/(24*Input!$F$60)*100</f>
        <v>0.11935254361228689</v>
      </c>
      <c r="S32" s="37">
        <f>S$11*Loads!$B55*LAFs!J270*(1-Contrib!S115)/(24*Input!$F$60)*100</f>
        <v>0.27977124178312923</v>
      </c>
      <c r="T32" s="17"/>
    </row>
    <row r="33" spans="1:20" x14ac:dyDescent="0.25">
      <c r="A33" s="4" t="s">
        <v>189</v>
      </c>
      <c r="B33" s="37">
        <f>B$11*Loads!$B56*LAFs!B271*(1-Contrib!B116)/(24*Input!$F$60)*100</f>
        <v>0</v>
      </c>
      <c r="C33" s="37">
        <f>C$11*Loads!$B56*LAFs!C271*(1-Contrib!C116)/(24*Input!$F$60)*100</f>
        <v>0.24190253886783353</v>
      </c>
      <c r="D33" s="37">
        <f>D$11*Loads!$B56*LAFs!D271*(1-Contrib!D116)/(24*Input!$F$60)*100</f>
        <v>3.7307737146743097E-2</v>
      </c>
      <c r="E33" s="37">
        <f>E$11*Loads!$B56*LAFs!E271*(1-Contrib!E116)/(24*Input!$F$60)*100</f>
        <v>8.3261329858338395E-2</v>
      </c>
      <c r="F33" s="37">
        <f>F$11*Loads!$B56*LAFs!F271*(1-Contrib!F116)/(24*Input!$F$60)*100</f>
        <v>1.5700813203837115E-2</v>
      </c>
      <c r="G33" s="37">
        <f>G$11*Loads!$B56*LAFs!G271*(1-Contrib!G116)/(24*Input!$F$60)*100</f>
        <v>0</v>
      </c>
      <c r="H33" s="37">
        <f>H$11*Loads!$B56*LAFs!H271*(1-Contrib!H116)/(24*Input!$F$60)*100</f>
        <v>6.066813907433171E-2</v>
      </c>
      <c r="I33" s="37">
        <f>I$11*Loads!$B56*LAFs!I271*(1-Contrib!I116)/(24*Input!$F$60)*100</f>
        <v>6.649429692853431E-3</v>
      </c>
      <c r="J33" s="37">
        <f>J$11*Loads!$B56*LAFs!J271*(1-Contrib!J116)/(24*Input!$F$60)*100</f>
        <v>1.5586757902390464E-2</v>
      </c>
      <c r="K33" s="37">
        <f>K$11*Loads!$B56*LAFs!B271*(1-Contrib!K116)/(24*Input!$F$60)*100</f>
        <v>7.5182090751808067E-2</v>
      </c>
      <c r="L33" s="37">
        <f>L$11*Loads!$B56*LAFs!C271*(1-Contrib!L116)/(24*Input!$F$60)*100</f>
        <v>0.16889978523944588</v>
      </c>
      <c r="M33" s="37">
        <f>M$11*Loads!$B56*LAFs!D271*(1-Contrib!M116)/(24*Input!$F$60)*100</f>
        <v>2.6048791473401542E-2</v>
      </c>
      <c r="N33" s="37">
        <f>N$11*Loads!$B56*LAFs!E271*(1-Contrib!N116)/(24*Input!$F$60)*100</f>
        <v>5.8134241987048418E-2</v>
      </c>
      <c r="O33" s="37">
        <f>O$11*Loads!$B56*LAFs!F271*(1-Contrib!O116)/(24*Input!$F$60)*100</f>
        <v>5.7697529335664993E-2</v>
      </c>
      <c r="P33" s="37">
        <f>P$11*Loads!$B56*LAFs!G271*(1-Contrib!P116)/(24*Input!$F$60)*100</f>
        <v>0</v>
      </c>
      <c r="Q33" s="37">
        <f>Q$11*Loads!$B56*LAFs!H271*(1-Contrib!Q116)/(24*Input!$F$60)*100</f>
        <v>0.22294397675694877</v>
      </c>
      <c r="R33" s="37">
        <f>R$11*Loads!$B56*LAFs!I271*(1-Contrib!R116)/(24*Input!$F$60)*100</f>
        <v>9.2854523341844727E-2</v>
      </c>
      <c r="S33" s="37">
        <f>S$11*Loads!$B56*LAFs!J271*(1-Contrib!S116)/(24*Input!$F$60)*100</f>
        <v>0.21765791087718489</v>
      </c>
      <c r="T33" s="17"/>
    </row>
    <row r="34" spans="1:20" x14ac:dyDescent="0.25">
      <c r="A34" s="4" t="s">
        <v>190</v>
      </c>
      <c r="B34" s="37">
        <f>B$11*Loads!$B57*LAFs!B272*(1-Contrib!B117)/(24*Input!$F$60)*100</f>
        <v>0</v>
      </c>
      <c r="C34" s="37">
        <f>C$11*Loads!$B57*LAFs!C272*(1-Contrib!C117)/(24*Input!$F$60)*100</f>
        <v>0.19966950747384429</v>
      </c>
      <c r="D34" s="37">
        <f>D$11*Loads!$B57*LAFs!D272*(1-Contrib!D117)/(24*Input!$F$60)*100</f>
        <v>3.0794292345661625E-2</v>
      </c>
      <c r="E34" s="37">
        <f>E$11*Loads!$B57*LAFs!E272*(1-Contrib!E117)/(24*Input!$F$60)*100</f>
        <v>6.8724986526556689E-2</v>
      </c>
      <c r="F34" s="37">
        <f>F$11*Loads!$B57*LAFs!F272*(1-Contrib!F117)/(24*Input!$F$60)*100</f>
        <v>1.2959655793698887E-2</v>
      </c>
      <c r="G34" s="37">
        <f>G$11*Loads!$B57*LAFs!G272*(1-Contrib!G117)/(24*Input!$F$60)*100</f>
        <v>0</v>
      </c>
      <c r="H34" s="37">
        <f>H$11*Loads!$B57*LAFs!H272*(1-Contrib!H117)/(24*Input!$F$60)*100</f>
        <v>5.0076272473291016E-2</v>
      </c>
      <c r="I34" s="37">
        <f>I$11*Loads!$B57*LAFs!I272*(1-Contrib!I117)/(24*Input!$F$60)*100</f>
        <v>5.4885259078632466E-3</v>
      </c>
      <c r="J34" s="37">
        <f>J$11*Loads!$B57*LAFs!J272*(1-Contrib!J117)/(24*Input!$F$60)*100</f>
        <v>1.2865513061790327E-2</v>
      </c>
      <c r="K34" s="37">
        <f>K$11*Loads!$B57*LAFs!B272*(1-Contrib!K117)/(24*Input!$F$60)*100</f>
        <v>6.2056277298805633E-2</v>
      </c>
      <c r="L34" s="37">
        <f>L$11*Loads!$B57*LAFs!C272*(1-Contrib!L117)/(24*Input!$F$60)*100</f>
        <v>0.13941208343259201</v>
      </c>
      <c r="M34" s="37">
        <f>M$11*Loads!$B57*LAFs!D272*(1-Contrib!M117)/(24*Input!$F$60)*100</f>
        <v>2.1501011887372849E-2</v>
      </c>
      <c r="N34" s="37">
        <f>N$11*Loads!$B57*LAFs!E272*(1-Contrib!N117)/(24*Input!$F$60)*100</f>
        <v>4.7984760801792224E-2</v>
      </c>
      <c r="O34" s="37">
        <f>O$11*Loads!$B57*LAFs!F272*(1-Contrib!O117)/(24*Input!$F$60)*100</f>
        <v>4.7624292489150961E-2</v>
      </c>
      <c r="P34" s="37">
        <f>P$11*Loads!$B57*LAFs!G272*(1-Contrib!P117)/(24*Input!$F$60)*100</f>
        <v>0</v>
      </c>
      <c r="Q34" s="37">
        <f>Q$11*Loads!$B57*LAFs!H272*(1-Contrib!Q117)/(24*Input!$F$60)*100</f>
        <v>0.18402086328511646</v>
      </c>
      <c r="R34" s="37">
        <f>R$11*Loads!$B57*LAFs!I272*(1-Contrib!R117)/(24*Input!$F$60)*100</f>
        <v>7.6643333423277546E-2</v>
      </c>
      <c r="S34" s="37">
        <f>S$11*Loads!$B57*LAFs!J272*(1-Contrib!S117)/(24*Input!$F$60)*100</f>
        <v>0.17965767563265686</v>
      </c>
      <c r="T34" s="17"/>
    </row>
    <row r="35" spans="1:20" x14ac:dyDescent="0.25">
      <c r="A35" s="4" t="s">
        <v>191</v>
      </c>
      <c r="B35" s="37">
        <f>B$11*Loads!$B58*LAFs!B273*(1-Contrib!B118)/(24*Input!$F$60)*100</f>
        <v>0</v>
      </c>
      <c r="C35" s="37">
        <f>C$11*Loads!$B58*LAFs!C273*(1-Contrib!C118)/(24*Input!$F$60)*100</f>
        <v>0.18066600270191507</v>
      </c>
      <c r="D35" s="37">
        <f>D$11*Loads!$B58*LAFs!D273*(1-Contrib!D118)/(24*Input!$F$60)*100</f>
        <v>2.7863451833543756E-2</v>
      </c>
      <c r="E35" s="37">
        <f>E$11*Loads!$B58*LAFs!E273*(1-Contrib!E118)/(24*Input!$F$60)*100</f>
        <v>6.2184099908807737E-2</v>
      </c>
      <c r="F35" s="37">
        <f>F$11*Loads!$B58*LAFs!F273*(1-Contrib!F118)/(24*Input!$F$60)*100</f>
        <v>1.1726223188821154E-2</v>
      </c>
      <c r="G35" s="37">
        <f>G$11*Loads!$B58*LAFs!G273*(1-Contrib!G118)/(24*Input!$F$60)*100</f>
        <v>0</v>
      </c>
      <c r="H35" s="37">
        <f>H$11*Loads!$B58*LAFs!H273*(1-Contrib!H118)/(24*Input!$F$60)*100</f>
        <v>4.5310273423429727E-2</v>
      </c>
      <c r="I35" s="37">
        <f>I$11*Loads!$B58*LAFs!I273*(1-Contrib!I118)/(24*Input!$F$60)*100</f>
        <v>4.9661565706493526E-3</v>
      </c>
      <c r="J35" s="37">
        <f>J$11*Loads!$B58*LAFs!J273*(1-Contrib!J118)/(24*Input!$F$60)*100</f>
        <v>0</v>
      </c>
      <c r="K35" s="37">
        <f>K$11*Loads!$B58*LAFs!B273*(1-Contrib!K118)/(24*Input!$F$60)*100</f>
        <v>5.6150083725755931E-2</v>
      </c>
      <c r="L35" s="37">
        <f>L$11*Loads!$B58*LAFs!C273*(1-Contrib!L118)/(24*Input!$F$60)*100</f>
        <v>0.12614356674071353</v>
      </c>
      <c r="M35" s="37">
        <f>M$11*Loads!$B58*LAFs!D273*(1-Contrib!M118)/(24*Input!$F$60)*100</f>
        <v>1.945465745312594E-2</v>
      </c>
      <c r="N35" s="37">
        <f>N$11*Loads!$B58*LAFs!E273*(1-Contrib!N118)/(24*Input!$F$60)*100</f>
        <v>4.3417820949966365E-2</v>
      </c>
      <c r="O35" s="37">
        <f>O$11*Loads!$B58*LAFs!F273*(1-Contrib!O118)/(24*Input!$F$60)*100</f>
        <v>4.3091660135681123E-2</v>
      </c>
      <c r="P35" s="37">
        <f>P$11*Loads!$B58*LAFs!G273*(1-Contrib!P118)/(24*Input!$F$60)*100</f>
        <v>0</v>
      </c>
      <c r="Q35" s="37">
        <f>Q$11*Loads!$B58*LAFs!H273*(1-Contrib!Q118)/(24*Input!$F$60)*100</f>
        <v>0.1665067150417682</v>
      </c>
      <c r="R35" s="37">
        <f>R$11*Loads!$B58*LAFs!I273*(1-Contrib!R118)/(24*Input!$F$60)*100</f>
        <v>6.9348819749793303E-2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208</v>
      </c>
      <c r="B36" s="37">
        <f>B$11*Loads!$B59*LAFs!B274*(1-Contrib!B119)/(24*Input!$F$60)*100</f>
        <v>0</v>
      </c>
      <c r="C36" s="37">
        <f>C$11*Loads!$B59*LAFs!C274*(1-Contrib!C119)/(24*Input!$F$60)*100</f>
        <v>0.15977720665516454</v>
      </c>
      <c r="D36" s="37">
        <f>D$11*Loads!$B59*LAFs!D274*(1-Contrib!D119)/(24*Input!$F$60)*100</f>
        <v>8.1318104325156463E-3</v>
      </c>
      <c r="E36" s="37">
        <f>E$11*Loads!$B59*LAFs!E274*(1-Contrib!E119)/(24*Input!$F$60)*100</f>
        <v>1.8148121610915485E-2</v>
      </c>
      <c r="F36" s="37">
        <f>F$11*Loads!$B59*LAFs!F274*(1-Contrib!F119)/(24*Input!$F$60)*100</f>
        <v>0</v>
      </c>
      <c r="G36" s="37">
        <f>G$11*Loads!$B59*LAFs!G274*(1-Contrib!G119)/(24*Input!$F$60)*100</f>
        <v>0</v>
      </c>
      <c r="H36" s="37">
        <f>H$11*Loads!$B59*LAFs!H274*(1-Contrib!H119)/(24*Input!$F$60)*100</f>
        <v>0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4.9657951119653557E-2</v>
      </c>
      <c r="L36" s="37">
        <f>L$11*Loads!$B59*LAFs!C274*(1-Contrib!L119)/(24*Input!$F$60)*100</f>
        <v>0.11155871292843345</v>
      </c>
      <c r="M36" s="37">
        <f>M$11*Loads!$B59*LAFs!D274*(1-Contrib!M119)/(24*Input!$F$60)*100</f>
        <v>1.7205289195567013E-2</v>
      </c>
      <c r="N36" s="37">
        <f>N$11*Loads!$B59*LAFs!E274*(1-Contrib!N119)/(24*Input!$F$60)*100</f>
        <v>3.8397806154407008E-2</v>
      </c>
      <c r="O36" s="37">
        <f>O$11*Loads!$B59*LAFs!F274*(1-Contrib!O119)/(24*Input!$F$60)*100</f>
        <v>3.8109356401561961E-2</v>
      </c>
      <c r="P36" s="37">
        <f>P$11*Loads!$B59*LAFs!G274*(1-Contrib!P119)/(24*Input!$F$60)*100</f>
        <v>0</v>
      </c>
      <c r="Q36" s="37">
        <f>Q$11*Loads!$B59*LAFs!H274*(1-Contrib!Q119)/(24*Input!$F$60)*100</f>
        <v>0.14725503094567099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230</v>
      </c>
      <c r="B37" s="37">
        <f>B$11*Loads!$B60*LAFs!B275*(1-Contrib!B120)/(24*Input!$F$60)*100</f>
        <v>0</v>
      </c>
      <c r="C37" s="37">
        <f>C$11*Loads!$B60*LAFs!C275*(1-Contrib!C120)/(24*Input!$F$60)*100</f>
        <v>0.14605208759970337</v>
      </c>
      <c r="D37" s="37">
        <f>D$11*Loads!$B60*LAFs!D275*(1-Contrib!D120)/(24*Input!$F$60)*100</f>
        <v>2.2525075261322046E-2</v>
      </c>
      <c r="E37" s="37">
        <f>E$11*Loads!$B60*LAFs!E275*(1-Contrib!E120)/(24*Input!$F$60)*100</f>
        <v>5.0270208403153112E-2</v>
      </c>
      <c r="F37" s="37">
        <f>F$11*Loads!$B60*LAFs!F275*(1-Contrib!F120)/(24*Input!$F$60)*100</f>
        <v>9.4795885821036454E-3</v>
      </c>
      <c r="G37" s="37">
        <f>G$11*Loads!$B60*LAFs!G275*(1-Contrib!G120)/(24*Input!$F$60)*100</f>
        <v>0</v>
      </c>
      <c r="H37" s="37">
        <f>H$11*Loads!$B60*LAFs!H275*(1-Contrib!H120)/(24*Input!$F$60)*100</f>
        <v>3.6629249135067751E-2</v>
      </c>
      <c r="I37" s="37">
        <f>I$11*Loads!$B60*LAFs!I275*(1-Contrib!I120)/(24*Input!$F$60)*100</f>
        <v>4.0146874544351304E-3</v>
      </c>
      <c r="J37" s="37">
        <f>J$11*Loads!$B60*LAFs!J275*(1-Contrib!J120)/(24*Input!$F$60)*100</f>
        <v>9.4107260767489626E-3</v>
      </c>
      <c r="K37" s="37">
        <f>K$11*Loads!$B60*LAFs!B275*(1-Contrib!K120)/(24*Input!$F$60)*100</f>
        <v>4.5392253242994098E-2</v>
      </c>
      <c r="L37" s="37">
        <f>L$11*Loads!$B60*LAFs!C275*(1-Contrib!L120)/(24*Input!$F$60)*100</f>
        <v>0.10197564004419317</v>
      </c>
      <c r="M37" s="37">
        <f>M$11*Loads!$B60*LAFs!D275*(1-Contrib!M120)/(24*Input!$F$60)*100</f>
        <v>1.572732717872909E-2</v>
      </c>
      <c r="N37" s="37">
        <f>N$11*Loads!$B60*LAFs!E275*(1-Contrib!N120)/(24*Input!$F$60)*100</f>
        <v>3.5099372842356605E-2</v>
      </c>
      <c r="O37" s="37">
        <f>O$11*Loads!$B60*LAFs!F275*(1-Contrib!O120)/(24*Input!$F$60)*100</f>
        <v>3.4835701387256252E-2</v>
      </c>
      <c r="P37" s="37">
        <f>P$11*Loads!$B60*LAFs!G275*(1-Contrib!P120)/(24*Input!$F$60)*100</f>
        <v>0</v>
      </c>
      <c r="Q37" s="37">
        <f>Q$11*Loads!$B60*LAFs!H275*(1-Contrib!Q120)/(24*Input!$F$60)*100</f>
        <v>0.13460558692574312</v>
      </c>
      <c r="R37" s="37">
        <f>R$11*Loads!$B60*LAFs!I275*(1-Contrib!R120)/(24*Input!$F$60)*100</f>
        <v>5.6062234983657443E-2</v>
      </c>
      <c r="S37" s="37">
        <f>S$11*Loads!$B60*LAFs!J275*(1-Contrib!S120)/(24*Input!$F$60)*100</f>
        <v>0.13141404970359391</v>
      </c>
      <c r="T37" s="17"/>
    </row>
    <row r="38" spans="1:20" x14ac:dyDescent="0.25">
      <c r="A38" s="4" t="s">
        <v>231</v>
      </c>
      <c r="B38" s="37">
        <f>B$11*Loads!$B61*LAFs!B276*(1-Contrib!B121)/(24*Input!$F$60)*100</f>
        <v>0</v>
      </c>
      <c r="C38" s="37">
        <f>C$11*Loads!$B61*LAFs!C276*(1-Contrib!C121)/(24*Input!$F$60)*100</f>
        <v>0.30208725464368719</v>
      </c>
      <c r="D38" s="37">
        <f>D$11*Loads!$B61*LAFs!D276*(1-Contrib!D121)/(24*Input!$F$60)*100</f>
        <v>4.6589804077193007E-2</v>
      </c>
      <c r="E38" s="37">
        <f>E$11*Loads!$B61*LAFs!E276*(1-Contrib!E121)/(24*Input!$F$60)*100</f>
        <v>0.10397652985622496</v>
      </c>
      <c r="F38" s="37">
        <f>F$11*Loads!$B61*LAFs!F276*(1-Contrib!F121)/(24*Input!$F$60)*100</f>
        <v>1.9607134255882758E-2</v>
      </c>
      <c r="G38" s="37">
        <f>G$11*Loads!$B61*LAFs!G276*(1-Contrib!G121)/(24*Input!$F$60)*100</f>
        <v>0</v>
      </c>
      <c r="H38" s="37">
        <f>H$11*Loads!$B61*LAFs!H276*(1-Contrib!H121)/(24*Input!$F$60)*100</f>
        <v>7.5762212596369213E-2</v>
      </c>
      <c r="I38" s="37">
        <f>I$11*Loads!$B61*LAFs!I276*(1-Contrib!I121)/(24*Input!$F$60)*100</f>
        <v>8.3037903209349576E-3</v>
      </c>
      <c r="J38" s="37">
        <f>J$11*Loads!$B61*LAFs!J276*(1-Contrib!J121)/(24*Input!$F$60)*100</f>
        <v>1.9464702295255831E-2</v>
      </c>
      <c r="K38" s="37">
        <f>K$11*Loads!$B61*LAFs!B276*(1-Contrib!K121)/(24*Input!$F$60)*100</f>
        <v>9.3887197298061387E-2</v>
      </c>
      <c r="L38" s="37">
        <f>L$11*Loads!$B61*LAFs!C276*(1-Contrib!L121)/(24*Input!$F$60)*100</f>
        <v>0.21092160781648236</v>
      </c>
      <c r="M38" s="37">
        <f>M$11*Loads!$B61*LAFs!D276*(1-Contrib!M121)/(24*Input!$F$60)*100</f>
        <v>3.2529662316959355E-2</v>
      </c>
      <c r="N38" s="37">
        <f>N$11*Loads!$B61*LAFs!E276*(1-Contrib!N121)/(24*Input!$F$60)*100</f>
        <v>7.2597888574680219E-2</v>
      </c>
      <c r="O38" s="37">
        <f>O$11*Loads!$B61*LAFs!F276*(1-Contrib!O121)/(24*Input!$F$60)*100</f>
        <v>7.2052522963628615E-2</v>
      </c>
      <c r="P38" s="37">
        <f>P$11*Loads!$B61*LAFs!G276*(1-Contrib!P121)/(24*Input!$F$60)*100</f>
        <v>0</v>
      </c>
      <c r="Q38" s="37">
        <f>Q$11*Loads!$B61*LAFs!H276*(1-Contrib!Q121)/(24*Input!$F$60)*100</f>
        <v>0.27841185211639879</v>
      </c>
      <c r="R38" s="37">
        <f>R$11*Loads!$B61*LAFs!I276*(1-Contrib!R121)/(24*Input!$F$60)*100</f>
        <v>0.11595648466059137</v>
      </c>
      <c r="S38" s="37">
        <f>S$11*Loads!$B61*LAFs!J276*(1-Contrib!S121)/(24*Input!$F$60)*100</f>
        <v>0.27181062694134589</v>
      </c>
      <c r="T38" s="17"/>
    </row>
    <row r="39" spans="1:20" x14ac:dyDescent="0.25">
      <c r="A39" s="4" t="s">
        <v>232</v>
      </c>
      <c r="B39" s="37">
        <f>B$11*Loads!$B62*LAFs!B277*(1-Contrib!B122)/(24*Input!$F$60)*100</f>
        <v>0</v>
      </c>
      <c r="C39" s="37">
        <f>C$11*Loads!$B62*LAFs!C277*(1-Contrib!C122)/(24*Input!$F$60)*100</f>
        <v>0.50180159050187334</v>
      </c>
      <c r="D39" s="37">
        <f>D$11*Loads!$B62*LAFs!D277*(1-Contrib!D122)/(24*Input!$F$60)*100</f>
        <v>7.7391010139376881E-2</v>
      </c>
      <c r="E39" s="37">
        <f>E$11*Loads!$B62*LAFs!E277*(1-Contrib!E122)/(24*Input!$F$60)*100</f>
        <v>0.17271694603024698</v>
      </c>
      <c r="F39" s="37">
        <f>F$11*Loads!$B62*LAFs!F277*(1-Contrib!F122)/(24*Input!$F$60)*100</f>
        <v>3.256969965975802E-2</v>
      </c>
      <c r="G39" s="37">
        <f>G$11*Loads!$B62*LAFs!G277*(1-Contrib!G122)/(24*Input!$F$60)*100</f>
        <v>0</v>
      </c>
      <c r="H39" s="37">
        <f>H$11*Loads!$B62*LAFs!H277*(1-Contrib!H122)/(24*Input!$F$60)*100</f>
        <v>0.12584972783986209</v>
      </c>
      <c r="I39" s="37">
        <f>I$11*Loads!$B62*LAFs!I277*(1-Contrib!I122)/(24*Input!$F$60)*100</f>
        <v>1.3793548473781328E-2</v>
      </c>
      <c r="J39" s="37">
        <f>J$11*Loads!$B62*LAFs!J277*(1-Contrib!J122)/(24*Input!$F$60)*100</f>
        <v>3.23331038309628E-2</v>
      </c>
      <c r="K39" s="37">
        <f>K$11*Loads!$B62*LAFs!B277*(1-Contrib!K122)/(24*Input!$F$60)*100</f>
        <v>0.15595740703294486</v>
      </c>
      <c r="L39" s="37">
        <f>L$11*Loads!$B62*LAFs!C277*(1-Contrib!L122)/(24*Input!$F$60)*100</f>
        <v>0.35036499106313757</v>
      </c>
      <c r="M39" s="37">
        <f>M$11*Loads!$B62*LAFs!D277*(1-Contrib!M122)/(24*Input!$F$60)*100</f>
        <v>5.4035501459313809E-2</v>
      </c>
      <c r="N39" s="37">
        <f>N$11*Loads!$B62*LAFs!E277*(1-Contrib!N122)/(24*Input!$F$60)*100</f>
        <v>0.12059342257527979</v>
      </c>
      <c r="O39" s="37">
        <f>O$11*Loads!$B62*LAFs!F277*(1-Contrib!O122)/(24*Input!$F$60)*100</f>
        <v>0.11968750772179312</v>
      </c>
      <c r="P39" s="37">
        <f>P$11*Loads!$B62*LAFs!G277*(1-Contrib!P122)/(24*Input!$F$60)*100</f>
        <v>0</v>
      </c>
      <c r="Q39" s="37">
        <f>Q$11*Loads!$B62*LAFs!H277*(1-Contrib!Q122)/(24*Input!$F$60)*100</f>
        <v>0.46247403046304186</v>
      </c>
      <c r="R39" s="37">
        <f>R$11*Loads!$B62*LAFs!I277*(1-Contrib!R122)/(24*Input!$F$60)*100</f>
        <v>0.19261702550252491</v>
      </c>
      <c r="S39" s="37">
        <f>S$11*Loads!$B62*LAFs!J277*(1-Contrib!S122)/(24*Input!$F$60)*100</f>
        <v>0.45150863804352492</v>
      </c>
      <c r="T39" s="17"/>
    </row>
    <row r="40" spans="1:20" x14ac:dyDescent="0.25">
      <c r="A40" s="4" t="s">
        <v>233</v>
      </c>
      <c r="B40" s="37">
        <f>B$11*Loads!$B63*LAFs!B278*(1-Contrib!B123)/(24*Input!$F$60)*100</f>
        <v>0</v>
      </c>
      <c r="C40" s="37">
        <f>C$11*Loads!$B63*LAFs!C278*(1-Contrib!C123)/(24*Input!$F$60)*100</f>
        <v>0</v>
      </c>
      <c r="D40" s="37">
        <f>D$11*Loads!$B63*LAFs!D278*(1-Contrib!D123)/(24*Input!$F$60)*100</f>
        <v>0</v>
      </c>
      <c r="E40" s="37">
        <f>E$11*Loads!$B63*LAFs!E278*(1-Contrib!E123)/(24*Input!$F$60)*100</f>
        <v>0</v>
      </c>
      <c r="F40" s="37">
        <f>F$11*Loads!$B63*LAFs!F278*(1-Contrib!F123)/(24*Input!$F$60)*100</f>
        <v>0</v>
      </c>
      <c r="G40" s="37">
        <f>G$11*Loads!$B63*LAFs!G278*(1-Contrib!G123)/(24*Input!$F$60)*100</f>
        <v>0</v>
      </c>
      <c r="H40" s="37">
        <f>H$11*Loads!$B63*LAFs!H278*(1-Contrib!H123)/(24*Input!$F$60)*100</f>
        <v>0</v>
      </c>
      <c r="I40" s="37">
        <f>I$11*Loads!$B63*LAFs!I278*(1-Contrib!I123)/(24*Input!$F$60)*100</f>
        <v>0</v>
      </c>
      <c r="J40" s="37">
        <f>J$11*Loads!$B63*LAFs!J278*(1-Contrib!J123)/(24*Input!$F$60)*100</f>
        <v>0</v>
      </c>
      <c r="K40" s="37">
        <f>K$11*Loads!$B63*LAFs!B278*(1-Contrib!K123)/(24*Input!$F$60)*100</f>
        <v>0</v>
      </c>
      <c r="L40" s="37">
        <f>L$11*Loads!$B63*LAFs!C278*(1-Contrib!L123)/(24*Input!$F$60)*100</f>
        <v>0</v>
      </c>
      <c r="M40" s="37">
        <f>M$11*Loads!$B63*LAFs!D278*(1-Contrib!M123)/(24*Input!$F$60)*100</f>
        <v>0</v>
      </c>
      <c r="N40" s="37">
        <f>N$11*Loads!$B63*LAFs!E278*(1-Contrib!N123)/(24*Input!$F$60)*100</f>
        <v>0</v>
      </c>
      <c r="O40" s="37">
        <f>O$11*Loads!$B63*LAFs!F278*(1-Contrib!O123)/(24*Input!$F$60)*100</f>
        <v>0</v>
      </c>
      <c r="P40" s="37">
        <f>P$11*Loads!$B63*LAFs!G278*(1-Contrib!P123)/(24*Input!$F$60)*100</f>
        <v>0</v>
      </c>
      <c r="Q40" s="37">
        <f>Q$11*Loads!$B63*LAFs!H278*(1-Contrib!Q123)/(24*Input!$F$60)*100</f>
        <v>0</v>
      </c>
      <c r="R40" s="37">
        <f>R$11*Loads!$B63*LAFs!I278*(1-Contrib!R123)/(24*Input!$F$60)*100</f>
        <v>0</v>
      </c>
      <c r="S40" s="37">
        <f>S$11*Loads!$B63*LAFs!J278*(1-Contrib!S123)/(24*Input!$F$60)*100</f>
        <v>0</v>
      </c>
      <c r="T40" s="17"/>
    </row>
    <row r="41" spans="1:20" x14ac:dyDescent="0.25">
      <c r="A41" s="4" t="s">
        <v>234</v>
      </c>
      <c r="B41" s="37">
        <f>B$11*Loads!$B64*LAFs!B279*(1-Contrib!B124)/(24*Input!$F$60)*100</f>
        <v>0</v>
      </c>
      <c r="C41" s="37">
        <f>C$11*Loads!$B64*LAFs!C279*(1-Contrib!C124)/(24*Input!$F$60)*100</f>
        <v>0.30718199845456556</v>
      </c>
      <c r="D41" s="37">
        <f>D$11*Loads!$B64*LAFs!D279*(1-Contrib!D124)/(24*Input!$F$60)*100</f>
        <v>4.7375547640761372E-2</v>
      </c>
      <c r="E41" s="37">
        <f>E$11*Loads!$B64*LAFs!E279*(1-Contrib!E124)/(24*Input!$F$60)*100</f>
        <v>0.10573010857832771</v>
      </c>
      <c r="F41" s="37">
        <f>F$11*Loads!$B64*LAFs!F279*(1-Contrib!F124)/(24*Input!$F$60)*100</f>
        <v>1.9937811318101236E-2</v>
      </c>
      <c r="G41" s="37">
        <f>G$11*Loads!$B64*LAFs!G279*(1-Contrib!G124)/(24*Input!$F$60)*100</f>
        <v>0</v>
      </c>
      <c r="H41" s="37">
        <f>H$11*Loads!$B64*LAFs!H279*(1-Contrib!H124)/(24*Input!$F$60)*100</f>
        <v>7.7039952910766388E-2</v>
      </c>
      <c r="I41" s="37">
        <f>I$11*Loads!$B64*LAFs!I279*(1-Contrib!I124)/(24*Input!$F$60)*100</f>
        <v>8.4438349063787072E-3</v>
      </c>
      <c r="J41" s="37">
        <f>J$11*Loads!$B64*LAFs!J279*(1-Contrib!J124)/(24*Input!$F$60)*100</f>
        <v>1.979297722253243E-2</v>
      </c>
      <c r="K41" s="37">
        <f>K$11*Loads!$B64*LAFs!B279*(1-Contrib!K124)/(24*Input!$F$60)*100</f>
        <v>9.5470618015096265E-2</v>
      </c>
      <c r="L41" s="37">
        <f>L$11*Loads!$B64*LAFs!C279*(1-Contrib!L124)/(24*Input!$F$60)*100</f>
        <v>0.21447883023975553</v>
      </c>
      <c r="M41" s="37">
        <f>M$11*Loads!$B64*LAFs!D279*(1-Contrib!M124)/(24*Input!$F$60)*100</f>
        <v>3.307827962275986E-2</v>
      </c>
      <c r="N41" s="37">
        <f>N$11*Loads!$B64*LAFs!E279*(1-Contrib!N124)/(24*Input!$F$60)*100</f>
        <v>7.3822262121769941E-2</v>
      </c>
      <c r="O41" s="37">
        <f>O$11*Loads!$B64*LAFs!F279*(1-Contrib!O124)/(24*Input!$F$60)*100</f>
        <v>7.326769884339257E-2</v>
      </c>
      <c r="P41" s="37">
        <f>P$11*Loads!$B64*LAFs!G279*(1-Contrib!P124)/(24*Input!$F$60)*100</f>
        <v>0</v>
      </c>
      <c r="Q41" s="37">
        <f>Q$11*Loads!$B64*LAFs!H279*(1-Contrib!Q124)/(24*Input!$F$60)*100</f>
        <v>0.28310730695152003</v>
      </c>
      <c r="R41" s="37">
        <f>R$11*Loads!$B64*LAFs!I279*(1-Contrib!R124)/(24*Input!$F$60)*100</f>
        <v>0.11791210699643793</v>
      </c>
      <c r="S41" s="37">
        <f>S$11*Loads!$B64*LAFs!J279*(1-Contrib!S124)/(24*Input!$F$60)*100</f>
        <v>0.27639475119039358</v>
      </c>
      <c r="T41" s="17"/>
    </row>
    <row r="42" spans="1:20" x14ac:dyDescent="0.25">
      <c r="A42" s="4" t="s">
        <v>192</v>
      </c>
      <c r="B42" s="37">
        <f>B$11*Loads!$B65*LAFs!B280*(1-Contrib!B125)/(24*Input!$F$60)*100</f>
        <v>0</v>
      </c>
      <c r="C42" s="37">
        <f>C$11*Loads!$B65*LAFs!C280*(1-Contrib!C125)/(24*Input!$F$60)*100</f>
        <v>-0.14605208759970337</v>
      </c>
      <c r="D42" s="37">
        <f>D$11*Loads!$B65*LAFs!D280*(1-Contrib!D125)/(24*Input!$F$60)*100</f>
        <v>-2.2525075261322046E-2</v>
      </c>
      <c r="E42" s="37">
        <f>E$11*Loads!$B65*LAFs!E280*(1-Contrib!E125)/(24*Input!$F$60)*100</f>
        <v>-5.0270208403153112E-2</v>
      </c>
      <c r="F42" s="37">
        <f>F$11*Loads!$B65*LAFs!F280*(1-Contrib!F125)/(24*Input!$F$60)*100</f>
        <v>-9.4795885821036454E-3</v>
      </c>
      <c r="G42" s="37">
        <f>G$11*Loads!$B65*LAFs!G280*(1-Contrib!G125)/(24*Input!$F$60)*100</f>
        <v>0</v>
      </c>
      <c r="H42" s="37">
        <f>H$11*Loads!$B65*LAFs!H280*(1-Contrib!H125)/(24*Input!$F$60)*100</f>
        <v>-3.6629249135067751E-2</v>
      </c>
      <c r="I42" s="37">
        <f>I$11*Loads!$B65*LAFs!I280*(1-Contrib!I125)/(24*Input!$F$60)*100</f>
        <v>-4.0146874544351304E-3</v>
      </c>
      <c r="J42" s="37">
        <f>J$11*Loads!$B65*LAFs!J280*(1-Contrib!J125)/(24*Input!$F$60)*100</f>
        <v>0</v>
      </c>
      <c r="K42" s="37">
        <f>K$11*Loads!$B65*LAFs!B280*(1-Contrib!K125)/(24*Input!$F$60)*100</f>
        <v>-4.5392253242994098E-2</v>
      </c>
      <c r="L42" s="37">
        <f>L$11*Loads!$B65*LAFs!C280*(1-Contrib!L125)/(24*Input!$F$60)*100</f>
        <v>-0.10197564004419317</v>
      </c>
      <c r="M42" s="37">
        <f>M$11*Loads!$B65*LAFs!D280*(1-Contrib!M125)/(24*Input!$F$60)*100</f>
        <v>-1.572732717872909E-2</v>
      </c>
      <c r="N42" s="37">
        <f>N$11*Loads!$B65*LAFs!E280*(1-Contrib!N125)/(24*Input!$F$60)*100</f>
        <v>-3.5099372842356605E-2</v>
      </c>
      <c r="O42" s="37">
        <f>O$11*Loads!$B65*LAFs!F280*(1-Contrib!O125)/(24*Input!$F$60)*100</f>
        <v>-3.4835701387256252E-2</v>
      </c>
      <c r="P42" s="37">
        <f>P$11*Loads!$B65*LAFs!G280*(1-Contrib!P125)/(24*Input!$F$60)*100</f>
        <v>0</v>
      </c>
      <c r="Q42" s="37">
        <f>Q$11*Loads!$B65*LAFs!H280*(1-Contrib!Q125)/(24*Input!$F$60)*100</f>
        <v>-0.13460558692574312</v>
      </c>
      <c r="R42" s="37">
        <f>R$11*Loads!$B65*LAFs!I280*(1-Contrib!R125)/(24*Input!$F$60)*100</f>
        <v>-5.6062234983657443E-2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193</v>
      </c>
      <c r="B43" s="37">
        <f>B$11*Loads!$B66*LAFs!B281*(1-Contrib!B126)/(24*Input!$F$60)*100</f>
        <v>0</v>
      </c>
      <c r="C43" s="37">
        <f>C$11*Loads!$B66*LAFs!C281*(1-Contrib!C126)/(24*Input!$F$60)*100</f>
        <v>-0.14426425601891604</v>
      </c>
      <c r="D43" s="37">
        <f>D$11*Loads!$B66*LAFs!D281*(1-Contrib!D126)/(24*Input!$F$60)*100</f>
        <v>-2.2249344584865178E-2</v>
      </c>
      <c r="E43" s="37">
        <f>E$11*Loads!$B66*LAFs!E281*(1-Contrib!E126)/(24*Input!$F$60)*100</f>
        <v>-4.9654848036636182E-2</v>
      </c>
      <c r="F43" s="37">
        <f>F$11*Loads!$B66*LAFs!F281*(1-Contrib!F126)/(24*Input!$F$60)*100</f>
        <v>-9.3635484205524689E-3</v>
      </c>
      <c r="G43" s="37">
        <f>G$11*Loads!$B66*LAFs!G281*(1-Contrib!G126)/(24*Input!$F$60)*100</f>
        <v>0</v>
      </c>
      <c r="H43" s="37">
        <f>H$11*Loads!$B66*LAFs!H281*(1-Contrib!H126)/(24*Input!$F$60)*100</f>
        <v>-3.6180868495937914E-2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-4.4836604191996983E-2</v>
      </c>
      <c r="L43" s="37">
        <f>L$11*Loads!$B66*LAFs!C281*(1-Contrib!L126)/(24*Input!$F$60)*100</f>
        <v>-0.10072735066512112</v>
      </c>
      <c r="M43" s="37">
        <f>M$11*Loads!$B66*LAFs!D281*(1-Contrib!M126)/(24*Input!$F$60)*100</f>
        <v>-1.5534808107803028E-2</v>
      </c>
      <c r="N43" s="37">
        <f>N$11*Loads!$B66*LAFs!E281*(1-Contrib!N126)/(24*Input!$F$60)*100</f>
        <v>-3.4669719502478415E-2</v>
      </c>
      <c r="O43" s="37">
        <f>O$11*Loads!$B66*LAFs!F281*(1-Contrib!O126)/(24*Input!$F$60)*100</f>
        <v>-3.4409275664060081E-2</v>
      </c>
      <c r="P43" s="37">
        <f>P$11*Loads!$B66*LAFs!G281*(1-Contrib!P126)/(24*Input!$F$60)*100</f>
        <v>0</v>
      </c>
      <c r="Q43" s="37">
        <f>Q$11*Loads!$B66*LAFs!H281*(1-Contrib!Q126)/(24*Input!$F$60)*100</f>
        <v>-0.13295787258484421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194</v>
      </c>
      <c r="B44" s="37">
        <f>B$11*Loads!$B67*LAFs!B282*(1-Contrib!B127)/(24*Input!$F$60)*100</f>
        <v>0</v>
      </c>
      <c r="C44" s="37">
        <f>C$11*Loads!$B67*LAFs!C282*(1-Contrib!C127)/(24*Input!$F$60)*100</f>
        <v>-0.14605208759970337</v>
      </c>
      <c r="D44" s="37">
        <f>D$11*Loads!$B67*LAFs!D282*(1-Contrib!D127)/(24*Input!$F$60)*100</f>
        <v>-2.2525075261322046E-2</v>
      </c>
      <c r="E44" s="37">
        <f>E$11*Loads!$B67*LAFs!E282*(1-Contrib!E127)/(24*Input!$F$60)*100</f>
        <v>-5.0270208403153112E-2</v>
      </c>
      <c r="F44" s="37">
        <f>F$11*Loads!$B67*LAFs!F282*(1-Contrib!F127)/(24*Input!$F$60)*100</f>
        <v>-9.4795885821036454E-3</v>
      </c>
      <c r="G44" s="37">
        <f>G$11*Loads!$B67*LAFs!G282*(1-Contrib!G127)/(24*Input!$F$60)*100</f>
        <v>0</v>
      </c>
      <c r="H44" s="37">
        <f>H$11*Loads!$B67*LAFs!H282*(1-Contrib!H127)/(24*Input!$F$60)*100</f>
        <v>-3.6629249135067751E-2</v>
      </c>
      <c r="I44" s="37">
        <f>I$11*Loads!$B67*LAFs!I282*(1-Contrib!I127)/(24*Input!$F$60)*100</f>
        <v>-4.0146874544351304E-3</v>
      </c>
      <c r="J44" s="37">
        <f>J$11*Loads!$B67*LAFs!J282*(1-Contrib!J127)/(24*Input!$F$60)*100</f>
        <v>0</v>
      </c>
      <c r="K44" s="37">
        <f>K$11*Loads!$B67*LAFs!B282*(1-Contrib!K127)/(24*Input!$F$60)*100</f>
        <v>-4.5392253242994098E-2</v>
      </c>
      <c r="L44" s="37">
        <f>L$11*Loads!$B67*LAFs!C282*(1-Contrib!L127)/(24*Input!$F$60)*100</f>
        <v>-0.10197564004419317</v>
      </c>
      <c r="M44" s="37">
        <f>M$11*Loads!$B67*LAFs!D282*(1-Contrib!M127)/(24*Input!$F$60)*100</f>
        <v>-1.572732717872909E-2</v>
      </c>
      <c r="N44" s="37">
        <f>N$11*Loads!$B67*LAFs!E282*(1-Contrib!N127)/(24*Input!$F$60)*100</f>
        <v>-3.5099372842356605E-2</v>
      </c>
      <c r="O44" s="37">
        <f>O$11*Loads!$B67*LAFs!F282*(1-Contrib!O127)/(24*Input!$F$60)*100</f>
        <v>-3.4835701387256252E-2</v>
      </c>
      <c r="P44" s="37">
        <f>P$11*Loads!$B67*LAFs!G282*(1-Contrib!P127)/(24*Input!$F$60)*100</f>
        <v>0</v>
      </c>
      <c r="Q44" s="37">
        <f>Q$11*Loads!$B67*LAFs!H282*(1-Contrib!Q127)/(24*Input!$F$60)*100</f>
        <v>-0.13460558692574312</v>
      </c>
      <c r="R44" s="37">
        <f>R$11*Loads!$B67*LAFs!I282*(1-Contrib!R127)/(24*Input!$F$60)*100</f>
        <v>-5.6062234983657443E-2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195</v>
      </c>
      <c r="B45" s="37">
        <f>B$11*Loads!$B68*LAFs!B283*(1-Contrib!B128)/(24*Input!$F$60)*100</f>
        <v>0</v>
      </c>
      <c r="C45" s="37">
        <f>C$11*Loads!$B68*LAFs!C283*(1-Contrib!C128)/(24*Input!$F$60)*100</f>
        <v>-0.14605208759970337</v>
      </c>
      <c r="D45" s="37">
        <f>D$11*Loads!$B68*LAFs!D283*(1-Contrib!D128)/(24*Input!$F$60)*100</f>
        <v>-2.2525075261322046E-2</v>
      </c>
      <c r="E45" s="37">
        <f>E$11*Loads!$B68*LAFs!E283*(1-Contrib!E128)/(24*Input!$F$60)*100</f>
        <v>-5.0270208403153112E-2</v>
      </c>
      <c r="F45" s="37">
        <f>F$11*Loads!$B68*LAFs!F283*(1-Contrib!F128)/(24*Input!$F$60)*100</f>
        <v>-9.4795885821036454E-3</v>
      </c>
      <c r="G45" s="37">
        <f>G$11*Loads!$B68*LAFs!G283*(1-Contrib!G128)/(24*Input!$F$60)*100</f>
        <v>0</v>
      </c>
      <c r="H45" s="37">
        <f>H$11*Loads!$B68*LAFs!H283*(1-Contrib!H128)/(24*Input!$F$60)*100</f>
        <v>-3.6629249135067751E-2</v>
      </c>
      <c r="I45" s="37">
        <f>I$11*Loads!$B68*LAFs!I283*(1-Contrib!I128)/(24*Input!$F$60)*100</f>
        <v>-4.0146874544351304E-3</v>
      </c>
      <c r="J45" s="37">
        <f>J$11*Loads!$B68*LAFs!J283*(1-Contrib!J128)/(24*Input!$F$60)*100</f>
        <v>0</v>
      </c>
      <c r="K45" s="37">
        <f>K$11*Loads!$B68*LAFs!B283*(1-Contrib!K128)/(24*Input!$F$60)*100</f>
        <v>-4.5392253242994098E-2</v>
      </c>
      <c r="L45" s="37">
        <f>L$11*Loads!$B68*LAFs!C283*(1-Contrib!L128)/(24*Input!$F$60)*100</f>
        <v>-0.10197564004419317</v>
      </c>
      <c r="M45" s="37">
        <f>M$11*Loads!$B68*LAFs!D283*(1-Contrib!M128)/(24*Input!$F$60)*100</f>
        <v>-1.572732717872909E-2</v>
      </c>
      <c r="N45" s="37">
        <f>N$11*Loads!$B68*LAFs!E283*(1-Contrib!N128)/(24*Input!$F$60)*100</f>
        <v>-3.5099372842356605E-2</v>
      </c>
      <c r="O45" s="37">
        <f>O$11*Loads!$B68*LAFs!F283*(1-Contrib!O128)/(24*Input!$F$60)*100</f>
        <v>-3.4835701387256252E-2</v>
      </c>
      <c r="P45" s="37">
        <f>P$11*Loads!$B68*LAFs!G283*(1-Contrib!P128)/(24*Input!$F$60)*100</f>
        <v>0</v>
      </c>
      <c r="Q45" s="37">
        <f>Q$11*Loads!$B68*LAFs!H283*(1-Contrib!Q128)/(24*Input!$F$60)*100</f>
        <v>-0.13460558692574312</v>
      </c>
      <c r="R45" s="37">
        <f>R$11*Loads!$B68*LAFs!I283*(1-Contrib!R128)/(24*Input!$F$60)*100</f>
        <v>-5.6062234983657443E-2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196</v>
      </c>
      <c r="B46" s="37">
        <f>B$11*Loads!$B69*LAFs!B284*(1-Contrib!B129)/(24*Input!$F$60)*100</f>
        <v>0</v>
      </c>
      <c r="C46" s="37">
        <f>C$11*Loads!$B69*LAFs!C284*(1-Contrib!C129)/(24*Input!$F$60)*100</f>
        <v>-0.14605208759970337</v>
      </c>
      <c r="D46" s="37">
        <f>D$11*Loads!$B69*LAFs!D284*(1-Contrib!D129)/(24*Input!$F$60)*100</f>
        <v>-2.2525075261322046E-2</v>
      </c>
      <c r="E46" s="37">
        <f>E$11*Loads!$B69*LAFs!E284*(1-Contrib!E129)/(24*Input!$F$60)*100</f>
        <v>-5.0270208403153112E-2</v>
      </c>
      <c r="F46" s="37">
        <f>F$11*Loads!$B69*LAFs!F284*(1-Contrib!F129)/(24*Input!$F$60)*100</f>
        <v>-9.4795885821036454E-3</v>
      </c>
      <c r="G46" s="37">
        <f>G$11*Loads!$B69*LAFs!G284*(1-Contrib!G129)/(24*Input!$F$60)*100</f>
        <v>0</v>
      </c>
      <c r="H46" s="37">
        <f>H$11*Loads!$B69*LAFs!H284*(1-Contrib!H129)/(24*Input!$F$60)*100</f>
        <v>-3.6629249135067751E-2</v>
      </c>
      <c r="I46" s="37">
        <f>I$11*Loads!$B69*LAFs!I284*(1-Contrib!I129)/(24*Input!$F$60)*100</f>
        <v>-4.0146874544351304E-3</v>
      </c>
      <c r="J46" s="37">
        <f>J$11*Loads!$B69*LAFs!J284*(1-Contrib!J129)/(24*Input!$F$60)*100</f>
        <v>0</v>
      </c>
      <c r="K46" s="37">
        <f>K$11*Loads!$B69*LAFs!B284*(1-Contrib!K129)/(24*Input!$F$60)*100</f>
        <v>-4.5392253242994098E-2</v>
      </c>
      <c r="L46" s="37">
        <f>L$11*Loads!$B69*LAFs!C284*(1-Contrib!L129)/(24*Input!$F$60)*100</f>
        <v>-0.10197564004419317</v>
      </c>
      <c r="M46" s="37">
        <f>M$11*Loads!$B69*LAFs!D284*(1-Contrib!M129)/(24*Input!$F$60)*100</f>
        <v>-1.572732717872909E-2</v>
      </c>
      <c r="N46" s="37">
        <f>N$11*Loads!$B69*LAFs!E284*(1-Contrib!N129)/(24*Input!$F$60)*100</f>
        <v>-3.5099372842356605E-2</v>
      </c>
      <c r="O46" s="37">
        <f>O$11*Loads!$B69*LAFs!F284*(1-Contrib!O129)/(24*Input!$F$60)*100</f>
        <v>-3.4835701387256252E-2</v>
      </c>
      <c r="P46" s="37">
        <f>P$11*Loads!$B69*LAFs!G284*(1-Contrib!P129)/(24*Input!$F$60)*100</f>
        <v>0</v>
      </c>
      <c r="Q46" s="37">
        <f>Q$11*Loads!$B69*LAFs!H284*(1-Contrib!Q129)/(24*Input!$F$60)*100</f>
        <v>-0.13460558692574312</v>
      </c>
      <c r="R46" s="37">
        <f>R$11*Loads!$B69*LAFs!I284*(1-Contrib!R129)/(24*Input!$F$60)*100</f>
        <v>-5.6062234983657443E-2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197</v>
      </c>
      <c r="B47" s="37">
        <f>B$11*Loads!$B70*LAFs!B285*(1-Contrib!B130)/(24*Input!$F$60)*100</f>
        <v>0</v>
      </c>
      <c r="C47" s="37">
        <f>C$11*Loads!$B70*LAFs!C285*(1-Contrib!C130)/(24*Input!$F$60)*100</f>
        <v>-0.14605208759970337</v>
      </c>
      <c r="D47" s="37">
        <f>D$11*Loads!$B70*LAFs!D285*(1-Contrib!D130)/(24*Input!$F$60)*100</f>
        <v>-2.2525075261322046E-2</v>
      </c>
      <c r="E47" s="37">
        <f>E$11*Loads!$B70*LAFs!E285*(1-Contrib!E130)/(24*Input!$F$60)*100</f>
        <v>-5.0270208403153112E-2</v>
      </c>
      <c r="F47" s="37">
        <f>F$11*Loads!$B70*LAFs!F285*(1-Contrib!F130)/(24*Input!$F$60)*100</f>
        <v>-9.4795885821036454E-3</v>
      </c>
      <c r="G47" s="37">
        <f>G$11*Loads!$B70*LAFs!G285*(1-Contrib!G130)/(24*Input!$F$60)*100</f>
        <v>0</v>
      </c>
      <c r="H47" s="37">
        <f>H$11*Loads!$B70*LAFs!H285*(1-Contrib!H130)/(24*Input!$F$60)*100</f>
        <v>-3.6629249135067751E-2</v>
      </c>
      <c r="I47" s="37">
        <f>I$11*Loads!$B70*LAFs!I285*(1-Contrib!I130)/(24*Input!$F$60)*100</f>
        <v>-4.0146874544351304E-3</v>
      </c>
      <c r="J47" s="37">
        <f>J$11*Loads!$B70*LAFs!J285*(1-Contrib!J130)/(24*Input!$F$60)*100</f>
        <v>0</v>
      </c>
      <c r="K47" s="37">
        <f>K$11*Loads!$B70*LAFs!B285*(1-Contrib!K130)/(24*Input!$F$60)*100</f>
        <v>-4.5392253242994098E-2</v>
      </c>
      <c r="L47" s="37">
        <f>L$11*Loads!$B70*LAFs!C285*(1-Contrib!L130)/(24*Input!$F$60)*100</f>
        <v>-0.10197564004419317</v>
      </c>
      <c r="M47" s="37">
        <f>M$11*Loads!$B70*LAFs!D285*(1-Contrib!M130)/(24*Input!$F$60)*100</f>
        <v>-1.572732717872909E-2</v>
      </c>
      <c r="N47" s="37">
        <f>N$11*Loads!$B70*LAFs!E285*(1-Contrib!N130)/(24*Input!$F$60)*100</f>
        <v>-3.5099372842356605E-2</v>
      </c>
      <c r="O47" s="37">
        <f>O$11*Loads!$B70*LAFs!F285*(1-Contrib!O130)/(24*Input!$F$60)*100</f>
        <v>-3.4835701387256252E-2</v>
      </c>
      <c r="P47" s="37">
        <f>P$11*Loads!$B70*LAFs!G285*(1-Contrib!P130)/(24*Input!$F$60)*100</f>
        <v>0</v>
      </c>
      <c r="Q47" s="37">
        <f>Q$11*Loads!$B70*LAFs!H285*(1-Contrib!Q130)/(24*Input!$F$60)*100</f>
        <v>-0.13460558692574312</v>
      </c>
      <c r="R47" s="37">
        <f>R$11*Loads!$B70*LAFs!I285*(1-Contrib!R130)/(24*Input!$F$60)*100</f>
        <v>-5.6062234983657443E-2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198</v>
      </c>
      <c r="B48" s="37">
        <f>B$11*Loads!$B71*LAFs!B286*(1-Contrib!B131)/(24*Input!$F$60)*100</f>
        <v>0</v>
      </c>
      <c r="C48" s="37">
        <f>C$11*Loads!$B71*LAFs!C286*(1-Contrib!C131)/(24*Input!$F$60)*100</f>
        <v>-0.14426425601891604</v>
      </c>
      <c r="D48" s="37">
        <f>D$11*Loads!$B71*LAFs!D286*(1-Contrib!D131)/(24*Input!$F$60)*100</f>
        <v>-2.2249344584865178E-2</v>
      </c>
      <c r="E48" s="37">
        <f>E$11*Loads!$B71*LAFs!E286*(1-Contrib!E131)/(24*Input!$F$60)*100</f>
        <v>-4.9654848036636182E-2</v>
      </c>
      <c r="F48" s="37">
        <f>F$11*Loads!$B71*LAFs!F286*(1-Contrib!F131)/(24*Input!$F$60)*100</f>
        <v>-9.3635484205524689E-3</v>
      </c>
      <c r="G48" s="37">
        <f>G$11*Loads!$B71*LAFs!G286*(1-Contrib!G131)/(24*Input!$F$60)*100</f>
        <v>0</v>
      </c>
      <c r="H48" s="37">
        <f>H$11*Loads!$B71*LAFs!H286*(1-Contrib!H131)/(24*Input!$F$60)*100</f>
        <v>-3.6180868495937914E-2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-4.4836604191996983E-2</v>
      </c>
      <c r="L48" s="37">
        <f>L$11*Loads!$B71*LAFs!C286*(1-Contrib!L131)/(24*Input!$F$60)*100</f>
        <v>-0.10072735066512112</v>
      </c>
      <c r="M48" s="37">
        <f>M$11*Loads!$B71*LAFs!D286*(1-Contrib!M131)/(24*Input!$F$60)*100</f>
        <v>-1.5534808107803028E-2</v>
      </c>
      <c r="N48" s="37">
        <f>N$11*Loads!$B71*LAFs!E286*(1-Contrib!N131)/(24*Input!$F$60)*100</f>
        <v>-3.4669719502478415E-2</v>
      </c>
      <c r="O48" s="37">
        <f>O$11*Loads!$B71*LAFs!F286*(1-Contrib!O131)/(24*Input!$F$60)*100</f>
        <v>-3.4409275664060081E-2</v>
      </c>
      <c r="P48" s="37">
        <f>P$11*Loads!$B71*LAFs!G286*(1-Contrib!P131)/(24*Input!$F$60)*100</f>
        <v>0</v>
      </c>
      <c r="Q48" s="37">
        <f>Q$11*Loads!$B71*LAFs!H286*(1-Contrib!Q131)/(24*Input!$F$60)*100</f>
        <v>-0.13295787258484421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199</v>
      </c>
      <c r="B49" s="37">
        <f>B$11*Loads!$B72*LAFs!B287*(1-Contrib!B132)/(24*Input!$F$60)*100</f>
        <v>0</v>
      </c>
      <c r="C49" s="37">
        <f>C$11*Loads!$B72*LAFs!C287*(1-Contrib!C132)/(24*Input!$F$60)*100</f>
        <v>-0.14426425601891604</v>
      </c>
      <c r="D49" s="37">
        <f>D$11*Loads!$B72*LAFs!D287*(1-Contrib!D132)/(24*Input!$F$60)*100</f>
        <v>-2.2249344584865178E-2</v>
      </c>
      <c r="E49" s="37">
        <f>E$11*Loads!$B72*LAFs!E287*(1-Contrib!E132)/(24*Input!$F$60)*100</f>
        <v>-4.9654848036636182E-2</v>
      </c>
      <c r="F49" s="37">
        <f>F$11*Loads!$B72*LAFs!F287*(1-Contrib!F132)/(24*Input!$F$60)*100</f>
        <v>-9.3635484205524689E-3</v>
      </c>
      <c r="G49" s="37">
        <f>G$11*Loads!$B72*LAFs!G287*(1-Contrib!G132)/(24*Input!$F$60)*100</f>
        <v>0</v>
      </c>
      <c r="H49" s="37">
        <f>H$11*Loads!$B72*LAFs!H287*(1-Contrib!H132)/(24*Input!$F$60)*100</f>
        <v>-3.6180868495937914E-2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-4.4836604191996983E-2</v>
      </c>
      <c r="L49" s="37">
        <f>L$11*Loads!$B72*LAFs!C287*(1-Contrib!L132)/(24*Input!$F$60)*100</f>
        <v>-0.10072735066512112</v>
      </c>
      <c r="M49" s="37">
        <f>M$11*Loads!$B72*LAFs!D287*(1-Contrib!M132)/(24*Input!$F$60)*100</f>
        <v>-1.5534808107803028E-2</v>
      </c>
      <c r="N49" s="37">
        <f>N$11*Loads!$B72*LAFs!E287*(1-Contrib!N132)/(24*Input!$F$60)*100</f>
        <v>-3.4669719502478415E-2</v>
      </c>
      <c r="O49" s="37">
        <f>O$11*Loads!$B72*LAFs!F287*(1-Contrib!O132)/(24*Input!$F$60)*100</f>
        <v>-3.4409275664060081E-2</v>
      </c>
      <c r="P49" s="37">
        <f>P$11*Loads!$B72*LAFs!G287*(1-Contrib!P132)/(24*Input!$F$60)*100</f>
        <v>0</v>
      </c>
      <c r="Q49" s="37">
        <f>Q$11*Loads!$B72*LAFs!H287*(1-Contrib!Q132)/(24*Input!$F$60)*100</f>
        <v>-0.13295787258484421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200</v>
      </c>
      <c r="B50" s="37">
        <f>B$11*Loads!$B73*LAFs!B288*(1-Contrib!B133)/(24*Input!$F$60)*100</f>
        <v>0</v>
      </c>
      <c r="C50" s="37">
        <f>C$11*Loads!$B73*LAFs!C288*(1-Contrib!C133)/(24*Input!$F$60)*100</f>
        <v>-0.14426425601891604</v>
      </c>
      <c r="D50" s="37">
        <f>D$11*Loads!$B73*LAFs!D288*(1-Contrib!D133)/(24*Input!$F$60)*100</f>
        <v>-2.2249344584865178E-2</v>
      </c>
      <c r="E50" s="37">
        <f>E$11*Loads!$B73*LAFs!E288*(1-Contrib!E133)/(24*Input!$F$60)*100</f>
        <v>-4.9654848036636182E-2</v>
      </c>
      <c r="F50" s="37">
        <f>F$11*Loads!$B73*LAFs!F288*(1-Contrib!F133)/(24*Input!$F$60)*100</f>
        <v>-9.3635484205524689E-3</v>
      </c>
      <c r="G50" s="37">
        <f>G$11*Loads!$B73*LAFs!G288*(1-Contrib!G133)/(24*Input!$F$60)*100</f>
        <v>0</v>
      </c>
      <c r="H50" s="37">
        <f>H$11*Loads!$B73*LAFs!H288*(1-Contrib!H133)/(24*Input!$F$60)*100</f>
        <v>-3.6180868495937914E-2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-4.4836604191996983E-2</v>
      </c>
      <c r="L50" s="37">
        <f>L$11*Loads!$B73*LAFs!C288*(1-Contrib!L133)/(24*Input!$F$60)*100</f>
        <v>-0.10072735066512112</v>
      </c>
      <c r="M50" s="37">
        <f>M$11*Loads!$B73*LAFs!D288*(1-Contrib!M133)/(24*Input!$F$60)*100</f>
        <v>-1.5534808107803028E-2</v>
      </c>
      <c r="N50" s="37">
        <f>N$11*Loads!$B73*LAFs!E288*(1-Contrib!N133)/(24*Input!$F$60)*100</f>
        <v>-3.4669719502478415E-2</v>
      </c>
      <c r="O50" s="37">
        <f>O$11*Loads!$B73*LAFs!F288*(1-Contrib!O133)/(24*Input!$F$60)*100</f>
        <v>-3.4409275664060081E-2</v>
      </c>
      <c r="P50" s="37">
        <f>P$11*Loads!$B73*LAFs!G288*(1-Contrib!P133)/(24*Input!$F$60)*100</f>
        <v>0</v>
      </c>
      <c r="Q50" s="37">
        <f>Q$11*Loads!$B73*LAFs!H288*(1-Contrib!Q133)/(24*Input!$F$60)*100</f>
        <v>-0.13295787258484421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201</v>
      </c>
      <c r="B51" s="37">
        <f>B$11*Loads!$B74*LAFs!B289*(1-Contrib!B134)/(24*Input!$F$60)*100</f>
        <v>0</v>
      </c>
      <c r="C51" s="37">
        <f>C$11*Loads!$B74*LAFs!C289*(1-Contrib!C134)/(24*Input!$F$60)*100</f>
        <v>-0.14426425601891604</v>
      </c>
      <c r="D51" s="37">
        <f>D$11*Loads!$B74*LAFs!D289*(1-Contrib!D134)/(24*Input!$F$60)*100</f>
        <v>-2.2249344584865178E-2</v>
      </c>
      <c r="E51" s="37">
        <f>E$11*Loads!$B74*LAFs!E289*(1-Contrib!E134)/(24*Input!$F$60)*100</f>
        <v>-4.9654848036636182E-2</v>
      </c>
      <c r="F51" s="37">
        <f>F$11*Loads!$B74*LAFs!F289*(1-Contrib!F134)/(24*Input!$F$60)*100</f>
        <v>-9.3635484205524689E-3</v>
      </c>
      <c r="G51" s="37">
        <f>G$11*Loads!$B74*LAFs!G289*(1-Contrib!G134)/(24*Input!$F$60)*100</f>
        <v>0</v>
      </c>
      <c r="H51" s="37">
        <f>H$11*Loads!$B74*LAFs!H289*(1-Contrib!H134)/(24*Input!$F$60)*100</f>
        <v>-3.6180868495937914E-2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-4.4836604191996983E-2</v>
      </c>
      <c r="L51" s="37">
        <f>L$11*Loads!$B74*LAFs!C289*(1-Contrib!L134)/(24*Input!$F$60)*100</f>
        <v>-0.10072735066512112</v>
      </c>
      <c r="M51" s="37">
        <f>M$11*Loads!$B74*LAFs!D289*(1-Contrib!M134)/(24*Input!$F$60)*100</f>
        <v>-1.5534808107803028E-2</v>
      </c>
      <c r="N51" s="37">
        <f>N$11*Loads!$B74*LAFs!E289*(1-Contrib!N134)/(24*Input!$F$60)*100</f>
        <v>-3.4669719502478415E-2</v>
      </c>
      <c r="O51" s="37">
        <f>O$11*Loads!$B74*LAFs!F289*(1-Contrib!O134)/(24*Input!$F$60)*100</f>
        <v>-3.4409275664060081E-2</v>
      </c>
      <c r="P51" s="37">
        <f>P$11*Loads!$B74*LAFs!G289*(1-Contrib!P134)/(24*Input!$F$60)*100</f>
        <v>0</v>
      </c>
      <c r="Q51" s="37">
        <f>Q$11*Loads!$B74*LAFs!H289*(1-Contrib!Q134)/(24*Input!$F$60)*100</f>
        <v>-0.13295787258484421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209</v>
      </c>
      <c r="B52" s="37">
        <f>B$11*Loads!$B75*LAFs!B290*(1-Contrib!B135)/(24*Input!$F$60)*100</f>
        <v>0</v>
      </c>
      <c r="C52" s="37">
        <f>C$11*Loads!$B75*LAFs!C290*(1-Contrib!C135)/(24*Input!$F$60)*100</f>
        <v>-0.14275147545055752</v>
      </c>
      <c r="D52" s="37">
        <f>D$11*Loads!$B75*LAFs!D290*(1-Contrib!D135)/(24*Input!$F$60)*100</f>
        <v>-7.2652912241179387E-3</v>
      </c>
      <c r="E52" s="37">
        <f>E$11*Loads!$B75*LAFs!E290*(1-Contrib!E135)/(24*Input!$F$60)*100</f>
        <v>-1.6214272303593284E-2</v>
      </c>
      <c r="F52" s="37">
        <f>F$11*Loads!$B75*LAFs!F290*(1-Contrib!F135)/(24*Input!$F$60)*100</f>
        <v>0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-4.4366439610384056E-2</v>
      </c>
      <c r="L52" s="37">
        <f>L$11*Loads!$B75*LAFs!C290*(1-Contrib!L135)/(24*Input!$F$60)*100</f>
        <v>-9.967110580590631E-2</v>
      </c>
      <c r="M52" s="37">
        <f>M$11*Loads!$B75*LAFs!D290*(1-Contrib!M135)/(24*Input!$F$60)*100</f>
        <v>-1.5371907355480975E-2</v>
      </c>
      <c r="N52" s="37">
        <f>N$11*Loads!$B75*LAFs!E290*(1-Contrib!N135)/(24*Input!$F$60)*100</f>
        <v>-3.4306166676427649E-2</v>
      </c>
      <c r="O52" s="37">
        <f>O$11*Loads!$B75*LAFs!F290*(1-Contrib!O135)/(24*Input!$F$60)*100</f>
        <v>-3.4048453898278715E-2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210</v>
      </c>
      <c r="B53" s="37">
        <f>B$11*Loads!$B76*LAFs!B291*(1-Contrib!B136)/(24*Input!$F$60)*100</f>
        <v>0</v>
      </c>
      <c r="C53" s="37">
        <f>C$11*Loads!$B76*LAFs!C291*(1-Contrib!C136)/(24*Input!$F$60)*100</f>
        <v>-0.14275147545055752</v>
      </c>
      <c r="D53" s="37">
        <f>D$11*Loads!$B76*LAFs!D291*(1-Contrib!D136)/(24*Input!$F$60)*100</f>
        <v>-7.2652912241179387E-3</v>
      </c>
      <c r="E53" s="37">
        <f>E$11*Loads!$B76*LAFs!E291*(1-Contrib!E136)/(24*Input!$F$60)*100</f>
        <v>-1.6214272303593284E-2</v>
      </c>
      <c r="F53" s="37">
        <f>F$11*Loads!$B76*LAFs!F291*(1-Contrib!F136)/(24*Input!$F$60)*100</f>
        <v>0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-4.4366439610384056E-2</v>
      </c>
      <c r="L53" s="37">
        <f>L$11*Loads!$B76*LAFs!C291*(1-Contrib!L136)/(24*Input!$F$60)*100</f>
        <v>-9.967110580590631E-2</v>
      </c>
      <c r="M53" s="37">
        <f>M$11*Loads!$B76*LAFs!D291*(1-Contrib!M136)/(24*Input!$F$60)*100</f>
        <v>-1.5371907355480975E-2</v>
      </c>
      <c r="N53" s="37">
        <f>N$11*Loads!$B76*LAFs!E291*(1-Contrib!N136)/(24*Input!$F$60)*100</f>
        <v>-3.4306166676427649E-2</v>
      </c>
      <c r="O53" s="37">
        <f>O$11*Loads!$B76*LAFs!F291*(1-Contrib!O136)/(24*Input!$F$60)*100</f>
        <v>-3.4048453898278715E-2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211</v>
      </c>
      <c r="B54" s="37">
        <f>B$11*Loads!$B77*LAFs!B292*(1-Contrib!B137)/(24*Input!$F$60)*100</f>
        <v>0</v>
      </c>
      <c r="C54" s="37">
        <f>C$11*Loads!$B77*LAFs!C292*(1-Contrib!C137)/(24*Input!$F$60)*100</f>
        <v>-0.14275147545055752</v>
      </c>
      <c r="D54" s="37">
        <f>D$11*Loads!$B77*LAFs!D292*(1-Contrib!D137)/(24*Input!$F$60)*100</f>
        <v>-7.2652912241179387E-3</v>
      </c>
      <c r="E54" s="37">
        <f>E$11*Loads!$B77*LAFs!E292*(1-Contrib!E137)/(24*Input!$F$60)*100</f>
        <v>-1.6214272303593284E-2</v>
      </c>
      <c r="F54" s="37">
        <f>F$11*Loads!$B77*LAFs!F292*(1-Contrib!F137)/(24*Input!$F$60)*100</f>
        <v>0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-4.4366439610384056E-2</v>
      </c>
      <c r="L54" s="37">
        <f>L$11*Loads!$B77*LAFs!C292*(1-Contrib!L137)/(24*Input!$F$60)*100</f>
        <v>-9.967110580590631E-2</v>
      </c>
      <c r="M54" s="37">
        <f>M$11*Loads!$B77*LAFs!D292*(1-Contrib!M137)/(24*Input!$F$60)*100</f>
        <v>-1.5371907355480975E-2</v>
      </c>
      <c r="N54" s="37">
        <f>N$11*Loads!$B77*LAFs!E292*(1-Contrib!N137)/(24*Input!$F$60)*100</f>
        <v>-3.4306166676427649E-2</v>
      </c>
      <c r="O54" s="37">
        <f>O$11*Loads!$B77*LAFs!F292*(1-Contrib!O137)/(24*Input!$F$60)*100</f>
        <v>-3.4048453898278715E-2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212</v>
      </c>
      <c r="B55" s="37">
        <f>B$11*Loads!$B78*LAFs!B293*(1-Contrib!B138)/(24*Input!$F$60)*100</f>
        <v>0</v>
      </c>
      <c r="C55" s="37">
        <f>C$11*Loads!$B78*LAFs!C293*(1-Contrib!C138)/(24*Input!$F$60)*100</f>
        <v>-0.14275147545055752</v>
      </c>
      <c r="D55" s="37">
        <f>D$11*Loads!$B78*LAFs!D293*(1-Contrib!D138)/(24*Input!$F$60)*100</f>
        <v>-7.2652912241179387E-3</v>
      </c>
      <c r="E55" s="37">
        <f>E$11*Loads!$B78*LAFs!E293*(1-Contrib!E138)/(24*Input!$F$60)*100</f>
        <v>-1.6214272303593284E-2</v>
      </c>
      <c r="F55" s="37">
        <f>F$11*Loads!$B78*LAFs!F293*(1-Contrib!F138)/(24*Input!$F$60)*100</f>
        <v>0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-4.4366439610384056E-2</v>
      </c>
      <c r="L55" s="37">
        <f>L$11*Loads!$B78*LAFs!C293*(1-Contrib!L138)/(24*Input!$F$60)*100</f>
        <v>-9.967110580590631E-2</v>
      </c>
      <c r="M55" s="37">
        <f>M$11*Loads!$B78*LAFs!D293*(1-Contrib!M138)/(24*Input!$F$60)*100</f>
        <v>-1.5371907355480975E-2</v>
      </c>
      <c r="N55" s="37">
        <f>N$11*Loads!$B78*LAFs!E293*(1-Contrib!N138)/(24*Input!$F$60)*100</f>
        <v>-3.4306166676427649E-2</v>
      </c>
      <c r="O55" s="37">
        <f>O$11*Loads!$B78*LAFs!F293*(1-Contrib!O138)/(24*Input!$F$60)*100</f>
        <v>-3.4048453898278715E-2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1009</v>
      </c>
    </row>
    <row r="58" spans="1:20" x14ac:dyDescent="0.25">
      <c r="A58" s="2" t="s">
        <v>381</v>
      </c>
    </row>
    <row r="59" spans="1:20" x14ac:dyDescent="0.25">
      <c r="A59" s="32" t="s">
        <v>1010</v>
      </c>
    </row>
    <row r="60" spans="1:20" x14ac:dyDescent="0.25">
      <c r="A60" s="32" t="s">
        <v>1011</v>
      </c>
    </row>
    <row r="61" spans="1:20" x14ac:dyDescent="0.25">
      <c r="A61" s="32" t="s">
        <v>830</v>
      </c>
    </row>
    <row r="62" spans="1:20" x14ac:dyDescent="0.25">
      <c r="A62" s="32" t="s">
        <v>1007</v>
      </c>
    </row>
    <row r="63" spans="1:20" x14ac:dyDescent="0.25">
      <c r="A63" s="32" t="s">
        <v>775</v>
      </c>
    </row>
    <row r="64" spans="1:20" x14ac:dyDescent="0.25">
      <c r="A64" s="2" t="s">
        <v>1012</v>
      </c>
    </row>
    <row r="66" spans="1:20" ht="30" x14ac:dyDescent="0.25">
      <c r="B66" s="15" t="s">
        <v>150</v>
      </c>
      <c r="C66" s="15" t="s">
        <v>335</v>
      </c>
      <c r="D66" s="15" t="s">
        <v>336</v>
      </c>
      <c r="E66" s="15" t="s">
        <v>337</v>
      </c>
      <c r="F66" s="15" t="s">
        <v>338</v>
      </c>
      <c r="G66" s="15" t="s">
        <v>339</v>
      </c>
      <c r="H66" s="15" t="s">
        <v>340</v>
      </c>
      <c r="I66" s="15" t="s">
        <v>341</v>
      </c>
      <c r="J66" s="15" t="s">
        <v>342</v>
      </c>
      <c r="K66" s="15" t="s">
        <v>323</v>
      </c>
      <c r="L66" s="15" t="s">
        <v>911</v>
      </c>
      <c r="M66" s="15" t="s">
        <v>912</v>
      </c>
      <c r="N66" s="15" t="s">
        <v>913</v>
      </c>
      <c r="O66" s="15" t="s">
        <v>914</v>
      </c>
      <c r="P66" s="15" t="s">
        <v>915</v>
      </c>
      <c r="Q66" s="15" t="s">
        <v>916</v>
      </c>
      <c r="R66" s="15" t="s">
        <v>917</v>
      </c>
      <c r="S66" s="15" t="s">
        <v>918</v>
      </c>
    </row>
    <row r="67" spans="1:20" x14ac:dyDescent="0.25">
      <c r="A67" s="4" t="s">
        <v>182</v>
      </c>
      <c r="B67" s="37">
        <f>Multi!B882*B$11*LAFs!B$261*(1-Contrib!B$106)*100/(24*Input!$F$60)</f>
        <v>0</v>
      </c>
      <c r="C67" s="37">
        <f>Multi!C882*C$11*LAFs!C$261*(1-Contrib!C$106)*100/(24*Input!$F$60)</f>
        <v>0.31164758426320643</v>
      </c>
      <c r="D67" s="37">
        <f>Multi!D882*D$11*LAFs!D$261*(1-Contrib!D$106)*100/(24*Input!$F$60)</f>
        <v>4.8064258484123067E-2</v>
      </c>
      <c r="E67" s="37">
        <f>Multi!E882*E$11*LAFs!E$261*(1-Contrib!E$106)*100/(24*Input!$F$60)</f>
        <v>0.10027897427643628</v>
      </c>
      <c r="F67" s="37">
        <f>Multi!F882*F$11*LAFs!F$261*(1-Contrib!F$106)*100/(24*Input!$F$60)</f>
        <v>1.8909876242254552E-2</v>
      </c>
      <c r="G67" s="37">
        <f>Multi!G882*G$11*LAFs!G$261*(1-Contrib!G$106)*100/(24*Input!$F$60)</f>
        <v>0</v>
      </c>
      <c r="H67" s="37">
        <f>Multi!H882*H$11*LAFs!H$261*(1-Contrib!H$106)*100/(24*Input!$F$60)</f>
        <v>7.3067998889581737E-2</v>
      </c>
      <c r="I67" s="37">
        <f>Multi!I882*I$11*LAFs!I$261*(1-Contrib!I$106)*100/(24*Input!$F$60)</f>
        <v>8.0084955435748735E-3</v>
      </c>
      <c r="J67" s="37">
        <f>Multi!J882*J$11*LAFs!J$261*(1-Contrib!J$106)*100/(24*Input!$F$60)</f>
        <v>1.8772509367868576E-2</v>
      </c>
      <c r="K67" s="37">
        <f>Multi!B882*K$11*LAFs!B$261*(1-Contrib!K$106)*100/(24*Input!$F$60)</f>
        <v>0.10000843429932009</v>
      </c>
      <c r="L67" s="37">
        <f>Multi!C882*L$11*LAFs!C$261*(1-Contrib!L$106)*100/(24*Input!$F$60)</f>
        <v>0.2175967656181016</v>
      </c>
      <c r="M67" s="37">
        <f>Multi!D882*M$11*LAFs!D$261*(1-Contrib!M$106)*100/(24*Input!$F$60)</f>
        <v>3.3559147306415807E-2</v>
      </c>
      <c r="N67" s="37">
        <f>Multi!E882*N$11*LAFs!E$261*(1-Contrib!N$106)*100/(24*Input!$F$60)</f>
        <v>7.0016202800483221E-2</v>
      </c>
      <c r="O67" s="37">
        <f>Multi!F882*O$11*LAFs!F$261*(1-Contrib!O$106)*100/(24*Input!$F$60)</f>
        <v>6.9490231178257353E-2</v>
      </c>
      <c r="P67" s="37">
        <f>Multi!G882*P$11*LAFs!G$261*(1-Contrib!P$106)*100/(24*Input!$F$60)</f>
        <v>0</v>
      </c>
      <c r="Q67" s="37">
        <f>Multi!H882*Q$11*LAFs!H$261*(1-Contrib!Q$106)*100/(24*Input!$F$60)</f>
        <v>0.268511124532051</v>
      </c>
      <c r="R67" s="37">
        <f>Multi!I882*R$11*LAFs!I$261*(1-Contrib!R$106)*100/(24*Input!$F$60)</f>
        <v>0.11183290458475775</v>
      </c>
      <c r="S67" s="37">
        <f>Multi!J882*S$11*LAFs!J$261*(1-Contrib!S$106)*100/(24*Input!$F$60)</f>
        <v>0.26214464845867713</v>
      </c>
      <c r="T67" s="17"/>
    </row>
    <row r="68" spans="1:20" x14ac:dyDescent="0.25">
      <c r="A68" s="4" t="s">
        <v>183</v>
      </c>
      <c r="B68" s="37">
        <f>Multi!B883*B$11*LAFs!B$262*(1-Contrib!B$107)*100/(24*Input!$F$60)</f>
        <v>0</v>
      </c>
      <c r="C68" s="37">
        <f>Multi!C883*C$11*LAFs!C$262*(1-Contrib!C$107)*100/(24*Input!$F$60)</f>
        <v>0.37163931550563578</v>
      </c>
      <c r="D68" s="37">
        <f>Multi!D883*D$11*LAFs!D$262*(1-Contrib!D$107)*100/(24*Input!$F$60)</f>
        <v>5.7316562121140495E-2</v>
      </c>
      <c r="E68" s="37">
        <f>Multi!E883*E$11*LAFs!E$262*(1-Contrib!E$107)*100/(24*Input!$F$60)</f>
        <v>0.11773244254627918</v>
      </c>
      <c r="F68" s="37">
        <f>Multi!F883*F$11*LAFs!F$262*(1-Contrib!F$107)*100/(24*Input!$F$60)</f>
        <v>2.220112375811991E-2</v>
      </c>
      <c r="G68" s="37">
        <f>Multi!G883*G$11*LAFs!G$262*(1-Contrib!G$107)*100/(24*Input!$F$60)</f>
        <v>0</v>
      </c>
      <c r="H68" s="37">
        <f>Multi!H883*H$11*LAFs!H$262*(1-Contrib!H$107)*100/(24*Input!$F$60)</f>
        <v>8.5785420556108521E-2</v>
      </c>
      <c r="I68" s="37">
        <f>Multi!I883*I$11*LAFs!I$262*(1-Contrib!I$107)*100/(24*Input!$F$60)</f>
        <v>9.4023672287164243E-3</v>
      </c>
      <c r="J68" s="37">
        <f>Multi!J883*J$11*LAFs!J$262*(1-Contrib!J$107)*100/(24*Input!$F$60)</f>
        <v>2.2039848298701797E-2</v>
      </c>
      <c r="K68" s="37">
        <f>Multi!B883*K$11*LAFs!B$262*(1-Contrib!K$107)*100/(24*Input!$F$60)</f>
        <v>0.12034503342403396</v>
      </c>
      <c r="L68" s="37">
        <f>Multi!C883*L$11*LAFs!C$262*(1-Contrib!L$107)*100/(24*Input!$F$60)</f>
        <v>0.2594838436554468</v>
      </c>
      <c r="M68" s="37">
        <f>Multi!D883*M$11*LAFs!D$262*(1-Contrib!M$107)*100/(24*Input!$F$60)</f>
        <v>4.001923699615733E-2</v>
      </c>
      <c r="N68" s="37">
        <f>Multi!E883*N$11*LAFs!E$262*(1-Contrib!N$107)*100/(24*Input!$F$60)</f>
        <v>8.2202462011555677E-2</v>
      </c>
      <c r="O68" s="37">
        <f>Multi!F883*O$11*LAFs!F$262*(1-Contrib!O$107)*100/(24*Input!$F$60)</f>
        <v>8.158494548586831E-2</v>
      </c>
      <c r="P68" s="37">
        <f>Multi!G883*P$11*LAFs!G$262*(1-Contrib!P$107)*100/(24*Input!$F$60)</f>
        <v>0</v>
      </c>
      <c r="Q68" s="37">
        <f>Multi!H883*Q$11*LAFs!H$262*(1-Contrib!Q$107)*100/(24*Input!$F$60)</f>
        <v>0.31524525225857702</v>
      </c>
      <c r="R68" s="37">
        <f>Multi!I883*R$11*LAFs!I$262*(1-Contrib!R$107)*100/(24*Input!$F$60)</f>
        <v>0.13129732437742303</v>
      </c>
      <c r="S68" s="37">
        <f>Multi!J883*S$11*LAFs!J$262*(1-Contrib!S$107)*100/(24*Input!$F$60)</f>
        <v>0.30777069656094386</v>
      </c>
      <c r="T68" s="17"/>
    </row>
    <row r="69" spans="1:20" x14ac:dyDescent="0.25">
      <c r="A69" s="4" t="s">
        <v>228</v>
      </c>
      <c r="B69" s="37">
        <f>Multi!B884*B$11*LAFs!B$263*(1-Contrib!B$108)*100/(24*Input!$F$60)</f>
        <v>0</v>
      </c>
      <c r="C69" s="37">
        <f>Multi!C884*C$11*LAFs!C$263*(1-Contrib!C$108)*100/(24*Input!$F$60)</f>
        <v>1.4142086506262216E-2</v>
      </c>
      <c r="D69" s="37">
        <f>Multi!D884*D$11*LAFs!D$263*(1-Contrib!D$108)*100/(24*Input!$F$60)</f>
        <v>2.1810818875712549E-3</v>
      </c>
      <c r="E69" s="37">
        <f>Multi!E884*E$11*LAFs!E$263*(1-Contrib!E$108)*100/(24*Input!$F$60)</f>
        <v>1.0782010689689658E-2</v>
      </c>
      <c r="F69" s="37">
        <f>Multi!F884*F$11*LAFs!F$263*(1-Contrib!F$108)*100/(24*Input!$F$60)</f>
        <v>2.0331927929642443E-3</v>
      </c>
      <c r="G69" s="37">
        <f>Multi!G884*G$11*LAFs!G$263*(1-Contrib!G$108)*100/(24*Input!$F$60)</f>
        <v>0</v>
      </c>
      <c r="H69" s="37">
        <f>Multi!H884*H$11*LAFs!H$263*(1-Contrib!H$108)*100/(24*Input!$F$60)</f>
        <v>7.8562824439143211E-3</v>
      </c>
      <c r="I69" s="37">
        <f>Multi!I884*I$11*LAFs!I$263*(1-Contrib!I$108)*100/(24*Input!$F$60)</f>
        <v>8.6107466876480002E-4</v>
      </c>
      <c r="J69" s="37">
        <f>Multi!J884*J$11*LAFs!J$263*(1-Contrib!J$108)*100/(24*Input!$F$60)</f>
        <v>2.0184230855681954E-3</v>
      </c>
      <c r="K69" s="37">
        <f>Multi!B884*K$11*LAFs!B$263*(1-Contrib!K$108)*100/(24*Input!$F$60)</f>
        <v>1.0240571852856504E-3</v>
      </c>
      <c r="L69" s="37">
        <f>Multi!C884*L$11*LAFs!C$263*(1-Contrib!L$108)*100/(24*Input!$F$60)</f>
        <v>9.87420547516615E-3</v>
      </c>
      <c r="M69" s="37">
        <f>Multi!D884*M$11*LAFs!D$263*(1-Contrib!M$108)*100/(24*Input!$F$60)</f>
        <v>1.522862323498397E-3</v>
      </c>
      <c r="N69" s="37">
        <f>Multi!E884*N$11*LAFs!E$263*(1-Contrib!N$108)*100/(24*Input!$F$60)</f>
        <v>7.5281528604913177E-3</v>
      </c>
      <c r="O69" s="37">
        <f>Multi!F884*O$11*LAFs!F$263*(1-Contrib!O$108)*100/(24*Input!$F$60)</f>
        <v>7.4716003110238752E-3</v>
      </c>
      <c r="P69" s="37">
        <f>Multi!G884*P$11*LAFs!G$263*(1-Contrib!P$108)*100/(24*Input!$F$60)</f>
        <v>0</v>
      </c>
      <c r="Q69" s="37">
        <f>Multi!H884*Q$11*LAFs!H$263*(1-Contrib!Q$108)*100/(24*Input!$F$60)</f>
        <v>2.887035727972596E-2</v>
      </c>
      <c r="R69" s="37">
        <f>Multi!I884*R$11*LAFs!I$263*(1-Contrib!R$108)*100/(24*Input!$F$60)</f>
        <v>1.2024291047971343E-2</v>
      </c>
      <c r="S69" s="37">
        <f>Multi!J884*S$11*LAFs!J$263*(1-Contrib!S$108)*100/(24*Input!$F$60)</f>
        <v>2.818583279616331E-2</v>
      </c>
      <c r="T69" s="17"/>
    </row>
    <row r="70" spans="1:20" x14ac:dyDescent="0.25">
      <c r="A70" s="4" t="s">
        <v>184</v>
      </c>
      <c r="B70" s="37">
        <f>Multi!B885*B$11*LAFs!B$264*(1-Contrib!B$109)*100/(24*Input!$F$60)</f>
        <v>0</v>
      </c>
      <c r="C70" s="37">
        <f>Multi!C885*C$11*LAFs!C$264*(1-Contrib!C$109)*100/(24*Input!$F$60)</f>
        <v>0.24723878685871525</v>
      </c>
      <c r="D70" s="37">
        <f>Multi!D885*D$11*LAFs!D$264*(1-Contrib!D$109)*100/(24*Input!$F$60)</f>
        <v>3.8130727010038508E-2</v>
      </c>
      <c r="E70" s="37">
        <f>Multi!E885*E$11*LAFs!E$264*(1-Contrib!E$109)*100/(24*Input!$F$60)</f>
        <v>9.0585046551459519E-2</v>
      </c>
      <c r="F70" s="37">
        <f>Multi!F885*F$11*LAFs!F$264*(1-Contrib!F$109)*100/(24*Input!$F$60)</f>
        <v>1.7081866184280266E-2</v>
      </c>
      <c r="G70" s="37">
        <f>Multi!G885*G$11*LAFs!G$264*(1-Contrib!G$109)*100/(24*Input!$F$60)</f>
        <v>0</v>
      </c>
      <c r="H70" s="37">
        <f>Multi!H885*H$11*LAFs!H$264*(1-Contrib!H$109)*100/(24*Input!$F$60)</f>
        <v>6.6004545106222404E-2</v>
      </c>
      <c r="I70" s="37">
        <f>Multi!I885*I$11*LAFs!I$264*(1-Contrib!I$109)*100/(24*Input!$F$60)</f>
        <v>7.2343175312310059E-3</v>
      </c>
      <c r="J70" s="37">
        <f>Multi!J885*J$11*LAFs!J$264*(1-Contrib!J$109)*100/(24*Input!$F$60)</f>
        <v>1.695777850986329E-2</v>
      </c>
      <c r="K70" s="37">
        <f>Multi!B885*K$11*LAFs!B$264*(1-Contrib!K$109)*100/(24*Input!$F$60)</f>
        <v>7.560122174243758E-2</v>
      </c>
      <c r="L70" s="37">
        <f>Multi!C885*L$11*LAFs!C$264*(1-Contrib!L$109)*100/(24*Input!$F$60)</f>
        <v>0.17262562930814654</v>
      </c>
      <c r="M70" s="37">
        <f>Multi!D885*M$11*LAFs!D$264*(1-Contrib!M$109)*100/(24*Input!$F$60)</f>
        <v>2.6623414674197224E-2</v>
      </c>
      <c r="N70" s="37">
        <f>Multi!E885*N$11*LAFs!E$264*(1-Contrib!N$109)*100/(24*Input!$F$60)</f>
        <v>6.3247764905873749E-2</v>
      </c>
      <c r="O70" s="37">
        <f>Multi!F885*O$11*LAFs!F$264*(1-Contrib!O$109)*100/(24*Input!$F$60)</f>
        <v>6.2772638746797421E-2</v>
      </c>
      <c r="P70" s="37">
        <f>Multi!G885*P$11*LAFs!G$264*(1-Contrib!P$109)*100/(24*Input!$F$60)</f>
        <v>0</v>
      </c>
      <c r="Q70" s="37">
        <f>Multi!H885*Q$11*LAFs!H$264*(1-Contrib!Q$109)*100/(24*Input!$F$60)</f>
        <v>0.24255426315261047</v>
      </c>
      <c r="R70" s="37">
        <f>Multi!I885*R$11*LAFs!I$264*(1-Contrib!R$109)*100/(24*Input!$F$60)</f>
        <v>0.10102206310835458</v>
      </c>
      <c r="S70" s="37">
        <f>Multi!J885*S$11*LAFs!J$264*(1-Contrib!S$109)*100/(24*Input!$F$60)</f>
        <v>0.23680323173613896</v>
      </c>
      <c r="T70" s="17"/>
    </row>
    <row r="71" spans="1:20" x14ac:dyDescent="0.25">
      <c r="A71" s="4" t="s">
        <v>185</v>
      </c>
      <c r="B71" s="37">
        <f>Multi!B886*B$11*LAFs!B$265*(1-Contrib!B$110)*100/(24*Input!$F$60)</f>
        <v>0</v>
      </c>
      <c r="C71" s="37">
        <f>Multi!C886*C$11*LAFs!C$265*(1-Contrib!C$110)*100/(24*Input!$F$60)</f>
        <v>0.28973332131242335</v>
      </c>
      <c r="D71" s="37">
        <f>Multi!D886*D$11*LAFs!D$265*(1-Contrib!D$110)*100/(24*Input!$F$60)</f>
        <v>4.4684502464368697E-2</v>
      </c>
      <c r="E71" s="37">
        <f>Multi!E886*E$11*LAFs!E$265*(1-Contrib!E$110)*100/(24*Input!$F$60)</f>
        <v>0.1007513728518955</v>
      </c>
      <c r="F71" s="37">
        <f>Multi!F886*F$11*LAFs!F$265*(1-Contrib!F$110)*100/(24*Input!$F$60)</f>
        <v>1.8998957713853234E-2</v>
      </c>
      <c r="G71" s="37">
        <f>Multi!G886*G$11*LAFs!G$265*(1-Contrib!G$110)*100/(24*Input!$F$60)</f>
        <v>0</v>
      </c>
      <c r="H71" s="37">
        <f>Multi!H886*H$11*LAFs!H$265*(1-Contrib!H$110)*100/(24*Input!$F$60)</f>
        <v>7.3412210812730666E-2</v>
      </c>
      <c r="I71" s="37">
        <f>Multi!I886*I$11*LAFs!I$265*(1-Contrib!I$110)*100/(24*Input!$F$60)</f>
        <v>8.0462223144523587E-3</v>
      </c>
      <c r="J71" s="37">
        <f>Multi!J886*J$11*LAFs!J$265*(1-Contrib!J$110)*100/(24*Input!$F$60)</f>
        <v>1.8860943725590759E-2</v>
      </c>
      <c r="K71" s="37">
        <f>Multi!B886*K$11*LAFs!B$265*(1-Contrib!K$110)*100/(24*Input!$F$60)</f>
        <v>9.0836667849616137E-2</v>
      </c>
      <c r="L71" s="37">
        <f>Multi!C886*L$11*LAFs!C$265*(1-Contrib!L$110)*100/(24*Input!$F$60)</f>
        <v>0.20229591626202989</v>
      </c>
      <c r="M71" s="37">
        <f>Multi!D886*M$11*LAFs!D$265*(1-Contrib!M$110)*100/(24*Input!$F$60)</f>
        <v>3.1199353694616957E-2</v>
      </c>
      <c r="N71" s="37">
        <f>Multi!E886*N$11*LAFs!E$265*(1-Contrib!N$110)*100/(24*Input!$F$60)</f>
        <v>7.0346038189214199E-2</v>
      </c>
      <c r="O71" s="37">
        <f>Multi!F886*O$11*LAFs!F$265*(1-Contrib!O$110)*100/(24*Input!$F$60)</f>
        <v>6.9817588796878854E-2</v>
      </c>
      <c r="P71" s="37">
        <f>Multi!G886*P$11*LAFs!G$265*(1-Contrib!P$110)*100/(24*Input!$F$60)</f>
        <v>0</v>
      </c>
      <c r="Q71" s="37">
        <f>Multi!H886*Q$11*LAFs!H$265*(1-Contrib!Q$110)*100/(24*Input!$F$60)</f>
        <v>0.26977603847477072</v>
      </c>
      <c r="R71" s="37">
        <f>Multi!I886*R$11*LAFs!I$265*(1-Contrib!R$110)*100/(24*Input!$F$60)</f>
        <v>0.11235973192016378</v>
      </c>
      <c r="S71" s="37">
        <f>Multi!J886*S$11*LAFs!J$265*(1-Contrib!S$110)*100/(24*Input!$F$60)</f>
        <v>0.26337957092761627</v>
      </c>
      <c r="T71" s="17"/>
    </row>
    <row r="72" spans="1:20" x14ac:dyDescent="0.25">
      <c r="A72" s="4" t="s">
        <v>229</v>
      </c>
      <c r="B72" s="37">
        <f>Multi!B887*B$11*LAFs!B$266*(1-Contrib!B$111)*100/(24*Input!$F$60)</f>
        <v>0</v>
      </c>
      <c r="C72" s="37">
        <f>Multi!C887*C$11*LAFs!C$266*(1-Contrib!C$111)*100/(24*Input!$F$60)</f>
        <v>1.5912490937114734E-2</v>
      </c>
      <c r="D72" s="37">
        <f>Multi!D887*D$11*LAFs!D$266*(1-Contrib!D$111)*100/(24*Input!$F$60)</f>
        <v>2.4541248389135812E-3</v>
      </c>
      <c r="E72" s="37">
        <f>Multi!E887*E$11*LAFs!E$266*(1-Contrib!E$111)*100/(24*Input!$F$60)</f>
        <v>1.1383734919636413E-2</v>
      </c>
      <c r="F72" s="37">
        <f>Multi!F887*F$11*LAFs!F$266*(1-Contrib!F$111)*100/(24*Input!$F$60)</f>
        <v>2.1466615515186764E-3</v>
      </c>
      <c r="G72" s="37">
        <f>Multi!G887*G$11*LAFs!G$266*(1-Contrib!G$111)*100/(24*Input!$F$60)</f>
        <v>0</v>
      </c>
      <c r="H72" s="37">
        <f>Multi!H887*H$11*LAFs!H$266*(1-Contrib!H$111)*100/(24*Input!$F$60)</f>
        <v>8.2947271496248316E-3</v>
      </c>
      <c r="I72" s="37">
        <f>Multi!I887*I$11*LAFs!I$266*(1-Contrib!I$111)*100/(24*Input!$F$60)</f>
        <v>9.0912966582435773E-4</v>
      </c>
      <c r="J72" s="37">
        <f>Multi!J887*J$11*LAFs!J$266*(1-Contrib!J$111)*100/(24*Input!$F$60)</f>
        <v>2.1310675738575344E-3</v>
      </c>
      <c r="K72" s="37">
        <f>Multi!B887*K$11*LAFs!B$266*(1-Contrib!K$111)*100/(24*Input!$F$60)</f>
        <v>1.6283111626838145E-3</v>
      </c>
      <c r="L72" s="37">
        <f>Multi!C887*L$11*LAFs!C$266*(1-Contrib!L$111)*100/(24*Input!$F$60)</f>
        <v>1.1110326970862098E-2</v>
      </c>
      <c r="M72" s="37">
        <f>Multi!D887*M$11*LAFs!D$266*(1-Contrib!M$111)*100/(24*Input!$F$60)</f>
        <v>1.7135047866106169E-3</v>
      </c>
      <c r="N72" s="37">
        <f>Multi!E887*N$11*LAFs!E$266*(1-Contrib!N$111)*100/(24*Input!$F$60)</f>
        <v>7.9482852563191476E-3</v>
      </c>
      <c r="O72" s="37">
        <f>Multi!F887*O$11*LAFs!F$266*(1-Contrib!O$111)*100/(24*Input!$F$60)</f>
        <v>7.8885766128485354E-3</v>
      </c>
      <c r="P72" s="37">
        <f>Multi!G887*P$11*LAFs!G$266*(1-Contrib!P$111)*100/(24*Input!$F$60)</f>
        <v>0</v>
      </c>
      <c r="Q72" s="37">
        <f>Multi!H887*Q$11*LAFs!H$266*(1-Contrib!Q$111)*100/(24*Input!$F$60)</f>
        <v>3.0481558937969805E-2</v>
      </c>
      <c r="R72" s="37">
        <f>Multi!I887*R$11*LAFs!I$266*(1-Contrib!R$111)*100/(24*Input!$F$60)</f>
        <v>1.2695344664938636E-2</v>
      </c>
      <c r="S72" s="37">
        <f>Multi!J887*S$11*LAFs!J$266*(1-Contrib!S$111)*100/(24*Input!$F$60)</f>
        <v>2.975883239918703E-2</v>
      </c>
      <c r="T72" s="17"/>
    </row>
    <row r="73" spans="1:20" x14ac:dyDescent="0.25">
      <c r="A73" s="4" t="s">
        <v>186</v>
      </c>
      <c r="B73" s="37">
        <f>Multi!B888*B$11*LAFs!B$267*(1-Contrib!B$112)*100/(24*Input!$F$60)</f>
        <v>0</v>
      </c>
      <c r="C73" s="37">
        <f>Multi!C888*C$11*LAFs!C$267*(1-Contrib!C$112)*100/(24*Input!$F$60)</f>
        <v>0.26169945395769456</v>
      </c>
      <c r="D73" s="37">
        <f>Multi!D888*D$11*LAFs!D$267*(1-Contrib!D$112)*100/(24*Input!$F$60)</f>
        <v>4.0360942408439252E-2</v>
      </c>
      <c r="E73" s="37">
        <f>Multi!E888*E$11*LAFs!E$267*(1-Contrib!E$112)*100/(24*Input!$F$60)</f>
        <v>9.0568423187629463E-2</v>
      </c>
      <c r="F73" s="37">
        <f>Multi!F888*F$11*LAFs!F$267*(1-Contrib!F$112)*100/(24*Input!$F$60)</f>
        <v>1.7078731471794176E-2</v>
      </c>
      <c r="G73" s="37">
        <f>Multi!G888*G$11*LAFs!G$267*(1-Contrib!G$112)*100/(24*Input!$F$60)</f>
        <v>0</v>
      </c>
      <c r="H73" s="37">
        <f>Multi!H888*H$11*LAFs!H$267*(1-Contrib!H$112)*100/(24*Input!$F$60)</f>
        <v>6.5992432537873555E-2</v>
      </c>
      <c r="I73" s="37">
        <f>Multi!I888*I$11*LAFs!I$267*(1-Contrib!I$112)*100/(24*Input!$F$60)</f>
        <v>7.2329899534799092E-3</v>
      </c>
      <c r="J73" s="37">
        <f>Multi!J888*J$11*LAFs!J$267*(1-Contrib!J$112)*100/(24*Input!$F$60)</f>
        <v>1.6954666568845974E-2</v>
      </c>
      <c r="K73" s="37">
        <f>Multi!B888*K$11*LAFs!B$267*(1-Contrib!K$112)*100/(24*Input!$F$60)</f>
        <v>8.2183314217517303E-2</v>
      </c>
      <c r="L73" s="37">
        <f>Multi!C888*L$11*LAFs!C$267*(1-Contrib!L$112)*100/(24*Input!$F$60)</f>
        <v>0.1827222722738128</v>
      </c>
      <c r="M73" s="37">
        <f>Multi!D888*M$11*LAFs!D$267*(1-Contrib!M$112)*100/(24*Input!$F$60)</f>
        <v>2.818058271216228E-2</v>
      </c>
      <c r="N73" s="37">
        <f>Multi!E888*N$11*LAFs!E$267*(1-Contrib!N$112)*100/(24*Input!$F$60)</f>
        <v>6.3236158237361742E-2</v>
      </c>
      <c r="O73" s="37">
        <f>Multi!F888*O$11*LAFs!F$267*(1-Contrib!O$112)*100/(24*Input!$F$60)</f>
        <v>6.2761119269221538E-2</v>
      </c>
      <c r="P73" s="37">
        <f>Multi!G888*P$11*LAFs!G$267*(1-Contrib!P$112)*100/(24*Input!$F$60)</f>
        <v>0</v>
      </c>
      <c r="Q73" s="37">
        <f>Multi!H888*Q$11*LAFs!H$267*(1-Contrib!Q$112)*100/(24*Input!$F$60)</f>
        <v>0.24250975174682757</v>
      </c>
      <c r="R73" s="37">
        <f>Multi!I888*R$11*LAFs!I$267*(1-Contrib!R$112)*100/(24*Input!$F$60)</f>
        <v>0.10100352443587117</v>
      </c>
      <c r="S73" s="37">
        <f>Multi!J888*S$11*LAFs!J$267*(1-Contrib!S$112)*100/(24*Input!$F$60)</f>
        <v>0.2367597757086031</v>
      </c>
      <c r="T73" s="17"/>
    </row>
    <row r="74" spans="1:20" x14ac:dyDescent="0.25">
      <c r="A74" s="4" t="s">
        <v>187</v>
      </c>
      <c r="B74" s="37">
        <f>Multi!B889*B$11*LAFs!B$268*(1-Contrib!B$113)*100/(24*Input!$F$60)</f>
        <v>0</v>
      </c>
      <c r="C74" s="37">
        <f>Multi!C889*C$11*LAFs!C$268*(1-Contrib!C$113)*100/(24*Input!$F$60)</f>
        <v>0.25171409984599269</v>
      </c>
      <c r="D74" s="37">
        <f>Multi!D889*D$11*LAFs!D$268*(1-Contrib!D$113)*100/(24*Input!$F$60)</f>
        <v>3.882093804031618E-2</v>
      </c>
      <c r="E74" s="37">
        <f>Multi!E889*E$11*LAFs!E$268*(1-Contrib!E$113)*100/(24*Input!$F$60)</f>
        <v>8.7244326964689978E-2</v>
      </c>
      <c r="F74" s="37">
        <f>Multi!F889*F$11*LAFs!F$268*(1-Contrib!F$113)*100/(24*Input!$F$60)</f>
        <v>1.645189769485653E-2</v>
      </c>
      <c r="G74" s="37">
        <f>Multi!G889*G$11*LAFs!G$268*(1-Contrib!G$113)*100/(24*Input!$F$60)</f>
        <v>0</v>
      </c>
      <c r="H74" s="37">
        <f>Multi!H889*H$11*LAFs!H$268*(1-Contrib!H$113)*100/(24*Input!$F$60)</f>
        <v>6.3570338964628062E-2</v>
      </c>
      <c r="I74" s="37">
        <f>Multi!I889*I$11*LAFs!I$268*(1-Contrib!I$113)*100/(24*Input!$F$60)</f>
        <v>6.9675204472358599E-3</v>
      </c>
      <c r="J74" s="37">
        <f>Multi!J889*J$11*LAFs!J$268*(1-Contrib!J$113)*100/(24*Input!$F$60)</f>
        <v>0</v>
      </c>
      <c r="K74" s="37">
        <f>Multi!B889*K$11*LAFs!B$268*(1-Contrib!K$113)*100/(24*Input!$F$60)</f>
        <v>7.8995016091689851E-2</v>
      </c>
      <c r="L74" s="37">
        <f>Multi!C889*L$11*LAFs!C$268*(1-Contrib!L$113)*100/(24*Input!$F$60)</f>
        <v>0.17575035634064554</v>
      </c>
      <c r="M74" s="37">
        <f>Multi!D889*M$11*LAFs!D$268*(1-Contrib!M$113)*100/(24*Input!$F$60)</f>
        <v>2.7105329809645581E-2</v>
      </c>
      <c r="N74" s="37">
        <f>Multi!E889*N$11*LAFs!E$268*(1-Contrib!N$113)*100/(24*Input!$F$60)</f>
        <v>6.0915227085512676E-2</v>
      </c>
      <c r="O74" s="37">
        <f>Multi!F889*O$11*LAFs!F$268*(1-Contrib!O$113)*100/(24*Input!$F$60)</f>
        <v>6.0457623280580186E-2</v>
      </c>
      <c r="P74" s="37">
        <f>Multi!G889*P$11*LAFs!G$268*(1-Contrib!P$113)*100/(24*Input!$F$60)</f>
        <v>0</v>
      </c>
      <c r="Q74" s="37">
        <f>Multi!H889*Q$11*LAFs!H$268*(1-Contrib!Q$113)*100/(24*Input!$F$60)</f>
        <v>0.23360901436579154</v>
      </c>
      <c r="R74" s="37">
        <f>Multi!I889*R$11*LAFs!I$268*(1-Contrib!R$113)*100/(24*Input!$F$60)</f>
        <v>9.7296432910325914E-2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207</v>
      </c>
      <c r="B75" s="37">
        <f>Multi!B890*B$11*LAFs!B$269*(1-Contrib!B$114)*100/(24*Input!$F$60)</f>
        <v>0</v>
      </c>
      <c r="C75" s="37">
        <f>Multi!C890*C$11*LAFs!C$269*(1-Contrib!C$114)*100/(24*Input!$F$60)</f>
        <v>0.28806955778232585</v>
      </c>
      <c r="D75" s="37">
        <f>Multi!D890*D$11*LAFs!D$269*(1-Contrib!D$114)*100/(24*Input!$F$60)</f>
        <v>1.4661209094237024E-2</v>
      </c>
      <c r="E75" s="37">
        <f>Multi!E890*E$11*LAFs!E$269*(1-Contrib!E$114)*100/(24*Input!$F$60)</f>
        <v>3.3509536868154451E-2</v>
      </c>
      <c r="F75" s="37">
        <f>Multi!F890*F$11*LAFs!F$269*(1-Contrib!F$114)*100/(24*Input!$F$60)</f>
        <v>0</v>
      </c>
      <c r="G75" s="37">
        <f>Multi!G890*G$11*LAFs!G$269*(1-Contrib!G$114)*100/(24*Input!$F$60)</f>
        <v>0</v>
      </c>
      <c r="H75" s="37">
        <f>Multi!H890*H$11*LAFs!H$269*(1-Contrib!H$114)*100/(24*Input!$F$60)</f>
        <v>0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8.9894109063946945E-2</v>
      </c>
      <c r="L75" s="37">
        <f>Multi!C890*L$11*LAFs!C$269*(1-Contrib!L$114)*100/(24*Input!$F$60)</f>
        <v>0.2011342529564776</v>
      </c>
      <c r="M75" s="37">
        <f>Multi!D890*M$11*LAFs!D$269*(1-Contrib!M$114)*100/(24*Input!$F$60)</f>
        <v>3.1020194643788468E-2</v>
      </c>
      <c r="N75" s="37">
        <f>Multi!E890*N$11*LAFs!E$269*(1-Contrib!N$114)*100/(24*Input!$F$60)</f>
        <v>7.0899497401066949E-2</v>
      </c>
      <c r="O75" s="37">
        <f>Multi!F890*O$11*LAFs!F$269*(1-Contrib!O$114)*100/(24*Input!$F$60)</f>
        <v>7.0366890344821659E-2</v>
      </c>
      <c r="P75" s="37">
        <f>Multi!G890*P$11*LAFs!G$269*(1-Contrib!P$114)*100/(24*Input!$F$60)</f>
        <v>0</v>
      </c>
      <c r="Q75" s="37">
        <f>Multi!H890*Q$11*LAFs!H$269*(1-Contrib!Q$114)*100/(24*Input!$F$60)</f>
        <v>0.27189854654309137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188</v>
      </c>
      <c r="B76" s="37">
        <f>Multi!B891*B$11*LAFs!B$270*(1-Contrib!B$115)*100/(24*Input!$F$60)</f>
        <v>0</v>
      </c>
      <c r="C76" s="37">
        <f>Multi!C891*C$11*LAFs!C$270*(1-Contrib!C$115)*100/(24*Input!$F$60)</f>
        <v>3.2226242218785006</v>
      </c>
      <c r="D76" s="37">
        <f>Multi!D891*D$11*LAFs!D$270*(1-Contrib!D$115)*100/(24*Input!$F$60)</f>
        <v>0.49701345821037085</v>
      </c>
      <c r="E76" s="37">
        <f>Multi!E891*E$11*LAFs!E$270*(1-Contrib!E$115)*100/(24*Input!$F$60)</f>
        <v>0.7883447941571351</v>
      </c>
      <c r="F76" s="37">
        <f>Multi!F891*F$11*LAFs!F$270*(1-Contrib!F$115)*100/(24*Input!$F$60)</f>
        <v>0.14866030093847957</v>
      </c>
      <c r="G76" s="37">
        <f>Multi!G891*G$11*LAFs!G$270*(1-Contrib!G$115)*100/(24*Input!$F$60)</f>
        <v>0</v>
      </c>
      <c r="H76" s="37">
        <f>Multi!H891*H$11*LAFs!H$270*(1-Contrib!H$115)*100/(24*Input!$F$60)</f>
        <v>0.57442526670934135</v>
      </c>
      <c r="I76" s="37">
        <f>Multi!I891*I$11*LAFs!I$270*(1-Contrib!I$115)*100/(24*Input!$F$60)</f>
        <v>6.2958918520683499E-2</v>
      </c>
      <c r="J76" s="37">
        <f>Multi!J891*J$11*LAFs!J$270*(1-Contrib!J$115)*100/(24*Input!$F$60)</f>
        <v>0.14758038901184478</v>
      </c>
      <c r="K76" s="37">
        <f>Multi!B891*K$11*LAFs!B$270*(1-Contrib!K$115)*100/(24*Input!$F$60)</f>
        <v>1.1278988857721326</v>
      </c>
      <c r="L76" s="37">
        <f>Multi!C891*L$11*LAFs!C$270*(1-Contrib!L$115)*100/(24*Input!$F$60)</f>
        <v>2.2500819608185281</v>
      </c>
      <c r="M76" s="37">
        <f>Multi!D891*M$11*LAFs!D$270*(1-Contrib!M$115)*100/(24*Input!$F$60)</f>
        <v>0.34702184915351642</v>
      </c>
      <c r="N76" s="37">
        <f>Multi!E891*N$11*LAFs!E$270*(1-Contrib!N$115)*100/(24*Input!$F$60)</f>
        <v>0.550433521909103</v>
      </c>
      <c r="O76" s="37">
        <f>Multi!F891*O$11*LAFs!F$270*(1-Contrib!O$115)*100/(24*Input!$F$60)</f>
        <v>0.54629858741014115</v>
      </c>
      <c r="P76" s="37">
        <f>Multi!G891*P$11*LAFs!G$270*(1-Contrib!P$115)*100/(24*Input!$F$60)</f>
        <v>0</v>
      </c>
      <c r="Q76" s="37">
        <f>Multi!H891*Q$11*LAFs!H$270*(1-Contrib!Q$115)*100/(24*Input!$F$60)</f>
        <v>2.1109045911717246</v>
      </c>
      <c r="R76" s="37">
        <f>Multi!I891*R$11*LAFs!I$270*(1-Contrib!R$115)*100/(24*Input!$F$60)</f>
        <v>0.87917620598939505</v>
      </c>
      <c r="S76" s="37">
        <f>Multi!J891*S$11*LAFs!J$270*(1-Contrib!S$115)*100/(24*Input!$F$60)</f>
        <v>2.0608544355355636</v>
      </c>
      <c r="T76" s="17"/>
    </row>
    <row r="77" spans="1:20" x14ac:dyDescent="0.25">
      <c r="A77" s="4" t="s">
        <v>189</v>
      </c>
      <c r="B77" s="37">
        <f>Multi!B892*B$11*LAFs!B$271*(1-Contrib!B$116)*100/(24*Input!$F$60)</f>
        <v>0</v>
      </c>
      <c r="C77" s="37">
        <f>Multi!C892*C$11*LAFs!C$271*(1-Contrib!C$116)*100/(24*Input!$F$60)</f>
        <v>3.3481295358974248</v>
      </c>
      <c r="D77" s="37">
        <f>Multi!D892*D$11*LAFs!D$271*(1-Contrib!D$116)*100/(24*Input!$F$60)</f>
        <v>0.51636968029820818</v>
      </c>
      <c r="E77" s="37">
        <f>Multi!E892*E$11*LAFs!E$271*(1-Contrib!E$116)*100/(24*Input!$F$60)</f>
        <v>0.81980317628743893</v>
      </c>
      <c r="F77" s="37">
        <f>Multi!F892*F$11*LAFs!F$271*(1-Contrib!F$116)*100/(24*Input!$F$60)</f>
        <v>0.15459249277787473</v>
      </c>
      <c r="G77" s="37">
        <f>Multi!G892*G$11*LAFs!G$271*(1-Contrib!G$116)*100/(24*Input!$F$60)</f>
        <v>0</v>
      </c>
      <c r="H77" s="37">
        <f>Multi!H892*H$11*LAFs!H$271*(1-Contrib!H$116)*100/(24*Input!$F$60)</f>
        <v>0.59734733035379572</v>
      </c>
      <c r="I77" s="37">
        <f>Multi!I892*I$11*LAFs!I$271*(1-Contrib!I$116)*100/(24*Input!$F$60)</f>
        <v>6.5471252885054967E-2</v>
      </c>
      <c r="J77" s="37">
        <f>Multi!J892*J$11*LAFs!J$271*(1-Contrib!J$116)*100/(24*Input!$F$60)</f>
        <v>0.15346948767385499</v>
      </c>
      <c r="K77" s="37">
        <f>Multi!B892*K$11*LAFs!B$271*(1-Contrib!K$116)*100/(24*Input!$F$60)</f>
        <v>1.1715330584212538</v>
      </c>
      <c r="L77" s="37">
        <f>Multi!C892*L$11*LAFs!C$271*(1-Contrib!L$116)*100/(24*Input!$F$60)</f>
        <v>2.3377115519894884</v>
      </c>
      <c r="M77" s="37">
        <f>Multi!D892*M$11*LAFs!D$271*(1-Contrib!M$116)*100/(24*Input!$F$60)</f>
        <v>0.36053663808042774</v>
      </c>
      <c r="N77" s="37">
        <f>Multi!E892*N$11*LAFs!E$271*(1-Contrib!N$116)*100/(24*Input!$F$60)</f>
        <v>0.57239821070756058</v>
      </c>
      <c r="O77" s="37">
        <f>Multi!F892*O$11*LAFs!F$271*(1-Contrib!O$116)*100/(24*Input!$F$60)</f>
        <v>0.56809827435849924</v>
      </c>
      <c r="P77" s="37">
        <f>Multi!G892*P$11*LAFs!G$271*(1-Contrib!P$116)*100/(24*Input!$F$60)</f>
        <v>0</v>
      </c>
      <c r="Q77" s="37">
        <f>Multi!H892*Q$11*LAFs!H$271*(1-Contrib!Q$116)*100/(24*Input!$F$60)</f>
        <v>2.1951388548617525</v>
      </c>
      <c r="R77" s="37">
        <f>Multi!I892*R$11*LAFs!I$271*(1-Contrib!R$116)*100/(24*Input!$F$60)</f>
        <v>0.91425915605498809</v>
      </c>
      <c r="S77" s="37">
        <f>Multi!J892*S$11*LAFs!J$271*(1-Contrib!S$116)*100/(24*Input!$F$60)</f>
        <v>2.1430914805804595</v>
      </c>
      <c r="T77" s="17"/>
    </row>
    <row r="78" spans="1:20" x14ac:dyDescent="0.25">
      <c r="A78" s="4" t="s">
        <v>190</v>
      </c>
      <c r="B78" s="37">
        <f>Multi!B893*B$11*LAFs!B$272*(1-Contrib!B$117)*100/(24*Input!$F$60)</f>
        <v>0</v>
      </c>
      <c r="C78" s="37">
        <f>Multi!C893*C$11*LAFs!C$272*(1-Contrib!C$117)*100/(24*Input!$F$60)</f>
        <v>2.5293681216061734</v>
      </c>
      <c r="D78" s="37">
        <f>Multi!D893*D$11*LAFs!D$272*(1-Contrib!D$117)*100/(24*Input!$F$60)</f>
        <v>0.39009512454845274</v>
      </c>
      <c r="E78" s="37">
        <f>Multi!E893*E$11*LAFs!E$272*(1-Contrib!E$117)*100/(24*Input!$F$60)</f>
        <v>0.61895258065830272</v>
      </c>
      <c r="F78" s="37">
        <f>Multi!F893*F$11*LAFs!F$272*(1-Contrib!F$117)*100/(24*Input!$F$60)</f>
        <v>0.11671755504606199</v>
      </c>
      <c r="G78" s="37">
        <f>Multi!G893*G$11*LAFs!G$272*(1-Contrib!G$117)*100/(24*Input!$F$60)</f>
        <v>0</v>
      </c>
      <c r="H78" s="37">
        <f>Multi!H893*H$11*LAFs!H$272*(1-Contrib!H$117)*100/(24*Input!$F$60)</f>
        <v>0.45099809608714569</v>
      </c>
      <c r="I78" s="37">
        <f>Multi!I893*I$11*LAFs!I$272*(1-Contrib!I$117)*100/(24*Input!$F$60)</f>
        <v>4.9430890370115811E-2</v>
      </c>
      <c r="J78" s="37">
        <f>Multi!J893*J$11*LAFs!J$272*(1-Contrib!J$117)*100/(24*Input!$F$60)</f>
        <v>0.11586968457259879</v>
      </c>
      <c r="K78" s="37">
        <f>Multi!B893*K$11*LAFs!B$272*(1-Contrib!K$117)*100/(24*Input!$F$60)</f>
        <v>0.88509521040756756</v>
      </c>
      <c r="L78" s="37">
        <f>Multi!C893*L$11*LAFs!C$272*(1-Contrib!L$117)*100/(24*Input!$F$60)</f>
        <v>1.7660407142902896</v>
      </c>
      <c r="M78" s="37">
        <f>Multi!D893*M$11*LAFs!D$272*(1-Contrib!M$117)*100/(24*Input!$F$60)</f>
        <v>0.27236995141744558</v>
      </c>
      <c r="N78" s="37">
        <f>Multi!E893*N$11*LAFs!E$272*(1-Contrib!N$117)*100/(24*Input!$F$60)</f>
        <v>0.43216147476527905</v>
      </c>
      <c r="O78" s="37">
        <f>Multi!F893*O$11*LAFs!F$272*(1-Contrib!O$117)*100/(24*Input!$F$60)</f>
        <v>0.42891501661910475</v>
      </c>
      <c r="P78" s="37">
        <f>Multi!G893*P$11*LAFs!G$272*(1-Contrib!P$117)*100/(24*Input!$F$60)</f>
        <v>0</v>
      </c>
      <c r="Q78" s="37">
        <f>Multi!H893*Q$11*LAFs!H$272*(1-Contrib!Q$117)*100/(24*Input!$F$60)</f>
        <v>1.6573330018955807</v>
      </c>
      <c r="R78" s="37">
        <f>Multi!I893*R$11*LAFs!I$272*(1-Contrib!R$117)*100/(24*Input!$F$60)</f>
        <v>0.69026698163500078</v>
      </c>
      <c r="S78" s="37">
        <f>Multi!J893*S$11*LAFs!J$272*(1-Contrib!S$117)*100/(24*Input!$F$60)</f>
        <v>1.6180371592351714</v>
      </c>
      <c r="T78" s="17"/>
    </row>
    <row r="79" spans="1:20" x14ac:dyDescent="0.25">
      <c r="A79" s="4" t="s">
        <v>191</v>
      </c>
      <c r="B79" s="37">
        <f>Multi!B894*B$11*LAFs!B$273*(1-Contrib!B$118)*100/(24*Input!$F$60)</f>
        <v>0</v>
      </c>
      <c r="C79" s="37">
        <f>Multi!C894*C$11*LAFs!C$273*(1-Contrib!C$118)*100/(24*Input!$F$60)</f>
        <v>2.4238075723610191</v>
      </c>
      <c r="D79" s="37">
        <f>Multi!D894*D$11*LAFs!D$273*(1-Contrib!D$118)*100/(24*Input!$F$60)</f>
        <v>0.3738149100342274</v>
      </c>
      <c r="E79" s="37">
        <f>Multi!E894*E$11*LAFs!E$273*(1-Contrib!E$118)*100/(24*Input!$F$60)</f>
        <v>0.59312123811354645</v>
      </c>
      <c r="F79" s="37">
        <f>Multi!F894*F$11*LAFs!F$273*(1-Contrib!F$118)*100/(24*Input!$F$60)</f>
        <v>0.11184646921558587</v>
      </c>
      <c r="G79" s="37">
        <f>Multi!G894*G$11*LAFs!G$273*(1-Contrib!G$118)*100/(24*Input!$F$60)</f>
        <v>0</v>
      </c>
      <c r="H79" s="37">
        <f>Multi!H894*H$11*LAFs!H$273*(1-Contrib!H$118)*100/(24*Input!$F$60)</f>
        <v>0.43217615936516052</v>
      </c>
      <c r="I79" s="37">
        <f>Multi!I894*I$11*LAFs!I$273*(1-Contrib!I$118)*100/(24*Input!$F$60)</f>
        <v>4.7367943544553308E-2</v>
      </c>
      <c r="J79" s="37">
        <f>Multi!J894*J$11*LAFs!J$273*(1-Contrib!J$118)*100/(24*Input!$F$60)</f>
        <v>0</v>
      </c>
      <c r="K79" s="37">
        <f>Multi!B894*K$11*LAFs!B$273*(1-Contrib!K$118)*100/(24*Input!$F$60)</f>
        <v>0.84815668186884752</v>
      </c>
      <c r="L79" s="37">
        <f>Multi!C894*L$11*LAFs!C$273*(1-Contrib!L$118)*100/(24*Input!$F$60)</f>
        <v>1.692336840900992</v>
      </c>
      <c r="M79" s="37">
        <f>Multi!D894*M$11*LAFs!D$273*(1-Contrib!M$118)*100/(24*Input!$F$60)</f>
        <v>0.26100287462703992</v>
      </c>
      <c r="N79" s="37">
        <f>Multi!E894*N$11*LAFs!E$273*(1-Contrib!N$118)*100/(24*Input!$F$60)</f>
        <v>0.4141256648532563</v>
      </c>
      <c r="O79" s="37">
        <f>Multi!F894*O$11*LAFs!F$273*(1-Contrib!O$118)*100/(24*Input!$F$60)</f>
        <v>0.41101469426307846</v>
      </c>
      <c r="P79" s="37">
        <f>Multi!G894*P$11*LAFs!G$273*(1-Contrib!P$118)*100/(24*Input!$F$60)</f>
        <v>0</v>
      </c>
      <c r="Q79" s="37">
        <f>Multi!H894*Q$11*LAFs!H$273*(1-Contrib!Q$118)*100/(24*Input!$F$60)</f>
        <v>1.5881659318800379</v>
      </c>
      <c r="R79" s="37">
        <f>Multi!I894*R$11*LAFs!I$273*(1-Contrib!R$118)*100/(24*Input!$F$60)</f>
        <v>0.66145940669770154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208</v>
      </c>
      <c r="B80" s="37">
        <f>Multi!B895*B$11*LAFs!B$274*(1-Contrib!B$119)*100/(24*Input!$F$60)</f>
        <v>0</v>
      </c>
      <c r="C80" s="37">
        <f>Multi!C895*C$11*LAFs!C$274*(1-Contrib!C$119)*100/(24*Input!$F$60)</f>
        <v>2.2450361463288027</v>
      </c>
      <c r="D80" s="37">
        <f>Multi!D895*D$11*LAFs!D$274*(1-Contrib!D$119)*100/(24*Input!$F$60)</f>
        <v>0.11426040508701799</v>
      </c>
      <c r="E80" s="37">
        <f>Multi!E895*E$11*LAFs!E$274*(1-Contrib!E$119)*100/(24*Input!$F$60)</f>
        <v>0.18129365927742755</v>
      </c>
      <c r="F80" s="37">
        <f>Multi!F895*F$11*LAFs!F$274*(1-Contrib!F$119)*100/(24*Input!$F$60)</f>
        <v>0</v>
      </c>
      <c r="G80" s="37">
        <f>Multi!G895*G$11*LAFs!G$274*(1-Contrib!G$119)*100/(24*Input!$F$60)</f>
        <v>0</v>
      </c>
      <c r="H80" s="37">
        <f>Multi!H895*H$11*LAFs!H$274*(1-Contrib!H$119)*100/(24*Input!$F$60)</f>
        <v>0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0.78559966156514882</v>
      </c>
      <c r="L80" s="37">
        <f>Multi!C895*L$11*LAFs!C$274*(1-Contrib!L$119)*100/(24*Input!$F$60)</f>
        <v>1.5675160944751436</v>
      </c>
      <c r="M80" s="37">
        <f>Multi!D895*M$11*LAFs!D$274*(1-Contrib!M$119)*100/(24*Input!$F$60)</f>
        <v>0.24175223087641717</v>
      </c>
      <c r="N80" s="37">
        <f>Multi!E895*N$11*LAFs!E$274*(1-Contrib!N$119)*100/(24*Input!$F$60)</f>
        <v>0.38358122869150274</v>
      </c>
      <c r="O80" s="37">
        <f>Multi!F895*O$11*LAFs!F$274*(1-Contrib!O$119)*100/(24*Input!$F$60)</f>
        <v>0.38069971222758969</v>
      </c>
      <c r="P80" s="37">
        <f>Multi!G895*P$11*LAFs!G$274*(1-Contrib!P$119)*100/(24*Input!$F$60)</f>
        <v>0</v>
      </c>
      <c r="Q80" s="37">
        <f>Multi!H895*Q$11*LAFs!H$274*(1-Contrib!Q$119)*100/(24*Input!$F$60)</f>
        <v>1.4710284612097013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230</v>
      </c>
      <c r="B81" s="37">
        <f>Multi!B896*B$11*LAFs!B$275*(1-Contrib!B$120)*100/(24*Input!$F$60)</f>
        <v>0</v>
      </c>
      <c r="C81" s="37">
        <f>Multi!C896*C$11*LAFs!C$275*(1-Contrib!C$120)*100/(24*Input!$F$60)</f>
        <v>0.16020622074974469</v>
      </c>
      <c r="D81" s="37">
        <f>Multi!D896*D$11*LAFs!D$275*(1-Contrib!D$120)*100/(24*Input!$F$60)</f>
        <v>2.4708015058370874E-2</v>
      </c>
      <c r="E81" s="37">
        <f>Multi!E896*E$11*LAFs!E$275*(1-Contrib!E$120)*100/(24*Input!$F$60)</f>
        <v>5.5174200109268587E-2</v>
      </c>
      <c r="F81" s="37">
        <f>Multi!F896*F$11*LAFs!F$275*(1-Contrib!F$120)*100/(24*Input!$F$60)</f>
        <v>1.0404347505146171E-2</v>
      </c>
      <c r="G81" s="37">
        <f>Multi!G896*G$11*LAFs!G$275*(1-Contrib!G$120)*100/(24*Input!$F$60)</f>
        <v>0</v>
      </c>
      <c r="H81" s="37">
        <f>Multi!H896*H$11*LAFs!H$275*(1-Contrib!H$120)*100/(24*Input!$F$60)</f>
        <v>4.0202529208208306E-2</v>
      </c>
      <c r="I81" s="37">
        <f>Multi!I896*I$11*LAFs!I$275*(1-Contrib!I$120)*100/(24*Input!$F$60)</f>
        <v>4.4063308274107016E-3</v>
      </c>
      <c r="J81" s="37">
        <f>Multi!J896*J$11*LAFs!J$275*(1-Contrib!J$120)*100/(24*Input!$F$60)</f>
        <v>1.0328767280373789E-2</v>
      </c>
      <c r="K81" s="37">
        <f>Multi!B896*K$11*LAFs!B$275*(1-Contrib!K$120)*100/(24*Input!$F$60)</f>
        <v>4.9781986881323244E-2</v>
      </c>
      <c r="L81" s="37">
        <f>Multi!C896*L$11*LAFs!C$275*(1-Contrib!L$120)*100/(24*Input!$F$60)</f>
        <v>0.11185825665698801</v>
      </c>
      <c r="M81" s="37">
        <f>Multi!D896*M$11*LAFs!D$275*(1-Contrib!M$120)*100/(24*Input!$F$60)</f>
        <v>1.7251486720988505E-2</v>
      </c>
      <c r="N81" s="37">
        <f>Multi!E896*N$11*LAFs!E$275*(1-Contrib!N$120)*100/(24*Input!$F$60)</f>
        <v>3.8523409439308036E-2</v>
      </c>
      <c r="O81" s="37">
        <f>Multi!F896*O$11*LAFs!F$275*(1-Contrib!O$120)*100/(24*Input!$F$60)</f>
        <v>3.8234016136814861E-2</v>
      </c>
      <c r="P81" s="37">
        <f>Multi!G896*P$11*LAFs!G$275*(1-Contrib!P$120)*100/(24*Input!$F$60)</f>
        <v>0</v>
      </c>
      <c r="Q81" s="37">
        <f>Multi!H896*Q$11*LAFs!H$275*(1-Contrib!Q$120)*100/(24*Input!$F$60)</f>
        <v>0.14773671772565536</v>
      </c>
      <c r="R81" s="37">
        <f>Multi!I896*R$11*LAFs!I$275*(1-Contrib!R$120)*100/(24*Input!$F$60)</f>
        <v>6.1531254192436144E-2</v>
      </c>
      <c r="S81" s="37">
        <f>Multi!J896*S$11*LAFs!J$275*(1-Contrib!S$120)*100/(24*Input!$F$60)</f>
        <v>0.14423383761147635</v>
      </c>
      <c r="T81" s="17"/>
    </row>
    <row r="82" spans="1:20" x14ac:dyDescent="0.25">
      <c r="A82" s="4" t="s">
        <v>231</v>
      </c>
      <c r="B82" s="37">
        <f>Multi!B897*B$11*LAFs!B$276*(1-Contrib!B$121)*100/(24*Input!$F$60)</f>
        <v>0</v>
      </c>
      <c r="C82" s="37">
        <f>Multi!C897*C$11*LAFs!C$276*(1-Contrib!C$121)*100/(24*Input!$F$60)</f>
        <v>0.25320940789596513</v>
      </c>
      <c r="D82" s="37">
        <f>Multi!D897*D$11*LAFs!D$276*(1-Contrib!D$121)*100/(24*Input!$F$60)</f>
        <v>3.9051553890579169E-2</v>
      </c>
      <c r="E82" s="37">
        <f>Multi!E897*E$11*LAFs!E$276*(1-Contrib!E$121)*100/(24*Input!$F$60)</f>
        <v>6.7552825881054573E-2</v>
      </c>
      <c r="F82" s="37">
        <f>Multi!F897*F$11*LAFs!F$276*(1-Contrib!F$121)*100/(24*Input!$F$60)</f>
        <v>1.2738618304011528E-2</v>
      </c>
      <c r="G82" s="37">
        <f>Multi!G897*G$11*LAFs!G$276*(1-Contrib!G$121)*100/(24*Input!$F$60)</f>
        <v>0</v>
      </c>
      <c r="H82" s="37">
        <f>Multi!H897*H$11*LAFs!H$276*(1-Contrib!H$121)*100/(24*Input!$F$60)</f>
        <v>4.922218084180046E-2</v>
      </c>
      <c r="I82" s="37">
        <f>Multi!I897*I$11*LAFs!I$276*(1-Contrib!I$121)*100/(24*Input!$F$60)</f>
        <v>5.3949146262003509E-3</v>
      </c>
      <c r="J82" s="37">
        <f>Multi!J897*J$11*LAFs!J$276*(1-Contrib!J$121)*100/(24*Input!$F$60)</f>
        <v>1.2646081253107516E-2</v>
      </c>
      <c r="K82" s="37">
        <f>Multi!B897*K$11*LAFs!B$276*(1-Contrib!K$121)*100/(24*Input!$F$60)</f>
        <v>8.2436513773937986E-2</v>
      </c>
      <c r="L82" s="37">
        <f>Multi!C897*L$11*LAFs!C$276*(1-Contrib!L$121)*100/(24*Input!$F$60)</f>
        <v>0.17679440163958782</v>
      </c>
      <c r="M82" s="37">
        <f>Multi!D897*M$11*LAFs!D$276*(1-Contrib!M$121)*100/(24*Input!$F$60)</f>
        <v>2.7266349068742788E-2</v>
      </c>
      <c r="N82" s="37">
        <f>Multi!E897*N$11*LAFs!E$276*(1-Contrib!N$121)*100/(24*Input!$F$60)</f>
        <v>4.7166341606119336E-2</v>
      </c>
      <c r="O82" s="37">
        <f>Multi!F897*O$11*LAFs!F$276*(1-Contrib!O$121)*100/(24*Input!$F$60)</f>
        <v>4.681202137427639E-2</v>
      </c>
      <c r="P82" s="37">
        <f>Multi!G897*P$11*LAFs!G$276*(1-Contrib!P$121)*100/(24*Input!$F$60)</f>
        <v>0</v>
      </c>
      <c r="Q82" s="37">
        <f>Multi!H897*Q$11*LAFs!H$276*(1-Contrib!Q$121)*100/(24*Input!$F$60)</f>
        <v>0.18088223751309407</v>
      </c>
      <c r="R82" s="37">
        <f>Multi!I897*R$11*LAFs!I$276*(1-Contrib!R$121)*100/(24*Input!$F$60)</f>
        <v>7.5336118919217224E-2</v>
      </c>
      <c r="S82" s="37">
        <f>Multi!J897*S$11*LAFs!J$276*(1-Contrib!S$121)*100/(24*Input!$F$60)</f>
        <v>0.1765934675813739</v>
      </c>
      <c r="T82" s="17"/>
    </row>
    <row r="83" spans="1:20" x14ac:dyDescent="0.25">
      <c r="A83" s="4" t="s">
        <v>232</v>
      </c>
      <c r="B83" s="37">
        <f>Multi!B898*B$11*LAFs!B$277*(1-Contrib!B$122)*100/(24*Input!$F$60)</f>
        <v>0</v>
      </c>
      <c r="C83" s="37">
        <f>Multi!C898*C$11*LAFs!C$277*(1-Contrib!C$122)*100/(24*Input!$F$60)</f>
        <v>0.44434519963343955</v>
      </c>
      <c r="D83" s="37">
        <f>Multi!D898*D$11*LAFs!D$277*(1-Contrib!D$122)*100/(24*Input!$F$60)</f>
        <v>6.852972270538582E-2</v>
      </c>
      <c r="E83" s="37">
        <f>Multi!E898*E$11*LAFs!E$277*(1-Contrib!E$122)*100/(24*Input!$F$60)</f>
        <v>0.11438856727377475</v>
      </c>
      <c r="F83" s="37">
        <f>Multi!F898*F$11*LAFs!F$277*(1-Contrib!F$122)*100/(24*Input!$F$60)</f>
        <v>2.1570560192538508E-2</v>
      </c>
      <c r="G83" s="37">
        <f>Multi!G898*G$11*LAFs!G$277*(1-Contrib!G$122)*100/(24*Input!$F$60)</f>
        <v>0</v>
      </c>
      <c r="H83" s="37">
        <f>Multi!H898*H$11*LAFs!H$277*(1-Contrib!H$122)*100/(24*Input!$F$60)</f>
        <v>8.3348915032779997E-2</v>
      </c>
      <c r="I83" s="37">
        <f>Multi!I898*I$11*LAFs!I$277*(1-Contrib!I$122)*100/(24*Input!$F$60)</f>
        <v>9.1353181248404695E-3</v>
      </c>
      <c r="J83" s="37">
        <f>Multi!J898*J$11*LAFs!J$277*(1-Contrib!J$122)*100/(24*Input!$F$60)</f>
        <v>2.1413865331374765E-2</v>
      </c>
      <c r="K83" s="37">
        <f>Multi!B898*K$11*LAFs!B$277*(1-Contrib!K$122)*100/(24*Input!$F$60)</f>
        <v>0.14726367977397933</v>
      </c>
      <c r="L83" s="37">
        <f>Multi!C898*L$11*LAFs!C$277*(1-Contrib!L$122)*100/(24*Input!$F$60)</f>
        <v>0.31024812365144727</v>
      </c>
      <c r="M83" s="37">
        <f>Multi!D898*M$11*LAFs!D$277*(1-Contrib!M$122)*100/(24*Input!$F$60)</f>
        <v>4.784842483105315E-2</v>
      </c>
      <c r="N83" s="37">
        <f>Multi!E898*N$11*LAFs!E$277*(1-Contrib!N$122)*100/(24*Input!$F$60)</f>
        <v>7.9867720846635251E-2</v>
      </c>
      <c r="O83" s="37">
        <f>Multi!F898*O$11*LAFs!F$277*(1-Contrib!O$122)*100/(24*Input!$F$60)</f>
        <v>7.9267743226927811E-2</v>
      </c>
      <c r="P83" s="37">
        <f>Multi!G898*P$11*LAFs!G$277*(1-Contrib!P$122)*100/(24*Input!$F$60)</f>
        <v>0</v>
      </c>
      <c r="Q83" s="37">
        <f>Multi!H898*Q$11*LAFs!H$277*(1-Contrib!Q$122)*100/(24*Input!$F$60)</f>
        <v>0.30629155367725769</v>
      </c>
      <c r="R83" s="37">
        <f>Multi!I898*R$11*LAFs!I$277*(1-Contrib!R$122)*100/(24*Input!$F$60)</f>
        <v>0.12756817490225542</v>
      </c>
      <c r="S83" s="37">
        <f>Multi!J898*S$11*LAFs!J$277*(1-Contrib!S$122)*100/(24*Input!$F$60)</f>
        <v>0.29902929275096973</v>
      </c>
      <c r="T83" s="17"/>
    </row>
    <row r="84" spans="1:20" x14ac:dyDescent="0.25">
      <c r="A84" s="4" t="s">
        <v>233</v>
      </c>
      <c r="B84" s="37">
        <f>Multi!B899*B$11*LAFs!B$278*(1-Contrib!B$123)*100/(24*Input!$F$60)</f>
        <v>0</v>
      </c>
      <c r="C84" s="37">
        <f>Multi!C899*C$11*LAFs!C$278*(1-Contrib!C$123)*100/(24*Input!$F$60)</f>
        <v>7.1041529338310108E-2</v>
      </c>
      <c r="D84" s="37">
        <f>Multi!D899*D$11*LAFs!D$278*(1-Contrib!D$123)*100/(24*Input!$F$60)</f>
        <v>1.0956473278291592E-2</v>
      </c>
      <c r="E84" s="37">
        <f>Multi!E899*E$11*LAFs!E$278*(1-Contrib!E$123)*100/(24*Input!$F$60)</f>
        <v>4.3052680966917223E-2</v>
      </c>
      <c r="F84" s="37">
        <f>Multi!F899*F$11*LAFs!F$278*(1-Contrib!F$123)*100/(24*Input!$F$60)</f>
        <v>8.11855999581137E-3</v>
      </c>
      <c r="G84" s="37">
        <f>Multi!G899*G$11*LAFs!G$278*(1-Contrib!G$123)*100/(24*Input!$F$60)</f>
        <v>0</v>
      </c>
      <c r="H84" s="37">
        <f>Multi!H899*H$11*LAFs!H$278*(1-Contrib!H$123)*100/(24*Input!$F$60)</f>
        <v>3.1370217613239222E-2</v>
      </c>
      <c r="I84" s="37">
        <f>Multi!I899*I$11*LAFs!I$278*(1-Contrib!I$123)*100/(24*Input!$F$60)</f>
        <v>3.4382801195397355E-3</v>
      </c>
      <c r="J84" s="37">
        <f>Multi!J899*J$11*LAFs!J$278*(1-Contrib!J$123)*100/(24*Input!$F$60)</f>
        <v>8.0595844003684084E-3</v>
      </c>
      <c r="K84" s="37">
        <f>Multi!B899*K$11*LAFs!B$278*(1-Contrib!K$123)*100/(24*Input!$F$60)</f>
        <v>1.8502280799643306E-2</v>
      </c>
      <c r="L84" s="37">
        <f>Multi!C899*L$11*LAFs!C$278*(1-Contrib!L$123)*100/(24*Input!$F$60)</f>
        <v>4.9602203864747861E-2</v>
      </c>
      <c r="M84" s="37">
        <f>Multi!D899*M$11*LAFs!D$278*(1-Contrib!M$123)*100/(24*Input!$F$60)</f>
        <v>7.6499651154808522E-3</v>
      </c>
      <c r="N84" s="37">
        <f>Multi!E899*N$11*LAFs!E$278*(1-Contrib!N$123)*100/(24*Input!$F$60)</f>
        <v>3.005999276951625E-2</v>
      </c>
      <c r="O84" s="37">
        <f>Multi!F899*O$11*LAFs!F$278*(1-Contrib!O$123)*100/(24*Input!$F$60)</f>
        <v>2.9834177850559074E-2</v>
      </c>
      <c r="P84" s="37">
        <f>Multi!G899*P$11*LAFs!G$278*(1-Contrib!P$123)*100/(24*Input!$F$60)</f>
        <v>0</v>
      </c>
      <c r="Q84" s="37">
        <f>Multi!H899*Q$11*LAFs!H$278*(1-Contrib!Q$123)*100/(24*Input!$F$60)</f>
        <v>0.11527963727150918</v>
      </c>
      <c r="R84" s="37">
        <f>Multi!I899*R$11*LAFs!I$278*(1-Contrib!R$123)*100/(24*Input!$F$60)</f>
        <v>4.8013119374543084E-2</v>
      </c>
      <c r="S84" s="37">
        <f>Multi!J899*S$11*LAFs!J$278*(1-Contrib!S$123)*100/(24*Input!$F$60)</f>
        <v>0.11254632388006093</v>
      </c>
      <c r="T84" s="17"/>
    </row>
    <row r="85" spans="1:20" x14ac:dyDescent="0.25">
      <c r="A85" s="4" t="s">
        <v>234</v>
      </c>
      <c r="B85" s="37">
        <f>Multi!B900*B$11*LAFs!B$279*(1-Contrib!B$124)*100/(24*Input!$F$60)</f>
        <v>0</v>
      </c>
      <c r="C85" s="37">
        <f>Multi!C900*C$11*LAFs!C$279*(1-Contrib!C$124)*100/(24*Input!$F$60)</f>
        <v>7.1414164481732314</v>
      </c>
      <c r="D85" s="37">
        <f>Multi!D900*D$11*LAFs!D$279*(1-Contrib!D$124)*100/(24*Input!$F$60)</f>
        <v>1.1013943423282633</v>
      </c>
      <c r="E85" s="37">
        <f>Multi!E900*E$11*LAFs!E$279*(1-Contrib!E$124)*100/(24*Input!$F$60)</f>
        <v>1.6338924845200495</v>
      </c>
      <c r="F85" s="37">
        <f>Multi!F900*F$11*LAFs!F$279*(1-Contrib!F$124)*100/(24*Input!$F$60)</f>
        <v>0.30810750606853887</v>
      </c>
      <c r="G85" s="37">
        <f>Multi!G900*G$11*LAFs!G$279*(1-Contrib!G$124)*100/(24*Input!$F$60)</f>
        <v>0</v>
      </c>
      <c r="H85" s="37">
        <f>Multi!H900*H$11*LAFs!H$279*(1-Contrib!H$124)*100/(24*Input!$F$60)</f>
        <v>1.1905312664597152</v>
      </c>
      <c r="I85" s="37">
        <f>Multi!I900*I$11*LAFs!I$279*(1-Contrib!I$124)*100/(24*Input!$F$60)</f>
        <v>0.13048618392214681</v>
      </c>
      <c r="J85" s="37">
        <f>Multi!J900*J$11*LAFs!J$279*(1-Contrib!J$124)*100/(24*Input!$F$60)</f>
        <v>0.30586932298678399</v>
      </c>
      <c r="K85" s="37">
        <f>Multi!B900*K$11*LAFs!B$279*(1-Contrib!K$124)*100/(24*Input!$F$60)</f>
        <v>2.4316648262296847</v>
      </c>
      <c r="L85" s="37">
        <f>Multi!C900*L$11*LAFs!C$279*(1-Contrib!L$124)*100/(24*Input!$F$60)</f>
        <v>4.9862383009585471</v>
      </c>
      <c r="M85" s="37">
        <f>Multi!D900*M$11*LAFs!D$279*(1-Contrib!M$124)*100/(24*Input!$F$60)</f>
        <v>0.76900915862161179</v>
      </c>
      <c r="N85" s="37">
        <f>Multi!E900*N$11*LAFs!E$279*(1-Contrib!N$124)*100/(24*Input!$F$60)</f>
        <v>1.1408069176593365</v>
      </c>
      <c r="O85" s="37">
        <f>Multi!F900*O$11*LAFs!F$279*(1-Contrib!O$124)*100/(24*Input!$F$60)</f>
        <v>1.1322370146779135</v>
      </c>
      <c r="P85" s="37">
        <f>Multi!G900*P$11*LAFs!G$279*(1-Contrib!P$124)*100/(24*Input!$F$60)</f>
        <v>0</v>
      </c>
      <c r="Q85" s="37">
        <f>Multi!H900*Q$11*LAFs!H$279*(1-Contrib!Q$124)*100/(24*Input!$F$60)</f>
        <v>4.3749780205523692</v>
      </c>
      <c r="R85" s="37">
        <f>Multi!I900*R$11*LAFs!I$279*(1-Contrib!R$124)*100/(24*Input!$F$60)</f>
        <v>1.8221461043206941</v>
      </c>
      <c r="S85" s="37">
        <f>Multi!J900*S$11*LAFs!J$279*(1-Contrib!S$124)*100/(24*Input!$F$60)</f>
        <v>4.2712460320251742</v>
      </c>
      <c r="T85" s="17"/>
    </row>
    <row r="86" spans="1:20" x14ac:dyDescent="0.25">
      <c r="A86" s="4" t="s">
        <v>196</v>
      </c>
      <c r="B86" s="37">
        <f>Multi!B901*B$11*LAFs!B$284*(1-Contrib!B$129)*100/(24*Input!$F$60)</f>
        <v>0</v>
      </c>
      <c r="C86" s="37">
        <f>Multi!C901*C$11*LAFs!C$284*(1-Contrib!C$129)*100/(24*Input!$F$60)</f>
        <v>-2.1745271359357927</v>
      </c>
      <c r="D86" s="37">
        <f>Multi!D901*D$11*LAFs!D$284*(1-Contrib!D$129)*100/(24*Input!$F$60)</f>
        <v>-0.33536930693512579</v>
      </c>
      <c r="E86" s="37">
        <f>Multi!E901*E$11*LAFs!E$284*(1-Contrib!E$129)*100/(24*Input!$F$60)</f>
        <v>-0.53212071861026267</v>
      </c>
      <c r="F86" s="37">
        <f>Multi!F901*F$11*LAFs!F$284*(1-Contrib!F$129)*100/(24*Input!$F$60)</f>
        <v>-0.10034343697135414</v>
      </c>
      <c r="G86" s="37">
        <f>Multi!G901*G$11*LAFs!G$284*(1-Contrib!G$129)*100/(24*Input!$F$60)</f>
        <v>0</v>
      </c>
      <c r="H86" s="37">
        <f>Multi!H901*H$11*LAFs!H$284*(1-Contrib!H$129)*100/(24*Input!$F$60)</f>
        <v>-0.38772829854996271</v>
      </c>
      <c r="I86" s="37">
        <f>Multi!I901*I$11*LAFs!I$284*(1-Contrib!I$129)*100/(24*Input!$F$60)</f>
        <v>-4.2496310262275176E-2</v>
      </c>
      <c r="J86" s="37">
        <f>Multi!J901*J$11*LAFs!J$284*(1-Contrib!J$129)*100/(24*Input!$F$60)</f>
        <v>0</v>
      </c>
      <c r="K86" s="37">
        <f>Multi!B901*K$11*LAFs!B$284*(1-Contrib!K$129)*100/(24*Input!$F$60)</f>
        <v>-0.76092662688255741</v>
      </c>
      <c r="L86" s="37">
        <f>Multi!C901*L$11*LAFs!C$284*(1-Contrib!L$129)*100/(24*Input!$F$60)</f>
        <v>-1.5182857028944587</v>
      </c>
      <c r="M86" s="37">
        <f>Multi!D901*M$11*LAFs!D$284*(1-Contrib!M$129)*100/(24*Input!$F$60)</f>
        <v>-0.23415960899936072</v>
      </c>
      <c r="N86" s="37">
        <f>Multi!E901*N$11*LAFs!E$284*(1-Contrib!N$129)*100/(24*Input!$F$60)</f>
        <v>-0.37153423653745682</v>
      </c>
      <c r="O86" s="37">
        <f>Multi!F901*O$11*LAFs!F$284*(1-Contrib!O$129)*100/(24*Input!$F$60)</f>
        <v>-0.36874321878316763</v>
      </c>
      <c r="P86" s="37">
        <f>Multi!G901*P$11*LAFs!G$284*(1-Contrib!P$129)*100/(24*Input!$F$60)</f>
        <v>0</v>
      </c>
      <c r="Q86" s="37">
        <f>Multi!H901*Q$11*LAFs!H$284*(1-Contrib!Q$129)*100/(24*Input!$F$60)</f>
        <v>-1.4248284206315318</v>
      </c>
      <c r="R86" s="37">
        <f>Multi!I901*R$11*LAFs!I$284*(1-Contrib!R$129)*100/(24*Input!$F$60)</f>
        <v>-0.5934305369724715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197</v>
      </c>
      <c r="B87" s="37">
        <f>Multi!B902*B$11*LAFs!B$285*(1-Contrib!B$130)*100/(24*Input!$F$60)</f>
        <v>0</v>
      </c>
      <c r="C87" s="37">
        <f>Multi!C902*C$11*LAFs!C$285*(1-Contrib!C$130)*100/(24*Input!$F$60)</f>
        <v>-2.1745271359357927</v>
      </c>
      <c r="D87" s="37">
        <f>Multi!D902*D$11*LAFs!D$285*(1-Contrib!D$130)*100/(24*Input!$F$60)</f>
        <v>-0.33536930693512579</v>
      </c>
      <c r="E87" s="37">
        <f>Multi!E902*E$11*LAFs!E$285*(1-Contrib!E$130)*100/(24*Input!$F$60)</f>
        <v>-0.53212071861026267</v>
      </c>
      <c r="F87" s="37">
        <f>Multi!F902*F$11*LAFs!F$285*(1-Contrib!F$130)*100/(24*Input!$F$60)</f>
        <v>-0.10034343697135414</v>
      </c>
      <c r="G87" s="37">
        <f>Multi!G902*G$11*LAFs!G$285*(1-Contrib!G$130)*100/(24*Input!$F$60)</f>
        <v>0</v>
      </c>
      <c r="H87" s="37">
        <f>Multi!H902*H$11*LAFs!H$285*(1-Contrib!H$130)*100/(24*Input!$F$60)</f>
        <v>-0.38772829854996271</v>
      </c>
      <c r="I87" s="37">
        <f>Multi!I902*I$11*LAFs!I$285*(1-Contrib!I$130)*100/(24*Input!$F$60)</f>
        <v>-4.2496310262275176E-2</v>
      </c>
      <c r="J87" s="37">
        <f>Multi!J902*J$11*LAFs!J$285*(1-Contrib!J$130)*100/(24*Input!$F$60)</f>
        <v>0</v>
      </c>
      <c r="K87" s="37">
        <f>Multi!B902*K$11*LAFs!B$285*(1-Contrib!K$130)*100/(24*Input!$F$60)</f>
        <v>-0.76092662688255741</v>
      </c>
      <c r="L87" s="37">
        <f>Multi!C902*L$11*LAFs!C$285*(1-Contrib!L$130)*100/(24*Input!$F$60)</f>
        <v>-1.5182857028944587</v>
      </c>
      <c r="M87" s="37">
        <f>Multi!D902*M$11*LAFs!D$285*(1-Contrib!M$130)*100/(24*Input!$F$60)</f>
        <v>-0.23415960899936072</v>
      </c>
      <c r="N87" s="37">
        <f>Multi!E902*N$11*LAFs!E$285*(1-Contrib!N$130)*100/(24*Input!$F$60)</f>
        <v>-0.37153423653745682</v>
      </c>
      <c r="O87" s="37">
        <f>Multi!F902*O$11*LAFs!F$285*(1-Contrib!O$130)*100/(24*Input!$F$60)</f>
        <v>-0.36874321878316763</v>
      </c>
      <c r="P87" s="37">
        <f>Multi!G902*P$11*LAFs!G$285*(1-Contrib!P$130)*100/(24*Input!$F$60)</f>
        <v>0</v>
      </c>
      <c r="Q87" s="37">
        <f>Multi!H902*Q$11*LAFs!H$285*(1-Contrib!Q$130)*100/(24*Input!$F$60)</f>
        <v>-1.4248284206315318</v>
      </c>
      <c r="R87" s="37">
        <f>Multi!I902*R$11*LAFs!I$285*(1-Contrib!R$130)*100/(24*Input!$F$60)</f>
        <v>-0.5934305369724715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200</v>
      </c>
      <c r="B88" s="37">
        <f>Multi!B903*B$11*LAFs!B$288*(1-Contrib!B$133)*100/(24*Input!$F$60)</f>
        <v>0</v>
      </c>
      <c r="C88" s="37">
        <f>Multi!C903*C$11*LAFs!C$288*(1-Contrib!C$133)*100/(24*Input!$F$60)</f>
        <v>-2.147908630505317</v>
      </c>
      <c r="D88" s="37">
        <f>Multi!D903*D$11*LAFs!D$288*(1-Contrib!D$133)*100/(24*Input!$F$60)</f>
        <v>-0.33126403293309503</v>
      </c>
      <c r="E88" s="37">
        <f>Multi!E903*E$11*LAFs!E$288*(1-Contrib!E$133)*100/(24*Input!$F$60)</f>
        <v>-0.52560699983254755</v>
      </c>
      <c r="F88" s="37">
        <f>Multi!F903*F$11*LAFs!F$288*(1-Contrib!F$133)*100/(24*Input!$F$60)</f>
        <v>-9.9115127479237744E-2</v>
      </c>
      <c r="G88" s="37">
        <f>Multi!G903*G$11*LAFs!G$288*(1-Contrib!G$133)*100/(24*Input!$F$60)</f>
        <v>0</v>
      </c>
      <c r="H88" s="37">
        <f>Multi!H903*H$11*LAFs!H$288*(1-Contrib!H$133)*100/(24*Input!$F$60)</f>
        <v>-0.38298209527204413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-0.75161208248569</v>
      </c>
      <c r="L88" s="37">
        <f>Multi!C903*L$11*LAFs!C$288*(1-Contrib!L$133)*100/(24*Input!$F$60)</f>
        <v>-1.4997002846857697</v>
      </c>
      <c r="M88" s="37">
        <f>Multi!D903*M$11*LAFs!D$288*(1-Contrib!M$133)*100/(24*Input!$F$60)</f>
        <v>-0.2312932484372216</v>
      </c>
      <c r="N88" s="37">
        <f>Multi!E903*N$11*LAFs!E$288*(1-Contrib!N$133)*100/(24*Input!$F$60)</f>
        <v>-0.36698626565705472</v>
      </c>
      <c r="O88" s="37">
        <f>Multi!F903*O$11*LAFs!F$288*(1-Contrib!O$133)*100/(24*Input!$F$60)</f>
        <v>-0.36422941290352434</v>
      </c>
      <c r="P88" s="37">
        <f>Multi!G903*P$11*LAFs!G$288*(1-Contrib!P$133)*100/(24*Input!$F$60)</f>
        <v>0</v>
      </c>
      <c r="Q88" s="37">
        <f>Multi!H903*Q$11*LAFs!H$288*(1-Contrib!Q$133)*100/(24*Input!$F$60)</f>
        <v>-1.4073870181190931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201</v>
      </c>
      <c r="B89" s="37">
        <f>Multi!B904*B$11*LAFs!B$289*(1-Contrib!B$134)*100/(24*Input!$F$60)</f>
        <v>0</v>
      </c>
      <c r="C89" s="37">
        <f>Multi!C904*C$11*LAFs!C$289*(1-Contrib!C$134)*100/(24*Input!$F$60)</f>
        <v>-2.147908630505317</v>
      </c>
      <c r="D89" s="37">
        <f>Multi!D904*D$11*LAFs!D$289*(1-Contrib!D$134)*100/(24*Input!$F$60)</f>
        <v>-0.33126403293309503</v>
      </c>
      <c r="E89" s="37">
        <f>Multi!E904*E$11*LAFs!E$289*(1-Contrib!E$134)*100/(24*Input!$F$60)</f>
        <v>-0.52560699983254755</v>
      </c>
      <c r="F89" s="37">
        <f>Multi!F904*F$11*LAFs!F$289*(1-Contrib!F$134)*100/(24*Input!$F$60)</f>
        <v>-9.9115127479237744E-2</v>
      </c>
      <c r="G89" s="37">
        <f>Multi!G904*G$11*LAFs!G$289*(1-Contrib!G$134)*100/(24*Input!$F$60)</f>
        <v>0</v>
      </c>
      <c r="H89" s="37">
        <f>Multi!H904*H$11*LAFs!H$289*(1-Contrib!H$134)*100/(24*Input!$F$60)</f>
        <v>-0.38298209527204413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-0.75161208248569</v>
      </c>
      <c r="L89" s="37">
        <f>Multi!C904*L$11*LAFs!C$289*(1-Contrib!L$134)*100/(24*Input!$F$60)</f>
        <v>-1.4997002846857697</v>
      </c>
      <c r="M89" s="37">
        <f>Multi!D904*M$11*LAFs!D$289*(1-Contrib!M$134)*100/(24*Input!$F$60)</f>
        <v>-0.2312932484372216</v>
      </c>
      <c r="N89" s="37">
        <f>Multi!E904*N$11*LAFs!E$289*(1-Contrib!N$134)*100/(24*Input!$F$60)</f>
        <v>-0.36698626565705472</v>
      </c>
      <c r="O89" s="37">
        <f>Multi!F904*O$11*LAFs!F$289*(1-Contrib!O$134)*100/(24*Input!$F$60)</f>
        <v>-0.36422941290352434</v>
      </c>
      <c r="P89" s="37">
        <f>Multi!G904*P$11*LAFs!G$289*(1-Contrib!P$134)*100/(24*Input!$F$60)</f>
        <v>0</v>
      </c>
      <c r="Q89" s="37">
        <f>Multi!H904*Q$11*LAFs!H$289*(1-Contrib!Q$134)*100/(24*Input!$F$60)</f>
        <v>-1.4073870181190931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211</v>
      </c>
      <c r="B90" s="37">
        <f>Multi!B905*B$11*LAFs!B$292*(1-Contrib!B$137)*100/(24*Input!$F$60)</f>
        <v>0</v>
      </c>
      <c r="C90" s="37">
        <f>Multi!C905*C$11*LAFs!C$292*(1-Contrib!C$137)*100/(24*Input!$F$60)</f>
        <v>-2.1253852797564523</v>
      </c>
      <c r="D90" s="37">
        <f>Multi!D905*D$11*LAFs!D$292*(1-Contrib!D$137)*100/(24*Input!$F$60)</f>
        <v>-0.10817081205043121</v>
      </c>
      <c r="E90" s="37">
        <f>Multi!E905*E$11*LAFs!E$292*(1-Contrib!E$137)*100/(24*Input!$F$60)</f>
        <v>-0.17163147923988639</v>
      </c>
      <c r="F90" s="37">
        <f>Multi!F905*F$11*LAFs!F$292*(1-Contrib!F$137)*100/(24*Input!$F$60)</f>
        <v>0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-0.74373054491910984</v>
      </c>
      <c r="L90" s="37">
        <f>Multi!C905*L$11*LAFs!C$292*(1-Contrib!L$137)*100/(24*Input!$F$60)</f>
        <v>-1.4839741615861093</v>
      </c>
      <c r="M90" s="37">
        <f>Multi!D905*M$11*LAFs!D$292*(1-Contrib!M$137)*100/(24*Input!$F$60)</f>
        <v>-0.22886786642310392</v>
      </c>
      <c r="N90" s="37">
        <f>Multi!E905*N$11*LAFs!E$292*(1-Contrib!N$137)*100/(24*Input!$F$60)</f>
        <v>-0.36313798260440694</v>
      </c>
      <c r="O90" s="37">
        <f>Multi!F905*O$11*LAFs!F$292*(1-Contrib!O$137)*100/(24*Input!$F$60)</f>
        <v>-0.36041003869767235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212</v>
      </c>
      <c r="B91" s="37">
        <f>Multi!B906*B$11*LAFs!B$293*(1-Contrib!B$138)*100/(24*Input!$F$60)</f>
        <v>0</v>
      </c>
      <c r="C91" s="37">
        <f>Multi!C906*C$11*LAFs!C$293*(1-Contrib!C$138)*100/(24*Input!$F$60)</f>
        <v>-2.1253852797564523</v>
      </c>
      <c r="D91" s="37">
        <f>Multi!D906*D$11*LAFs!D$293*(1-Contrib!D$138)*100/(24*Input!$F$60)</f>
        <v>-0.10817081205043121</v>
      </c>
      <c r="E91" s="37">
        <f>Multi!E906*E$11*LAFs!E$293*(1-Contrib!E$138)*100/(24*Input!$F$60)</f>
        <v>-0.17163147923988639</v>
      </c>
      <c r="F91" s="37">
        <f>Multi!F906*F$11*LAFs!F$293*(1-Contrib!F$138)*100/(24*Input!$F$60)</f>
        <v>0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-0.74373054491910984</v>
      </c>
      <c r="L91" s="37">
        <f>Multi!C906*L$11*LAFs!C$293*(1-Contrib!L$138)*100/(24*Input!$F$60)</f>
        <v>-1.4839741615861093</v>
      </c>
      <c r="M91" s="37">
        <f>Multi!D906*M$11*LAFs!D$293*(1-Contrib!M$138)*100/(24*Input!$F$60)</f>
        <v>-0.22886786642310392</v>
      </c>
      <c r="N91" s="37">
        <f>Multi!E906*N$11*LAFs!E$293*(1-Contrib!N$138)*100/(24*Input!$F$60)</f>
        <v>-0.36313798260440694</v>
      </c>
      <c r="O91" s="37">
        <f>Multi!F906*O$11*LAFs!F$293*(1-Contrib!O$138)*100/(24*Input!$F$60)</f>
        <v>-0.36041003869767235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1013</v>
      </c>
    </row>
    <row r="94" spans="1:20" x14ac:dyDescent="0.25">
      <c r="A94" s="2" t="s">
        <v>381</v>
      </c>
    </row>
    <row r="95" spans="1:20" x14ac:dyDescent="0.25">
      <c r="A95" s="32" t="s">
        <v>1014</v>
      </c>
    </row>
    <row r="96" spans="1:20" x14ac:dyDescent="0.25">
      <c r="A96" s="32" t="s">
        <v>1011</v>
      </c>
    </row>
    <row r="97" spans="1:20" x14ac:dyDescent="0.25">
      <c r="A97" s="32" t="s">
        <v>830</v>
      </c>
    </row>
    <row r="98" spans="1:20" x14ac:dyDescent="0.25">
      <c r="A98" s="32" t="s">
        <v>1007</v>
      </c>
    </row>
    <row r="99" spans="1:20" x14ac:dyDescent="0.25">
      <c r="A99" s="32" t="s">
        <v>775</v>
      </c>
    </row>
    <row r="100" spans="1:20" x14ac:dyDescent="0.25">
      <c r="A100" s="2" t="s">
        <v>1012</v>
      </c>
    </row>
    <row r="102" spans="1:20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323</v>
      </c>
      <c r="L102" s="15" t="s">
        <v>911</v>
      </c>
      <c r="M102" s="15" t="s">
        <v>912</v>
      </c>
      <c r="N102" s="15" t="s">
        <v>913</v>
      </c>
      <c r="O102" s="15" t="s">
        <v>914</v>
      </c>
      <c r="P102" s="15" t="s">
        <v>915</v>
      </c>
      <c r="Q102" s="15" t="s">
        <v>916</v>
      </c>
      <c r="R102" s="15" t="s">
        <v>917</v>
      </c>
      <c r="S102" s="15" t="s">
        <v>918</v>
      </c>
    </row>
    <row r="103" spans="1:20" x14ac:dyDescent="0.25">
      <c r="A103" s="4" t="s">
        <v>183</v>
      </c>
      <c r="B103" s="37">
        <f>Multi!B915*B$11*LAFs!B$262*(1-Contrib!B$107)*100/(24*Input!$F$60)</f>
        <v>0</v>
      </c>
      <c r="C103" s="37">
        <f>Multi!C915*C$11*LAFs!C$262*(1-Contrib!C$107)*100/(24*Input!$F$60)</f>
        <v>1.3965423724658241E-2</v>
      </c>
      <c r="D103" s="37">
        <f>Multi!D915*D$11*LAFs!D$262*(1-Contrib!D$107)*100/(24*Input!$F$60)</f>
        <v>2.1538358377755783E-3</v>
      </c>
      <c r="E103" s="37">
        <f>Multi!E915*E$11*LAFs!E$262*(1-Contrib!E$107)*100/(24*Input!$F$60)</f>
        <v>1.0814084288328155E-2</v>
      </c>
      <c r="F103" s="37">
        <f>Multi!F915*F$11*LAFs!F$262*(1-Contrib!F$107)*100/(24*Input!$F$60)</f>
        <v>2.0392409978374397E-3</v>
      </c>
      <c r="G103" s="37">
        <f>Multi!G915*G$11*LAFs!G$262*(1-Contrib!G$107)*100/(24*Input!$F$60)</f>
        <v>0</v>
      </c>
      <c r="H103" s="37">
        <f>Multi!H915*H$11*LAFs!H$262*(1-Contrib!H$107)*100/(24*Input!$F$60)</f>
        <v>7.8796527833759344E-3</v>
      </c>
      <c r="I103" s="37">
        <f>Multi!I915*I$11*LAFs!I$262*(1-Contrib!I$107)*100/(24*Input!$F$60)</f>
        <v>8.636361356487226E-4</v>
      </c>
      <c r="J103" s="37">
        <f>Multi!J915*J$11*LAFs!J$262*(1-Contrib!J$107)*100/(24*Input!$F$60)</f>
        <v>2.0244273545113804E-3</v>
      </c>
      <c r="K103" s="37">
        <f>Multi!B915*K$11*LAFs!B$262*(1-Contrib!K$107)*100/(24*Input!$F$60)</f>
        <v>0</v>
      </c>
      <c r="L103" s="37">
        <f>Multi!C915*L$11*LAFs!C$262*(1-Contrib!L$107)*100/(24*Input!$F$60)</f>
        <v>9.7508570142018063E-3</v>
      </c>
      <c r="M103" s="37">
        <f>Multi!D915*M$11*LAFs!D$262*(1-Contrib!M$107)*100/(24*Input!$F$60)</f>
        <v>1.5038387449090571E-3</v>
      </c>
      <c r="N103" s="37">
        <f>Multi!E915*N$11*LAFs!E$262*(1-Contrib!N$107)*100/(24*Input!$F$60)</f>
        <v>7.5505471021857298E-3</v>
      </c>
      <c r="O103" s="37">
        <f>Multi!F915*O$11*LAFs!F$262*(1-Contrib!O$107)*100/(24*Input!$F$60)</f>
        <v>7.4938263240060549E-3</v>
      </c>
      <c r="P103" s="37">
        <f>Multi!G915*P$11*LAFs!G$262*(1-Contrib!P$107)*100/(24*Input!$F$60)</f>
        <v>0</v>
      </c>
      <c r="Q103" s="37">
        <f>Multi!H915*Q$11*LAFs!H$262*(1-Contrib!Q$107)*100/(24*Input!$F$60)</f>
        <v>2.8956238872555898E-2</v>
      </c>
      <c r="R103" s="37">
        <f>Multi!I915*R$11*LAFs!I$262*(1-Contrib!R$107)*100/(24*Input!$F$60)</f>
        <v>1.2060060098483783E-2</v>
      </c>
      <c r="S103" s="37">
        <f>Multi!J915*S$11*LAFs!J$262*(1-Contrib!S$107)*100/(24*Input!$F$60)</f>
        <v>2.8269678111699902E-2</v>
      </c>
      <c r="T103" s="17"/>
    </row>
    <row r="104" spans="1:20" x14ac:dyDescent="0.25">
      <c r="A104" s="4" t="s">
        <v>185</v>
      </c>
      <c r="B104" s="37">
        <f>Multi!B916*B$11*LAFs!B$265*(1-Contrib!B$110)*100/(24*Input!$F$60)</f>
        <v>0</v>
      </c>
      <c r="C104" s="37">
        <f>Multi!C916*C$11*LAFs!C$265*(1-Contrib!C$110)*100/(24*Input!$F$60)</f>
        <v>1.3915744569823228E-2</v>
      </c>
      <c r="D104" s="37">
        <f>Multi!D916*D$11*LAFs!D$265*(1-Contrib!D$110)*100/(24*Input!$F$60)</f>
        <v>2.1461740047955219E-3</v>
      </c>
      <c r="E104" s="37">
        <f>Multi!E916*E$11*LAFs!E$265*(1-Contrib!E$110)*100/(24*Input!$F$60)</f>
        <v>1.0922940619834978E-2</v>
      </c>
      <c r="F104" s="37">
        <f>Multi!F916*F$11*LAFs!F$265*(1-Contrib!F$110)*100/(24*Input!$F$60)</f>
        <v>2.0597683294324492E-3</v>
      </c>
      <c r="G104" s="37">
        <f>Multi!G916*G$11*LAFs!G$265*(1-Contrib!G$110)*100/(24*Input!$F$60)</f>
        <v>0</v>
      </c>
      <c r="H104" s="37">
        <f>Multi!H916*H$11*LAFs!H$265*(1-Contrib!H$110)*100/(24*Input!$F$60)</f>
        <v>7.9589706500280029E-3</v>
      </c>
      <c r="I104" s="37">
        <f>Multi!I916*I$11*LAFs!I$265*(1-Contrib!I$110)*100/(24*Input!$F$60)</f>
        <v>8.7232963747253551E-4</v>
      </c>
      <c r="J104" s="37">
        <f>Multi!J916*J$11*LAFs!J$265*(1-Contrib!J$110)*100/(24*Input!$F$60)</f>
        <v>2.0448055695630254E-3</v>
      </c>
      <c r="K104" s="37">
        <f>Multi!B916*K$11*LAFs!B$265*(1-Contrib!K$110)*100/(24*Input!$F$60)</f>
        <v>0</v>
      </c>
      <c r="L104" s="37">
        <f>Multi!C916*L$11*LAFs!C$265*(1-Contrib!L$110)*100/(24*Input!$F$60)</f>
        <v>9.716170323347784E-3</v>
      </c>
      <c r="M104" s="37">
        <f>Multi!D916*M$11*LAFs!D$265*(1-Contrib!M$110)*100/(24*Input!$F$60)</f>
        <v>1.4984891444008164E-3</v>
      </c>
      <c r="N104" s="37">
        <f>Multi!E916*N$11*LAFs!E$265*(1-Contrib!N$110)*100/(24*Input!$F$60)</f>
        <v>7.6265521375173412E-3</v>
      </c>
      <c r="O104" s="37">
        <f>Multi!F916*O$11*LAFs!F$265*(1-Contrib!O$110)*100/(24*Input!$F$60)</f>
        <v>7.5692603987580903E-3</v>
      </c>
      <c r="P104" s="37">
        <f>Multi!G916*P$11*LAFs!G$265*(1-Contrib!P$110)*100/(24*Input!$F$60)</f>
        <v>0</v>
      </c>
      <c r="Q104" s="37">
        <f>Multi!H916*Q$11*LAFs!H$265*(1-Contrib!Q$110)*100/(24*Input!$F$60)</f>
        <v>2.9247717083180146E-2</v>
      </c>
      <c r="R104" s="37">
        <f>Multi!I916*R$11*LAFs!I$265*(1-Contrib!R$110)*100/(24*Input!$F$60)</f>
        <v>1.2181458625170841E-2</v>
      </c>
      <c r="S104" s="37">
        <f>Multi!J916*S$11*LAFs!J$265*(1-Contrib!S$110)*100/(24*Input!$F$60)</f>
        <v>2.8554245290026758E-2</v>
      </c>
      <c r="T104" s="17"/>
    </row>
    <row r="105" spans="1:20" x14ac:dyDescent="0.25">
      <c r="A105" s="4" t="s">
        <v>186</v>
      </c>
      <c r="B105" s="37">
        <f>Multi!B917*B$11*LAFs!B$267*(1-Contrib!B$112)*100/(24*Input!$F$60)</f>
        <v>0</v>
      </c>
      <c r="C105" s="37">
        <f>Multi!C917*C$11*LAFs!C$267*(1-Contrib!C$112)*100/(24*Input!$F$60)</f>
        <v>1.179848258184844E-2</v>
      </c>
      <c r="D105" s="37">
        <f>Multi!D917*D$11*LAFs!D$267*(1-Contrib!D$112)*100/(24*Input!$F$60)</f>
        <v>1.8196364906055136E-3</v>
      </c>
      <c r="E105" s="37">
        <f>Multi!E917*E$11*LAFs!E$267*(1-Contrib!E$112)*100/(24*Input!$F$60)</f>
        <v>8.7025608238194118E-3</v>
      </c>
      <c r="F105" s="37">
        <f>Multi!F917*F$11*LAFs!F$267*(1-Contrib!F$112)*100/(24*Input!$F$60)</f>
        <v>1.6410653315566224E-3</v>
      </c>
      <c r="G105" s="37">
        <f>Multi!G917*G$11*LAFs!G$267*(1-Contrib!G$112)*100/(24*Input!$F$60)</f>
        <v>0</v>
      </c>
      <c r="H105" s="37">
        <f>Multi!H917*H$11*LAFs!H$267*(1-Contrib!H$112)*100/(24*Input!$F$60)</f>
        <v>6.3410970165933781E-3</v>
      </c>
      <c r="I105" s="37">
        <f>Multi!I917*I$11*LAFs!I$267*(1-Contrib!I$112)*100/(24*Input!$F$60)</f>
        <v>6.9500530971848941E-4</v>
      </c>
      <c r="J105" s="37">
        <f>Multi!J917*J$11*LAFs!J$267*(1-Contrib!J$112)*100/(24*Input!$F$60)</f>
        <v>1.6291441527836272E-3</v>
      </c>
      <c r="K105" s="37">
        <f>Multi!B917*K$11*LAFs!B$267*(1-Contrib!K$112)*100/(24*Input!$F$60)</f>
        <v>0</v>
      </c>
      <c r="L105" s="37">
        <f>Multi!C917*L$11*LAFs!C$267*(1-Contrib!L$112)*100/(24*Input!$F$60)</f>
        <v>8.2378679593533097E-3</v>
      </c>
      <c r="M105" s="37">
        <f>Multi!D917*M$11*LAFs!D$267*(1-Contrib!M$112)*100/(24*Input!$F$60)</f>
        <v>1.2704960184194147E-3</v>
      </c>
      <c r="N105" s="37">
        <f>Multi!E917*N$11*LAFs!E$267*(1-Contrib!N$112)*100/(24*Input!$F$60)</f>
        <v>6.0762514567050101E-3</v>
      </c>
      <c r="O105" s="37">
        <f>Multi!F917*O$11*LAFs!F$267*(1-Contrib!O$112)*100/(24*Input!$F$60)</f>
        <v>6.0306057960164061E-3</v>
      </c>
      <c r="P105" s="37">
        <f>Multi!G917*P$11*LAFs!G$267*(1-Contrib!P$112)*100/(24*Input!$F$60)</f>
        <v>0</v>
      </c>
      <c r="Q105" s="37">
        <f>Multi!H917*Q$11*LAFs!H$267*(1-Contrib!Q$112)*100/(24*Input!$F$60)</f>
        <v>2.330233640673977E-2</v>
      </c>
      <c r="R105" s="37">
        <f>Multi!I917*R$11*LAFs!I$267*(1-Contrib!R$112)*100/(24*Input!$F$60)</f>
        <v>9.7052513876973202E-3</v>
      </c>
      <c r="S105" s="37">
        <f>Multi!J917*S$11*LAFs!J$267*(1-Contrib!S$112)*100/(24*Input!$F$60)</f>
        <v>2.2749831301240843E-2</v>
      </c>
      <c r="T105" s="17"/>
    </row>
    <row r="106" spans="1:20" x14ac:dyDescent="0.25">
      <c r="A106" s="4" t="s">
        <v>187</v>
      </c>
      <c r="B106" s="37">
        <f>Multi!B918*B$11*LAFs!B$268*(1-Contrib!B$113)*100/(24*Input!$F$60)</f>
        <v>0</v>
      </c>
      <c r="C106" s="37">
        <f>Multi!C918*C$11*LAFs!C$268*(1-Contrib!C$113)*100/(24*Input!$F$60)</f>
        <v>1.1428358491838299E-2</v>
      </c>
      <c r="D106" s="37">
        <f>Multi!D918*D$11*LAFs!D$268*(1-Contrib!D$113)*100/(24*Input!$F$60)</f>
        <v>1.7625536161288622E-3</v>
      </c>
      <c r="E106" s="37">
        <f>Multi!E918*E$11*LAFs!E$268*(1-Contrib!E$113)*100/(24*Input!$F$60)</f>
        <v>8.42955729278657E-3</v>
      </c>
      <c r="F106" s="37">
        <f>Multi!F918*F$11*LAFs!F$268*(1-Contrib!F$113)*100/(24*Input!$F$60)</f>
        <v>1.5895843204794819E-3</v>
      </c>
      <c r="G106" s="37">
        <f>Multi!G918*G$11*LAFs!G$268*(1-Contrib!G$113)*100/(24*Input!$F$60)</f>
        <v>0</v>
      </c>
      <c r="H106" s="37">
        <f>Multi!H918*H$11*LAFs!H$268*(1-Contrib!H$113)*100/(24*Input!$F$60)</f>
        <v>6.1421737443292448E-3</v>
      </c>
      <c r="I106" s="37">
        <f>Multi!I918*I$11*LAFs!I$268*(1-Contrib!I$113)*100/(24*Input!$F$60)</f>
        <v>6.73202657892099E-4</v>
      </c>
      <c r="J106" s="37">
        <f>Multi!J918*J$11*LAFs!J$268*(1-Contrib!J$113)*100/(24*Input!$F$60)</f>
        <v>0</v>
      </c>
      <c r="K106" s="37">
        <f>Multi!B918*K$11*LAFs!B$268*(1-Contrib!K$113)*100/(24*Input!$F$60)</f>
        <v>0</v>
      </c>
      <c r="L106" s="37">
        <f>Multi!C918*L$11*LAFs!C$268*(1-Contrib!L$113)*100/(24*Input!$F$60)</f>
        <v>7.9794420676398987E-3</v>
      </c>
      <c r="M106" s="37">
        <f>Multi!D918*M$11*LAFs!D$268*(1-Contrib!M$113)*100/(24*Input!$F$60)</f>
        <v>1.2306399454526723E-3</v>
      </c>
      <c r="N106" s="37">
        <f>Multi!E918*N$11*LAFs!E$268*(1-Contrib!N$113)*100/(24*Input!$F$60)</f>
        <v>5.885636517412249E-3</v>
      </c>
      <c r="O106" s="37">
        <f>Multi!F918*O$11*LAFs!F$268*(1-Contrib!O$113)*100/(24*Input!$F$60)</f>
        <v>5.8414227831182523E-3</v>
      </c>
      <c r="P106" s="37">
        <f>Multi!G918*P$11*LAFs!G$268*(1-Contrib!P$113)*100/(24*Input!$F$60)</f>
        <v>0</v>
      </c>
      <c r="Q106" s="37">
        <f>Multi!H918*Q$11*LAFs!H$268*(1-Contrib!Q$113)*100/(24*Input!$F$60)</f>
        <v>2.257133087294989E-2</v>
      </c>
      <c r="R106" s="37">
        <f>Multi!I918*R$11*LAFs!I$268*(1-Contrib!R$113)*100/(24*Input!$F$60)</f>
        <v>9.4007929699921854E-3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207</v>
      </c>
      <c r="B107" s="37">
        <f>Multi!B919*B$11*LAFs!B$269*(1-Contrib!B$114)*100/(24*Input!$F$60)</f>
        <v>0</v>
      </c>
      <c r="C107" s="37">
        <f>Multi!C919*C$11*LAFs!C$269*(1-Contrib!C$114)*100/(24*Input!$F$60)</f>
        <v>1.3350316680537022E-2</v>
      </c>
      <c r="D107" s="37">
        <f>Multi!D919*D$11*LAFs!D$269*(1-Contrib!D$114)*100/(24*Input!$F$60)</f>
        <v>6.7946014787003111E-4</v>
      </c>
      <c r="E107" s="37">
        <f>Multi!E919*E$11*LAFs!E$269*(1-Contrib!E$114)*100/(24*Input!$F$60)</f>
        <v>3.249573909255149E-3</v>
      </c>
      <c r="F107" s="37">
        <f>Multi!F919*F$11*LAFs!F$269*(1-Contrib!F$114)*100/(24*Input!$F$60)</f>
        <v>0</v>
      </c>
      <c r="G107" s="37">
        <f>Multi!G919*G$11*LAFs!G$269*(1-Contrib!G$114)*100/(24*Input!$F$60)</f>
        <v>0</v>
      </c>
      <c r="H107" s="37">
        <f>Multi!H919*H$11*LAFs!H$269*(1-Contrib!H$114)*100/(24*Input!$F$60)</f>
        <v>0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0</v>
      </c>
      <c r="L107" s="37">
        <f>Multi!C919*L$11*LAFs!C$269*(1-Contrib!L$114)*100/(24*Input!$F$60)</f>
        <v>9.3213805476149592E-3</v>
      </c>
      <c r="M107" s="37">
        <f>Multi!D919*M$11*LAFs!D$269*(1-Contrib!M$114)*100/(24*Input!$F$60)</f>
        <v>1.437602172109429E-3</v>
      </c>
      <c r="N107" s="37">
        <f>Multi!E919*N$11*LAFs!E$269*(1-Contrib!N$114)*100/(24*Input!$F$60)</f>
        <v>6.8754503483682249E-3</v>
      </c>
      <c r="O107" s="37">
        <f>Multi!F919*O$11*LAFs!F$269*(1-Contrib!O$114)*100/(24*Input!$F$60)</f>
        <v>6.8238009925245544E-3</v>
      </c>
      <c r="P107" s="37">
        <f>Multi!G919*P$11*LAFs!G$269*(1-Contrib!P$114)*100/(24*Input!$F$60)</f>
        <v>0</v>
      </c>
      <c r="Q107" s="37">
        <f>Multi!H919*Q$11*LAFs!H$269*(1-Contrib!Q$114)*100/(24*Input!$F$60)</f>
        <v>2.6367252591023006E-2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188</v>
      </c>
      <c r="B108" s="37">
        <f>Multi!B920*B$11*LAFs!B$270*(1-Contrib!B$115)*100/(24*Input!$F$60)</f>
        <v>0</v>
      </c>
      <c r="C108" s="37">
        <f>Multi!C920*C$11*LAFs!C$270*(1-Contrib!C$115)*100/(24*Input!$F$60)</f>
        <v>4.2843165521816572E-2</v>
      </c>
      <c r="D108" s="37">
        <f>Multi!D920*D$11*LAFs!D$270*(1-Contrib!D$115)*100/(24*Input!$F$60)</f>
        <v>6.6075435392417888E-3</v>
      </c>
      <c r="E108" s="37">
        <f>Multi!E920*E$11*LAFs!E$270*(1-Contrib!E$115)*100/(24*Input!$F$60)</f>
        <v>5.5991128028616062E-2</v>
      </c>
      <c r="F108" s="37">
        <f>Multi!F920*F$11*LAFs!F$270*(1-Contrib!F$115)*100/(24*Input!$F$60)</f>
        <v>1.0558397802979473E-2</v>
      </c>
      <c r="G108" s="37">
        <f>Multi!G920*G$11*LAFs!G$270*(1-Contrib!G$115)*100/(24*Input!$F$60)</f>
        <v>0</v>
      </c>
      <c r="H108" s="37">
        <f>Multi!H920*H$11*LAFs!H$270*(1-Contrib!H$115)*100/(24*Input!$F$60)</f>
        <v>4.0797781490498293E-2</v>
      </c>
      <c r="I108" s="37">
        <f>Multi!I920*I$11*LAFs!I$270*(1-Contrib!I$115)*100/(24*Input!$F$60)</f>
        <v>4.4715724560643894E-3</v>
      </c>
      <c r="J108" s="37">
        <f>Multi!J920*J$11*LAFs!J$270*(1-Contrib!J$115)*100/(24*Input!$F$60)</f>
        <v>1.0481698511765803E-2</v>
      </c>
      <c r="K108" s="37">
        <f>Multi!B920*K$11*LAFs!B$270*(1-Contrib!K$115)*100/(24*Input!$F$60)</f>
        <v>0</v>
      </c>
      <c r="L108" s="37">
        <f>Multi!C920*L$11*LAFs!C$270*(1-Contrib!L$115)*100/(24*Input!$F$60)</f>
        <v>2.9913706112718569E-2</v>
      </c>
      <c r="M108" s="37">
        <f>Multi!D920*M$11*LAFs!D$270*(1-Contrib!M$115)*100/(24*Input!$F$60)</f>
        <v>4.6134806602752274E-3</v>
      </c>
      <c r="N108" s="37">
        <f>Multi!E920*N$11*LAFs!E$270*(1-Contrib!N$115)*100/(24*Input!$F$60)</f>
        <v>3.9093800104820157E-2</v>
      </c>
      <c r="O108" s="37">
        <f>Multi!F920*O$11*LAFs!F$270*(1-Contrib!O$115)*100/(24*Input!$F$60)</f>
        <v>3.880012194694147E-2</v>
      </c>
      <c r="P108" s="37">
        <f>Multi!G920*P$11*LAFs!G$270*(1-Contrib!P$115)*100/(24*Input!$F$60)</f>
        <v>0</v>
      </c>
      <c r="Q108" s="37">
        <f>Multi!H920*Q$11*LAFs!H$270*(1-Contrib!Q$115)*100/(24*Input!$F$60)</f>
        <v>0.14992415767374387</v>
      </c>
      <c r="R108" s="37">
        <f>Multi!I920*R$11*LAFs!I$270*(1-Contrib!R$115)*100/(24*Input!$F$60)</f>
        <v>6.2442306810556875E-2</v>
      </c>
      <c r="S108" s="37">
        <f>Multi!J920*S$11*LAFs!J$270*(1-Contrib!S$115)*100/(24*Input!$F$60)</f>
        <v>0.14636941272857981</v>
      </c>
      <c r="T108" s="17"/>
    </row>
    <row r="109" spans="1:20" x14ac:dyDescent="0.25">
      <c r="A109" s="4" t="s">
        <v>189</v>
      </c>
      <c r="B109" s="37">
        <f>Multi!B921*B$11*LAFs!B$271*(1-Contrib!B$116)*100/(24*Input!$F$60)</f>
        <v>0</v>
      </c>
      <c r="C109" s="37">
        <f>Multi!C921*C$11*LAFs!C$271*(1-Contrib!C$116)*100/(24*Input!$F$60)</f>
        <v>4.4511695444069181E-2</v>
      </c>
      <c r="D109" s="37">
        <f>Multi!D921*D$11*LAFs!D$271*(1-Contrib!D$116)*100/(24*Input!$F$60)</f>
        <v>6.8648747605353638E-3</v>
      </c>
      <c r="E109" s="37">
        <f>Multi!E921*E$11*LAFs!E$271*(1-Contrib!E$116)*100/(24*Input!$F$60)</f>
        <v>5.8225417281853493E-2</v>
      </c>
      <c r="F109" s="37">
        <f>Multi!F921*F$11*LAFs!F$271*(1-Contrib!F$116)*100/(24*Input!$F$60)</f>
        <v>1.0979723744663415E-2</v>
      </c>
      <c r="G109" s="37">
        <f>Multi!G921*G$11*LAFs!G$271*(1-Contrib!G$116)*100/(24*Input!$F$60)</f>
        <v>0</v>
      </c>
      <c r="H109" s="37">
        <f>Multi!H921*H$11*LAFs!H$271*(1-Contrib!H$116)*100/(24*Input!$F$60)</f>
        <v>4.2425790211693598E-2</v>
      </c>
      <c r="I109" s="37">
        <f>Multi!I921*I$11*LAFs!I$271*(1-Contrib!I$116)*100/(24*Input!$F$60)</f>
        <v>4.6500076231242677E-3</v>
      </c>
      <c r="J109" s="37">
        <f>Multi!J921*J$11*LAFs!J$271*(1-Contrib!J$116)*100/(24*Input!$F$60)</f>
        <v>1.0899963818521978E-2</v>
      </c>
      <c r="K109" s="37">
        <f>Multi!B921*K$11*LAFs!B$271*(1-Contrib!K$116)*100/(24*Input!$F$60)</f>
        <v>0</v>
      </c>
      <c r="L109" s="37">
        <f>Multi!C921*L$11*LAFs!C$271*(1-Contrib!L$116)*100/(24*Input!$F$60)</f>
        <v>3.1078697380908717E-2</v>
      </c>
      <c r="M109" s="37">
        <f>Multi!D921*M$11*LAFs!D$271*(1-Contrib!M$116)*100/(24*Input!$F$60)</f>
        <v>4.7931529705176421E-3</v>
      </c>
      <c r="N109" s="37">
        <f>Multi!E921*N$11*LAFs!E$271*(1-Contrib!N$116)*100/(24*Input!$F$60)</f>
        <v>4.0653812566040275E-2</v>
      </c>
      <c r="O109" s="37">
        <f>Multi!F921*O$11*LAFs!F$271*(1-Contrib!O$116)*100/(24*Input!$F$60)</f>
        <v>4.0348415373822374E-2</v>
      </c>
      <c r="P109" s="37">
        <f>Multi!G921*P$11*LAFs!G$271*(1-Contrib!P$116)*100/(24*Input!$F$60)</f>
        <v>0</v>
      </c>
      <c r="Q109" s="37">
        <f>Multi!H921*Q$11*LAFs!H$271*(1-Contrib!Q$116)*100/(24*Input!$F$60)</f>
        <v>0.1559067828875085</v>
      </c>
      <c r="R109" s="37">
        <f>Multi!I921*R$11*LAFs!I$271*(1-Contrib!R$116)*100/(24*Input!$F$60)</f>
        <v>6.4934026123353694E-2</v>
      </c>
      <c r="S109" s="37">
        <f>Multi!J921*S$11*LAFs!J$271*(1-Contrib!S$116)*100/(24*Input!$F$60)</f>
        <v>0.15221018817598647</v>
      </c>
      <c r="T109" s="17"/>
    </row>
    <row r="110" spans="1:20" x14ac:dyDescent="0.25">
      <c r="A110" s="4" t="s">
        <v>190</v>
      </c>
      <c r="B110" s="37">
        <f>Multi!B922*B$11*LAFs!B$272*(1-Contrib!B$117)*100/(24*Input!$F$60)</f>
        <v>0</v>
      </c>
      <c r="C110" s="37">
        <f>Multi!C922*C$11*LAFs!C$272*(1-Contrib!C$117)*100/(24*Input!$F$60)</f>
        <v>3.3626674920357855E-2</v>
      </c>
      <c r="D110" s="37">
        <f>Multi!D922*D$11*LAFs!D$272*(1-Contrib!D$117)*100/(24*Input!$F$60)</f>
        <v>5.1861181570033877E-3</v>
      </c>
      <c r="E110" s="37">
        <f>Multi!E922*E$11*LAFs!E$272*(1-Contrib!E$117)*100/(24*Input!$F$60)</f>
        <v>4.3960274037623225E-2</v>
      </c>
      <c r="F110" s="37">
        <f>Multi!F922*F$11*LAFs!F$272*(1-Contrib!F$117)*100/(24*Input!$F$60)</f>
        <v>8.2897072654081524E-3</v>
      </c>
      <c r="G110" s="37">
        <f>Multi!G922*G$11*LAFs!G$272*(1-Contrib!G$117)*100/(24*Input!$F$60)</f>
        <v>0</v>
      </c>
      <c r="H110" s="37">
        <f>Multi!H922*H$11*LAFs!H$272*(1-Contrib!H$117)*100/(24*Input!$F$60)</f>
        <v>3.2031532808782869E-2</v>
      </c>
      <c r="I110" s="37">
        <f>Multi!I922*I$11*LAFs!I$272*(1-Contrib!I$117)*100/(24*Input!$F$60)</f>
        <v>3.5107624630676183E-3</v>
      </c>
      <c r="J110" s="37">
        <f>Multi!J922*J$11*LAFs!J$272*(1-Contrib!J$117)*100/(24*Input!$F$60)</f>
        <v>8.2294884061181409E-3</v>
      </c>
      <c r="K110" s="37">
        <f>Multi!B922*K$11*LAFs!B$272*(1-Contrib!K$117)*100/(24*Input!$F$60)</f>
        <v>0</v>
      </c>
      <c r="L110" s="37">
        <f>Multi!C922*L$11*LAFs!C$272*(1-Contrib!L$117)*100/(24*Input!$F$60)</f>
        <v>2.3478621592591838E-2</v>
      </c>
      <c r="M110" s="37">
        <f>Multi!D922*M$11*LAFs!D$272*(1-Contrib!M$117)*100/(24*Input!$F$60)</f>
        <v>3.6210212883414205E-3</v>
      </c>
      <c r="N110" s="37">
        <f>Multi!E922*N$11*LAFs!E$272*(1-Contrib!N$117)*100/(24*Input!$F$60)</f>
        <v>3.0693687130247223E-2</v>
      </c>
      <c r="O110" s="37">
        <f>Multi!F922*O$11*LAFs!F$272*(1-Contrib!O$117)*100/(24*Input!$F$60)</f>
        <v>3.046311180958905E-2</v>
      </c>
      <c r="P110" s="37">
        <f>Multi!G922*P$11*LAFs!G$272*(1-Contrib!P$117)*100/(24*Input!$F$60)</f>
        <v>0</v>
      </c>
      <c r="Q110" s="37">
        <f>Multi!H922*Q$11*LAFs!H$272*(1-Contrib!Q$117)*100/(24*Input!$F$60)</f>
        <v>0.11770984597469121</v>
      </c>
      <c r="R110" s="37">
        <f>Multi!I922*R$11*LAFs!I$272*(1-Contrib!R$117)*100/(24*Input!$F$60)</f>
        <v>4.9025283390084884E-2</v>
      </c>
      <c r="S110" s="37">
        <f>Multi!J922*S$11*LAFs!J$272*(1-Contrib!S$117)*100/(24*Input!$F$60)</f>
        <v>0.11491891163517584</v>
      </c>
      <c r="T110" s="17"/>
    </row>
    <row r="111" spans="1:20" x14ac:dyDescent="0.25">
      <c r="A111" s="4" t="s">
        <v>191</v>
      </c>
      <c r="B111" s="37">
        <f>Multi!B923*B$11*LAFs!B$273*(1-Contrib!B$118)*100/(24*Input!$F$60)</f>
        <v>0</v>
      </c>
      <c r="C111" s="37">
        <f>Multi!C923*C$11*LAFs!C$273*(1-Contrib!C$118)*100/(24*Input!$F$60)</f>
        <v>3.2223300597909614E-2</v>
      </c>
      <c r="D111" s="37">
        <f>Multi!D923*D$11*LAFs!D$273*(1-Contrib!D$118)*100/(24*Input!$F$60)</f>
        <v>4.9696809067561161E-3</v>
      </c>
      <c r="E111" s="37">
        <f>Multi!E923*E$11*LAFs!E$273*(1-Contrib!E$118)*100/(24*Input!$F$60)</f>
        <v>4.2125637697922595E-2</v>
      </c>
      <c r="F111" s="37">
        <f>Multi!F923*F$11*LAFs!F$273*(1-Contrib!F$118)*100/(24*Input!$F$60)</f>
        <v>7.9437449499416488E-3</v>
      </c>
      <c r="G111" s="37">
        <f>Multi!G923*G$11*LAFs!G$273*(1-Contrib!G$118)*100/(24*Input!$F$60)</f>
        <v>0</v>
      </c>
      <c r="H111" s="37">
        <f>Multi!H923*H$11*LAFs!H$273*(1-Contrib!H$118)*100/(24*Input!$F$60)</f>
        <v>3.0694730084190863E-2</v>
      </c>
      <c r="I111" s="37">
        <f>Multi!I923*I$11*LAFs!I$273*(1-Contrib!I$118)*100/(24*Input!$F$60)</f>
        <v>3.3642444411533714E-3</v>
      </c>
      <c r="J111" s="37">
        <f>Multi!J923*J$11*LAFs!J$273*(1-Contrib!J$118)*100/(24*Input!$F$60)</f>
        <v>0</v>
      </c>
      <c r="K111" s="37">
        <f>Multi!B923*K$11*LAFs!B$273*(1-Contrib!K$118)*100/(24*Input!$F$60)</f>
        <v>0</v>
      </c>
      <c r="L111" s="37">
        <f>Multi!C923*L$11*LAFs!C$273*(1-Contrib!L$118)*100/(24*Input!$F$60)</f>
        <v>2.2498765726748429E-2</v>
      </c>
      <c r="M111" s="37">
        <f>Multi!D923*M$11*LAFs!D$273*(1-Contrib!M$118)*100/(24*Input!$F$60)</f>
        <v>3.4699017289698125E-3</v>
      </c>
      <c r="N111" s="37">
        <f>Multi!E923*N$11*LAFs!E$273*(1-Contrib!N$118)*100/(24*Input!$F$60)</f>
        <v>2.9412718004341438E-2</v>
      </c>
      <c r="O111" s="37">
        <f>Multi!F923*O$11*LAFs!F$273*(1-Contrib!O$118)*100/(24*Input!$F$60)</f>
        <v>2.9191765505004966E-2</v>
      </c>
      <c r="P111" s="37">
        <f>Multi!G923*P$11*LAFs!G$273*(1-Contrib!P$118)*100/(24*Input!$F$60)</f>
        <v>0</v>
      </c>
      <c r="Q111" s="37">
        <f>Multi!H923*Q$11*LAFs!H$273*(1-Contrib!Q$118)*100/(24*Input!$F$60)</f>
        <v>0.1127973479138077</v>
      </c>
      <c r="R111" s="37">
        <f>Multi!I923*R$11*LAFs!I$273*(1-Contrib!R$118)*100/(24*Input!$F$60)</f>
        <v>4.69792641502004E-2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208</v>
      </c>
      <c r="B112" s="37">
        <f>Multi!B924*B$11*LAFs!B$274*(1-Contrib!B$119)*100/(24*Input!$F$60)</f>
        <v>0</v>
      </c>
      <c r="C112" s="37">
        <f>Multi!C924*C$11*LAFs!C$274*(1-Contrib!C$119)*100/(24*Input!$F$60)</f>
        <v>2.9846624551080659E-2</v>
      </c>
      <c r="D112" s="37">
        <f>Multi!D924*D$11*LAFs!D$274*(1-Contrib!D$119)*100/(24*Input!$F$60)</f>
        <v>1.5190345230134883E-3</v>
      </c>
      <c r="E112" s="37">
        <f>Multi!E924*E$11*LAFs!E$274*(1-Contrib!E$119)*100/(24*Input!$F$60)</f>
        <v>1.2876138160120133E-2</v>
      </c>
      <c r="F112" s="37">
        <f>Multi!F924*F$11*LAFs!F$274*(1-Contrib!F$119)*100/(24*Input!$F$60)</f>
        <v>0</v>
      </c>
      <c r="G112" s="37">
        <f>Multi!G924*G$11*LAFs!G$274*(1-Contrib!G$119)*100/(24*Input!$F$60)</f>
        <v>0</v>
      </c>
      <c r="H112" s="37">
        <f>Multi!H924*H$11*LAFs!H$274*(1-Contrib!H$119)*100/(24*Input!$F$60)</f>
        <v>0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0</v>
      </c>
      <c r="L112" s="37">
        <f>Multi!C924*L$11*LAFs!C$274*(1-Contrib!L$119)*100/(24*Input!$F$60)</f>
        <v>2.0839336785771222E-2</v>
      </c>
      <c r="M112" s="37">
        <f>Multi!D924*M$11*LAFs!D$274*(1-Contrib!M$119)*100/(24*Input!$F$60)</f>
        <v>3.2139741184807765E-3</v>
      </c>
      <c r="N112" s="37">
        <f>Multi!E924*N$11*LAFs!E$274*(1-Contrib!N$119)*100/(24*Input!$F$60)</f>
        <v>2.724334053350632E-2</v>
      </c>
      <c r="O112" s="37">
        <f>Multi!F924*O$11*LAFs!F$274*(1-Contrib!O$119)*100/(24*Input!$F$60)</f>
        <v>2.7038684704682063E-2</v>
      </c>
      <c r="P112" s="37">
        <f>Multi!G924*P$11*LAFs!G$274*(1-Contrib!P$119)*100/(24*Input!$F$60)</f>
        <v>0</v>
      </c>
      <c r="Q112" s="37">
        <f>Multi!H924*Q$11*LAFs!H$274*(1-Contrib!Q$119)*100/(24*Input!$F$60)</f>
        <v>0.1044778167063196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234</v>
      </c>
      <c r="B113" s="37">
        <f>Multi!B925*B$11*LAFs!B$279*(1-Contrib!B$124)*100/(24*Input!$F$60)</f>
        <v>0</v>
      </c>
      <c r="C113" s="37">
        <f>Multi!C925*C$11*LAFs!C$279*(1-Contrib!C$124)*100/(24*Input!$F$60)</f>
        <v>7.2301698052638155E-2</v>
      </c>
      <c r="D113" s="37">
        <f>Multi!D925*D$11*LAFs!D$279*(1-Contrib!D$124)*100/(24*Input!$F$60)</f>
        <v>1.115082445531825E-2</v>
      </c>
      <c r="E113" s="37">
        <f>Multi!E925*E$11*LAFs!E$279*(1-Contrib!E$124)*100/(24*Input!$F$60)</f>
        <v>5.268966841644903E-2</v>
      </c>
      <c r="F113" s="37">
        <f>Multi!F925*F$11*LAFs!F$279*(1-Contrib!F$124)*100/(24*Input!$F$60)</f>
        <v>9.9358326726982187E-3</v>
      </c>
      <c r="G113" s="37">
        <f>Multi!G925*G$11*LAFs!G$279*(1-Contrib!G$124)*100/(24*Input!$F$60)</f>
        <v>0</v>
      </c>
      <c r="H113" s="37">
        <f>Multi!H925*H$11*LAFs!H$279*(1-Contrib!H$124)*100/(24*Input!$F$60)</f>
        <v>3.8392182021452829E-2</v>
      </c>
      <c r="I113" s="37">
        <f>Multi!I925*I$11*LAFs!I$279*(1-Contrib!I$124)*100/(24*Input!$F$60)</f>
        <v>4.2079107584641886E-3</v>
      </c>
      <c r="J113" s="37">
        <f>Multi!J925*J$11*LAFs!J$279*(1-Contrib!J$124)*100/(24*Input!$F$60)</f>
        <v>9.8636558767644152E-3</v>
      </c>
      <c r="K113" s="37">
        <f>Multi!B925*K$11*LAFs!B$279*(1-Contrib!K$124)*100/(24*Input!$F$60)</f>
        <v>1.7934389242022904E-2</v>
      </c>
      <c r="L113" s="37">
        <f>Multi!C925*L$11*LAFs!C$279*(1-Contrib!L$124)*100/(24*Input!$F$60)</f>
        <v>5.0482071542911275E-2</v>
      </c>
      <c r="M113" s="37">
        <f>Multi!D925*M$11*LAFs!D$279*(1-Contrib!M$124)*100/(24*Input!$F$60)</f>
        <v>7.785663865128003E-3</v>
      </c>
      <c r="N113" s="37">
        <f>Multi!E925*N$11*LAFs!E$279*(1-Contrib!N$124)*100/(24*Input!$F$60)</f>
        <v>3.6788674155826394E-2</v>
      </c>
      <c r="O113" s="37">
        <f>Multi!F925*O$11*LAFs!F$279*(1-Contrib!O$124)*100/(24*Input!$F$60)</f>
        <v>3.6512312430235276E-2</v>
      </c>
      <c r="P113" s="37">
        <f>Multi!G925*P$11*LAFs!G$279*(1-Contrib!P$124)*100/(24*Input!$F$60)</f>
        <v>0</v>
      </c>
      <c r="Q113" s="37">
        <f>Multi!H925*Q$11*LAFs!H$279*(1-Contrib!Q$124)*100/(24*Input!$F$60)</f>
        <v>0.14108403301694006</v>
      </c>
      <c r="R113" s="37">
        <f>Multi!I925*R$11*LAFs!I$279*(1-Contrib!R$124)*100/(24*Input!$F$60)</f>
        <v>5.8760460037971127E-2</v>
      </c>
      <c r="S113" s="37">
        <f>Multi!J925*S$11*LAFs!J$279*(1-Contrib!S$124)*100/(24*Input!$F$60)</f>
        <v>0.13773888997267034</v>
      </c>
      <c r="T113" s="17"/>
    </row>
    <row r="114" spans="1:20" x14ac:dyDescent="0.25">
      <c r="A114" s="4" t="s">
        <v>196</v>
      </c>
      <c r="B114" s="37">
        <f>Multi!B926*B$11*LAFs!B$284*(1-Contrib!B$129)*100/(24*Input!$F$60)</f>
        <v>0</v>
      </c>
      <c r="C114" s="37">
        <f>Multi!C926*C$11*LAFs!C$284*(1-Contrib!C$129)*100/(24*Input!$F$60)</f>
        <v>-2.8909242779250523E-2</v>
      </c>
      <c r="D114" s="37">
        <f>Multi!D926*D$11*LAFs!D$284*(1-Contrib!D$129)*100/(24*Input!$F$60)</f>
        <v>-4.4585659818516098E-3</v>
      </c>
      <c r="E114" s="37">
        <f>Multi!E926*E$11*LAFs!E$284*(1-Contrib!E$129)*100/(24*Input!$F$60)</f>
        <v>-3.7793157896401051E-2</v>
      </c>
      <c r="F114" s="37">
        <f>Multi!F926*F$11*LAFs!F$284*(1-Contrib!F$129)*100/(24*Input!$F$60)</f>
        <v>-7.126757565896466E-3</v>
      </c>
      <c r="G114" s="37">
        <f>Multi!G926*G$11*LAFs!G$284*(1-Contrib!G$129)*100/(24*Input!$F$60)</f>
        <v>0</v>
      </c>
      <c r="H114" s="37">
        <f>Multi!H926*H$11*LAFs!H$284*(1-Contrib!H$129)*100/(24*Input!$F$60)</f>
        <v>-2.7537880588961245E-2</v>
      </c>
      <c r="I114" s="37">
        <f>Multi!I926*I$11*LAFs!I$284*(1-Contrib!I$129)*100/(24*Input!$F$60)</f>
        <v>-3.0182432436594072E-3</v>
      </c>
      <c r="J114" s="37">
        <f>Multi!J926*J$11*LAFs!J$284*(1-Contrib!J$129)*100/(24*Input!$F$60)</f>
        <v>0</v>
      </c>
      <c r="K114" s="37">
        <f>Multi!B926*K$11*LAFs!B$284*(1-Contrib!K$129)*100/(24*Input!$F$60)</f>
        <v>0</v>
      </c>
      <c r="L114" s="37">
        <f>Multi!C926*L$11*LAFs!C$284*(1-Contrib!L$129)*100/(24*Input!$F$60)</f>
        <v>-2.0184843531213099E-2</v>
      </c>
      <c r="M114" s="37">
        <f>Multi!D926*M$11*LAFs!D$284*(1-Contrib!M$129)*100/(24*Input!$F$60)</f>
        <v>-3.1130340356703527E-3</v>
      </c>
      <c r="N114" s="37">
        <f>Multi!E926*N$11*LAFs!E$284*(1-Contrib!N$129)*100/(24*Input!$F$60)</f>
        <v>-2.6387719128942992E-2</v>
      </c>
      <c r="O114" s="37">
        <f>Multi!F926*O$11*LAFs!F$284*(1-Contrib!O$129)*100/(24*Input!$F$60)</f>
        <v>-2.6189490849174081E-2</v>
      </c>
      <c r="P114" s="37">
        <f>Multi!G926*P$11*LAFs!G$284*(1-Contrib!P$129)*100/(24*Input!$F$60)</f>
        <v>0</v>
      </c>
      <c r="Q114" s="37">
        <f>Multi!H926*Q$11*LAFs!H$284*(1-Contrib!Q$129)*100/(24*Input!$F$60)</f>
        <v>-0.10119652100155729</v>
      </c>
      <c r="R114" s="37">
        <f>Multi!I926*R$11*LAFs!I$284*(1-Contrib!R$129)*100/(24*Input!$F$60)</f>
        <v>-4.214760523311472E-2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197</v>
      </c>
      <c r="B115" s="37">
        <f>Multi!B927*B$11*LAFs!B$285*(1-Contrib!B$130)*100/(24*Input!$F$60)</f>
        <v>0</v>
      </c>
      <c r="C115" s="37">
        <f>Multi!C927*C$11*LAFs!C$285*(1-Contrib!C$130)*100/(24*Input!$F$60)</f>
        <v>-2.8909242779250523E-2</v>
      </c>
      <c r="D115" s="37">
        <f>Multi!D927*D$11*LAFs!D$285*(1-Contrib!D$130)*100/(24*Input!$F$60)</f>
        <v>-4.4585659818516098E-3</v>
      </c>
      <c r="E115" s="37">
        <f>Multi!E927*E$11*LAFs!E$285*(1-Contrib!E$130)*100/(24*Input!$F$60)</f>
        <v>-3.7793157896401051E-2</v>
      </c>
      <c r="F115" s="37">
        <f>Multi!F927*F$11*LAFs!F$285*(1-Contrib!F$130)*100/(24*Input!$F$60)</f>
        <v>-7.126757565896466E-3</v>
      </c>
      <c r="G115" s="37">
        <f>Multi!G927*G$11*LAFs!G$285*(1-Contrib!G$130)*100/(24*Input!$F$60)</f>
        <v>0</v>
      </c>
      <c r="H115" s="37">
        <f>Multi!H927*H$11*LAFs!H$285*(1-Contrib!H$130)*100/(24*Input!$F$60)</f>
        <v>-2.7537880588961245E-2</v>
      </c>
      <c r="I115" s="37">
        <f>Multi!I927*I$11*LAFs!I$285*(1-Contrib!I$130)*100/(24*Input!$F$60)</f>
        <v>-3.0182432436594072E-3</v>
      </c>
      <c r="J115" s="37">
        <f>Multi!J927*J$11*LAFs!J$285*(1-Contrib!J$130)*100/(24*Input!$F$60)</f>
        <v>0</v>
      </c>
      <c r="K115" s="37">
        <f>Multi!B927*K$11*LAFs!B$285*(1-Contrib!K$130)*100/(24*Input!$F$60)</f>
        <v>0</v>
      </c>
      <c r="L115" s="37">
        <f>Multi!C927*L$11*LAFs!C$285*(1-Contrib!L$130)*100/(24*Input!$F$60)</f>
        <v>-2.0184843531213099E-2</v>
      </c>
      <c r="M115" s="37">
        <f>Multi!D927*M$11*LAFs!D$285*(1-Contrib!M$130)*100/(24*Input!$F$60)</f>
        <v>-3.1130340356703527E-3</v>
      </c>
      <c r="N115" s="37">
        <f>Multi!E927*N$11*LAFs!E$285*(1-Contrib!N$130)*100/(24*Input!$F$60)</f>
        <v>-2.6387719128942992E-2</v>
      </c>
      <c r="O115" s="37">
        <f>Multi!F927*O$11*LAFs!F$285*(1-Contrib!O$130)*100/(24*Input!$F$60)</f>
        <v>-2.6189490849174081E-2</v>
      </c>
      <c r="P115" s="37">
        <f>Multi!G927*P$11*LAFs!G$285*(1-Contrib!P$130)*100/(24*Input!$F$60)</f>
        <v>0</v>
      </c>
      <c r="Q115" s="37">
        <f>Multi!H927*Q$11*LAFs!H$285*(1-Contrib!Q$130)*100/(24*Input!$F$60)</f>
        <v>-0.10119652100155729</v>
      </c>
      <c r="R115" s="37">
        <f>Multi!I927*R$11*LAFs!I$285*(1-Contrib!R$130)*100/(24*Input!$F$60)</f>
        <v>-4.214760523311472E-2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200</v>
      </c>
      <c r="B116" s="37">
        <f>Multi!B928*B$11*LAFs!B$288*(1-Contrib!B$133)*100/(24*Input!$F$60)</f>
        <v>0</v>
      </c>
      <c r="C116" s="37">
        <f>Multi!C928*C$11*LAFs!C$288*(1-Contrib!C$133)*100/(24*Input!$F$60)</f>
        <v>-2.8555363159542178E-2</v>
      </c>
      <c r="D116" s="37">
        <f>Multi!D928*D$11*LAFs!D$288*(1-Contrib!D$133)*100/(24*Input!$F$60)</f>
        <v>-4.4039884321679266E-3</v>
      </c>
      <c r="E116" s="37">
        <f>Multi!E928*E$11*LAFs!E$288*(1-Contrib!E$133)*100/(24*Input!$F$60)</f>
        <v>-3.7330529786558098E-2</v>
      </c>
      <c r="F116" s="37">
        <f>Multi!F928*F$11*LAFs!F$288*(1-Contrib!F$133)*100/(24*Input!$F$60)</f>
        <v>-7.0395185373120445E-3</v>
      </c>
      <c r="G116" s="37">
        <f>Multi!G928*G$11*LAFs!G$288*(1-Contrib!G$133)*100/(24*Input!$F$60)</f>
        <v>0</v>
      </c>
      <c r="H116" s="37">
        <f>Multi!H928*H$11*LAFs!H$288*(1-Contrib!H$133)*100/(24*Input!$F$60)</f>
        <v>-2.7200787888719727E-2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0</v>
      </c>
      <c r="L116" s="37">
        <f>Multi!C928*L$11*LAFs!C$288*(1-Contrib!L$133)*100/(24*Input!$F$60)</f>
        <v>-1.9937759759173768E-2</v>
      </c>
      <c r="M116" s="37">
        <f>Multi!D928*M$11*LAFs!D$288*(1-Contrib!M$133)*100/(24*Input!$F$60)</f>
        <v>-3.0749272160246707E-3</v>
      </c>
      <c r="N116" s="37">
        <f>Multi!E928*N$11*LAFs!E$288*(1-Contrib!N$133)*100/(24*Input!$F$60)</f>
        <v>-2.6064705617948394E-2</v>
      </c>
      <c r="O116" s="37">
        <f>Multi!F928*O$11*LAFs!F$288*(1-Contrib!O$133)*100/(24*Input!$F$60)</f>
        <v>-2.5868903861378162E-2</v>
      </c>
      <c r="P116" s="37">
        <f>Multi!G928*P$11*LAFs!G$288*(1-Contrib!P$133)*100/(24*Input!$F$60)</f>
        <v>0</v>
      </c>
      <c r="Q116" s="37">
        <f>Multi!H928*Q$11*LAFs!H$288*(1-Contrib!Q$133)*100/(24*Input!$F$60)</f>
        <v>-9.9957768861236918E-2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201</v>
      </c>
      <c r="B117" s="37">
        <f>Multi!B929*B$11*LAFs!B$289*(1-Contrib!B$134)*100/(24*Input!$F$60)</f>
        <v>0</v>
      </c>
      <c r="C117" s="37">
        <f>Multi!C929*C$11*LAFs!C$289*(1-Contrib!C$134)*100/(24*Input!$F$60)</f>
        <v>-2.8555363159542178E-2</v>
      </c>
      <c r="D117" s="37">
        <f>Multi!D929*D$11*LAFs!D$289*(1-Contrib!D$134)*100/(24*Input!$F$60)</f>
        <v>-4.4039884321679266E-3</v>
      </c>
      <c r="E117" s="37">
        <f>Multi!E929*E$11*LAFs!E$289*(1-Contrib!E$134)*100/(24*Input!$F$60)</f>
        <v>-3.7330529786558098E-2</v>
      </c>
      <c r="F117" s="37">
        <f>Multi!F929*F$11*LAFs!F$289*(1-Contrib!F$134)*100/(24*Input!$F$60)</f>
        <v>-7.0395185373120445E-3</v>
      </c>
      <c r="G117" s="37">
        <f>Multi!G929*G$11*LAFs!G$289*(1-Contrib!G$134)*100/(24*Input!$F$60)</f>
        <v>0</v>
      </c>
      <c r="H117" s="37">
        <f>Multi!H929*H$11*LAFs!H$289*(1-Contrib!H$134)*100/(24*Input!$F$60)</f>
        <v>-2.7200787888719727E-2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0</v>
      </c>
      <c r="L117" s="37">
        <f>Multi!C929*L$11*LAFs!C$289*(1-Contrib!L$134)*100/(24*Input!$F$60)</f>
        <v>-1.9937759759173768E-2</v>
      </c>
      <c r="M117" s="37">
        <f>Multi!D929*M$11*LAFs!D$289*(1-Contrib!M$134)*100/(24*Input!$F$60)</f>
        <v>-3.0749272160246707E-3</v>
      </c>
      <c r="N117" s="37">
        <f>Multi!E929*N$11*LAFs!E$289*(1-Contrib!N$134)*100/(24*Input!$F$60)</f>
        <v>-2.6064705617948394E-2</v>
      </c>
      <c r="O117" s="37">
        <f>Multi!F929*O$11*LAFs!F$289*(1-Contrib!O$134)*100/(24*Input!$F$60)</f>
        <v>-2.5868903861378162E-2</v>
      </c>
      <c r="P117" s="37">
        <f>Multi!G929*P$11*LAFs!G$289*(1-Contrib!P$134)*100/(24*Input!$F$60)</f>
        <v>0</v>
      </c>
      <c r="Q117" s="37">
        <f>Multi!H929*Q$11*LAFs!H$289*(1-Contrib!Q$134)*100/(24*Input!$F$60)</f>
        <v>-9.9957768861236918E-2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211</v>
      </c>
      <c r="B118" s="37">
        <f>Multi!B930*B$11*LAFs!B$292*(1-Contrib!B$137)*100/(24*Input!$F$60)</f>
        <v>0</v>
      </c>
      <c r="C118" s="37">
        <f>Multi!C930*C$11*LAFs!C$292*(1-Contrib!C$137)*100/(24*Input!$F$60)</f>
        <v>-2.8255926558250512E-2</v>
      </c>
      <c r="D118" s="37">
        <f>Multi!D930*D$11*LAFs!D$292*(1-Contrib!D$137)*100/(24*Input!$F$60)</f>
        <v>-1.4380764514345106E-3</v>
      </c>
      <c r="E118" s="37">
        <f>Multi!E930*E$11*LAFs!E$292*(1-Contrib!E$137)*100/(24*Input!$F$60)</f>
        <v>-1.2189894826584948E-2</v>
      </c>
      <c r="F118" s="37">
        <f>Multi!F930*F$11*LAFs!F$292*(1-Contrib!F$137)*100/(24*Input!$F$60)</f>
        <v>0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0</v>
      </c>
      <c r="L118" s="37">
        <f>Multi!C930*L$11*LAFs!C$292*(1-Contrib!L$137)*100/(24*Input!$F$60)</f>
        <v>-1.9728688875140489E-2</v>
      </c>
      <c r="M118" s="37">
        <f>Multi!D930*M$11*LAFs!D$292*(1-Contrib!M$137)*100/(24*Input!$F$60)</f>
        <v>-3.0426829840167857E-3</v>
      </c>
      <c r="N118" s="37">
        <f>Multi!E930*N$11*LAFs!E$292*(1-Contrib!N$137)*100/(24*Input!$F$60)</f>
        <v>-2.5791386493260664E-2</v>
      </c>
      <c r="O118" s="37">
        <f>Multi!F930*O$11*LAFs!F$292*(1-Contrib!O$137)*100/(24*Input!$F$60)</f>
        <v>-2.5597637948627773E-2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212</v>
      </c>
      <c r="B119" s="37">
        <f>Multi!B931*B$11*LAFs!B$293*(1-Contrib!B$138)*100/(24*Input!$F$60)</f>
        <v>0</v>
      </c>
      <c r="C119" s="37">
        <f>Multi!C931*C$11*LAFs!C$293*(1-Contrib!C$138)*100/(24*Input!$F$60)</f>
        <v>-2.8255926558250512E-2</v>
      </c>
      <c r="D119" s="37">
        <f>Multi!D931*D$11*LAFs!D$293*(1-Contrib!D$138)*100/(24*Input!$F$60)</f>
        <v>-1.4380764514345106E-3</v>
      </c>
      <c r="E119" s="37">
        <f>Multi!E931*E$11*LAFs!E$293*(1-Contrib!E$138)*100/(24*Input!$F$60)</f>
        <v>-1.2189894826584948E-2</v>
      </c>
      <c r="F119" s="37">
        <f>Multi!F931*F$11*LAFs!F$293*(1-Contrib!F$138)*100/(24*Input!$F$60)</f>
        <v>0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0</v>
      </c>
      <c r="L119" s="37">
        <f>Multi!C931*L$11*LAFs!C$293*(1-Contrib!L$138)*100/(24*Input!$F$60)</f>
        <v>-1.9728688875140489E-2</v>
      </c>
      <c r="M119" s="37">
        <f>Multi!D931*M$11*LAFs!D$293*(1-Contrib!M$138)*100/(24*Input!$F$60)</f>
        <v>-3.0426829840167857E-3</v>
      </c>
      <c r="N119" s="37">
        <f>Multi!E931*N$11*LAFs!E$293*(1-Contrib!N$138)*100/(24*Input!$F$60)</f>
        <v>-2.5791386493260664E-2</v>
      </c>
      <c r="O119" s="37">
        <f>Multi!F931*O$11*LAFs!F$293*(1-Contrib!O$138)*100/(24*Input!$F$60)</f>
        <v>-2.5597637948627773E-2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1015</v>
      </c>
    </row>
    <row r="122" spans="1:20" x14ac:dyDescent="0.25">
      <c r="A122" s="2" t="s">
        <v>381</v>
      </c>
    </row>
    <row r="123" spans="1:20" x14ac:dyDescent="0.25">
      <c r="A123" s="32" t="s">
        <v>1016</v>
      </c>
    </row>
    <row r="124" spans="1:20" x14ac:dyDescent="0.25">
      <c r="A124" s="32" t="s">
        <v>1011</v>
      </c>
    </row>
    <row r="125" spans="1:20" x14ac:dyDescent="0.25">
      <c r="A125" s="32" t="s">
        <v>830</v>
      </c>
    </row>
    <row r="126" spans="1:20" x14ac:dyDescent="0.25">
      <c r="A126" s="32" t="s">
        <v>1007</v>
      </c>
    </row>
    <row r="127" spans="1:20" x14ac:dyDescent="0.25">
      <c r="A127" s="32" t="s">
        <v>775</v>
      </c>
    </row>
    <row r="128" spans="1:20" x14ac:dyDescent="0.25">
      <c r="A128" s="2" t="s">
        <v>1012</v>
      </c>
    </row>
    <row r="130" spans="1:20" ht="30" x14ac:dyDescent="0.25">
      <c r="B130" s="15" t="s">
        <v>150</v>
      </c>
      <c r="C130" s="15" t="s">
        <v>335</v>
      </c>
      <c r="D130" s="15" t="s">
        <v>336</v>
      </c>
      <c r="E130" s="15" t="s">
        <v>337</v>
      </c>
      <c r="F130" s="15" t="s">
        <v>338</v>
      </c>
      <c r="G130" s="15" t="s">
        <v>339</v>
      </c>
      <c r="H130" s="15" t="s">
        <v>340</v>
      </c>
      <c r="I130" s="15" t="s">
        <v>341</v>
      </c>
      <c r="J130" s="15" t="s">
        <v>342</v>
      </c>
      <c r="K130" s="15" t="s">
        <v>323</v>
      </c>
      <c r="L130" s="15" t="s">
        <v>911</v>
      </c>
      <c r="M130" s="15" t="s">
        <v>912</v>
      </c>
      <c r="N130" s="15" t="s">
        <v>913</v>
      </c>
      <c r="O130" s="15" t="s">
        <v>914</v>
      </c>
      <c r="P130" s="15" t="s">
        <v>915</v>
      </c>
      <c r="Q130" s="15" t="s">
        <v>916</v>
      </c>
      <c r="R130" s="15" t="s">
        <v>917</v>
      </c>
      <c r="S130" s="15" t="s">
        <v>918</v>
      </c>
    </row>
    <row r="131" spans="1:20" x14ac:dyDescent="0.25">
      <c r="A131" s="4" t="s">
        <v>188</v>
      </c>
      <c r="B131" s="37">
        <f>Multi!B940*B$11*LAFs!B$270*(1-Contrib!B$115)*100/(24*Input!$F$60)</f>
        <v>0</v>
      </c>
      <c r="C131" s="37">
        <f>Multi!C940*C$11*LAFs!C$270*(1-Contrib!C$115)*100/(24*Input!$F$60)</f>
        <v>1.3437531346544853E-2</v>
      </c>
      <c r="D131" s="37">
        <f>Multi!D940*D$11*LAFs!D$270*(1-Contrib!D$115)*100/(24*Input!$F$60)</f>
        <v>2.072420941608723E-3</v>
      </c>
      <c r="E131" s="37">
        <f>Multi!E940*E$11*LAFs!E$270*(1-Contrib!E$115)*100/(24*Input!$F$60)</f>
        <v>9.9083559925561525E-3</v>
      </c>
      <c r="F131" s="37">
        <f>Multi!F940*F$11*LAFs!F$270*(1-Contrib!F$115)*100/(24*Input!$F$60)</f>
        <v>1.8684453738720152E-3</v>
      </c>
      <c r="G131" s="37">
        <f>Multi!G940*G$11*LAFs!G$270*(1-Contrib!G$115)*100/(24*Input!$F$60)</f>
        <v>0</v>
      </c>
      <c r="H131" s="37">
        <f>Multi!H940*H$11*LAFs!H$270*(1-Contrib!H$115)*100/(24*Input!$F$60)</f>
        <v>7.219696350960746E-3</v>
      </c>
      <c r="I131" s="37">
        <f>Multi!I940*I$11*LAFs!I$270*(1-Contrib!I$115)*100/(24*Input!$F$60)</f>
        <v>7.9130271707601014E-4</v>
      </c>
      <c r="J131" s="37">
        <f>Multi!J940*J$11*LAFs!J$270*(1-Contrib!J$115)*100/(24*Input!$F$60)</f>
        <v>1.8548724399362431E-3</v>
      </c>
      <c r="K131" s="37">
        <f>Multi!B940*K$11*LAFs!B$270*(1-Contrib!K$115)*100/(24*Input!$F$60)</f>
        <v>0</v>
      </c>
      <c r="L131" s="37">
        <f>Multi!C940*L$11*LAFs!C$270*(1-Contrib!L$115)*100/(24*Input!$F$60)</f>
        <v>9.3822750649995065E-3</v>
      </c>
      <c r="M131" s="37">
        <f>Multi!D940*M$11*LAFs!D$270*(1-Contrib!M$115)*100/(24*Input!$F$60)</f>
        <v>1.4469937091263335E-3</v>
      </c>
      <c r="N131" s="37">
        <f>Multi!E940*N$11*LAFs!E$270*(1-Contrib!N$115)*100/(24*Input!$F$60)</f>
        <v>6.9181547537748621E-3</v>
      </c>
      <c r="O131" s="37">
        <f>Multi!F940*O$11*LAFs!F$270*(1-Contrib!O$115)*100/(24*Input!$F$60)</f>
        <v>6.866184596395414E-3</v>
      </c>
      <c r="P131" s="37">
        <f>Multi!G940*P$11*LAFs!G$270*(1-Contrib!P$115)*100/(24*Input!$F$60)</f>
        <v>0</v>
      </c>
      <c r="Q131" s="37">
        <f>Multi!H940*Q$11*LAFs!H$270*(1-Contrib!Q$115)*100/(24*Input!$F$60)</f>
        <v>2.6531023367779988E-2</v>
      </c>
      <c r="R131" s="37">
        <f>Multi!I940*R$11*LAFs!I$270*(1-Contrib!R$115)*100/(24*Input!$F$60)</f>
        <v>1.1049975713280941E-2</v>
      </c>
      <c r="S131" s="37">
        <f>Multi!J940*S$11*LAFs!J$270*(1-Contrib!S$115)*100/(24*Input!$F$60)</f>
        <v>2.5901965164819268E-2</v>
      </c>
      <c r="T131" s="17"/>
    </row>
    <row r="132" spans="1:20" x14ac:dyDescent="0.25">
      <c r="A132" s="4" t="s">
        <v>189</v>
      </c>
      <c r="B132" s="37">
        <f>Multi!B941*B$11*LAFs!B$271*(1-Contrib!B$116)*100/(24*Input!$F$60)</f>
        <v>0</v>
      </c>
      <c r="C132" s="37">
        <f>Multi!C941*C$11*LAFs!C$271*(1-Contrib!C$116)*100/(24*Input!$F$60)</f>
        <v>1.3960856895902322E-2</v>
      </c>
      <c r="D132" s="37">
        <f>Multi!D941*D$11*LAFs!D$271*(1-Contrib!D$116)*100/(24*Input!$F$60)</f>
        <v>2.1531315126055431E-3</v>
      </c>
      <c r="E132" s="37">
        <f>Multi!E941*E$11*LAFs!E$271*(1-Contrib!E$116)*100/(24*Input!$F$60)</f>
        <v>1.0303742441996937E-2</v>
      </c>
      <c r="F132" s="37">
        <f>Multi!F941*F$11*LAFs!F$271*(1-Contrib!F$116)*100/(24*Input!$F$60)</f>
        <v>1.9430044614647821E-3</v>
      </c>
      <c r="G132" s="37">
        <f>Multi!G941*G$11*LAFs!G$271*(1-Contrib!G$116)*100/(24*Input!$F$60)</f>
        <v>0</v>
      </c>
      <c r="H132" s="37">
        <f>Multi!H941*H$11*LAFs!H$271*(1-Contrib!H$116)*100/(24*Input!$F$60)</f>
        <v>7.5077936002311092E-3</v>
      </c>
      <c r="I132" s="37">
        <f>Multi!I941*I$11*LAFs!I$271*(1-Contrib!I$116)*100/(24*Input!$F$60)</f>
        <v>8.2287913318102046E-4</v>
      </c>
      <c r="J132" s="37">
        <f>Multi!J941*J$11*LAFs!J$271*(1-Contrib!J$116)*100/(24*Input!$F$60)</f>
        <v>1.9288899084994361E-3</v>
      </c>
      <c r="K132" s="37">
        <f>Multi!B941*K$11*LAFs!B$271*(1-Contrib!K$116)*100/(24*Input!$F$60)</f>
        <v>0</v>
      </c>
      <c r="L132" s="37">
        <f>Multi!C941*L$11*LAFs!C$271*(1-Contrib!L$116)*100/(24*Input!$F$60)</f>
        <v>9.7476683895610303E-3</v>
      </c>
      <c r="M132" s="37">
        <f>Multi!D941*M$11*LAFs!D$271*(1-Contrib!M$116)*100/(24*Input!$F$60)</f>
        <v>1.5033469750809503E-3</v>
      </c>
      <c r="N132" s="37">
        <f>Multi!E941*N$11*LAFs!E$271*(1-Contrib!N$116)*100/(24*Input!$F$60)</f>
        <v>7.19421918331614E-3</v>
      </c>
      <c r="O132" s="37">
        <f>Multi!F941*O$11*LAFs!F$271*(1-Contrib!O$116)*100/(24*Input!$F$60)</f>
        <v>7.1401751908808488E-3</v>
      </c>
      <c r="P132" s="37">
        <f>Multi!G941*P$11*LAFs!G$271*(1-Contrib!P$116)*100/(24*Input!$F$60)</f>
        <v>0</v>
      </c>
      <c r="Q132" s="37">
        <f>Multi!H941*Q$11*LAFs!H$271*(1-Contrib!Q$116)*100/(24*Input!$F$60)</f>
        <v>2.7589726460129287E-2</v>
      </c>
      <c r="R132" s="37">
        <f>Multi!I941*R$11*LAFs!I$271*(1-Contrib!R$116)*100/(24*Input!$F$60)</f>
        <v>1.1490917749170984E-2</v>
      </c>
      <c r="S132" s="37">
        <f>Multi!J941*S$11*LAFs!J$271*(1-Contrib!S$116)*100/(24*Input!$F$60)</f>
        <v>2.6935566102023252E-2</v>
      </c>
      <c r="T132" s="17"/>
    </row>
    <row r="133" spans="1:20" x14ac:dyDescent="0.25">
      <c r="A133" s="4" t="s">
        <v>190</v>
      </c>
      <c r="B133" s="37">
        <f>Multi!B942*B$11*LAFs!B$272*(1-Contrib!B$117)*100/(24*Input!$F$60)</f>
        <v>0</v>
      </c>
      <c r="C133" s="37">
        <f>Multi!C942*C$11*LAFs!C$272*(1-Contrib!C$117)*100/(24*Input!$F$60)</f>
        <v>1.0546828013730376E-2</v>
      </c>
      <c r="D133" s="37">
        <f>Multi!D942*D$11*LAFs!D$272*(1-Contrib!D$117)*100/(24*Input!$F$60)</f>
        <v>1.6265984189737723E-3</v>
      </c>
      <c r="E133" s="37">
        <f>Multi!E942*E$11*LAFs!E$272*(1-Contrib!E$117)*100/(24*Input!$F$60)</f>
        <v>7.7793404067958887E-3</v>
      </c>
      <c r="F133" s="37">
        <f>Multi!F942*F$11*LAFs!F$272*(1-Contrib!F$117)*100/(24*Input!$F$60)</f>
        <v>1.4669711711784812E-3</v>
      </c>
      <c r="G133" s="37">
        <f>Multi!G942*G$11*LAFs!G$272*(1-Contrib!G$117)*100/(24*Input!$F$60)</f>
        <v>0</v>
      </c>
      <c r="H133" s="37">
        <f>Multi!H942*H$11*LAFs!H$272*(1-Contrib!H$117)*100/(24*Input!$F$60)</f>
        <v>5.6683949981228398E-3</v>
      </c>
      <c r="I133" s="37">
        <f>Multi!I942*I$11*LAFs!I$272*(1-Contrib!I$117)*100/(24*Input!$F$60)</f>
        <v>6.2127493255000694E-4</v>
      </c>
      <c r="J133" s="37">
        <f>Multi!J942*J$11*LAFs!J$272*(1-Contrib!J$117)*100/(24*Input!$F$60)</f>
        <v>1.4563146633294849E-3</v>
      </c>
      <c r="K133" s="37">
        <f>Multi!B942*K$11*LAFs!B$272*(1-Contrib!K$117)*100/(24*Input!$F$60)</f>
        <v>0</v>
      </c>
      <c r="L133" s="37">
        <f>Multi!C942*L$11*LAFs!C$272*(1-Contrib!L$117)*100/(24*Input!$F$60)</f>
        <v>7.3639449788896142E-3</v>
      </c>
      <c r="M133" s="37">
        <f>Multi!D942*M$11*LAFs!D$272*(1-Contrib!M$117)*100/(24*Input!$F$60)</f>
        <v>1.135714097591988E-3</v>
      </c>
      <c r="N133" s="37">
        <f>Multi!E942*N$11*LAFs!E$272*(1-Contrib!N$117)*100/(24*Input!$F$60)</f>
        <v>5.4316458610227771E-3</v>
      </c>
      <c r="O133" s="37">
        <f>Multi!F942*O$11*LAFs!F$272*(1-Contrib!O$117)*100/(24*Input!$F$60)</f>
        <v>5.390842568775988E-3</v>
      </c>
      <c r="P133" s="37">
        <f>Multi!G942*P$11*LAFs!G$272*(1-Contrib!P$117)*100/(24*Input!$F$60)</f>
        <v>0</v>
      </c>
      <c r="Q133" s="37">
        <f>Multi!H942*Q$11*LAFs!H$272*(1-Contrib!Q$117)*100/(24*Input!$F$60)</f>
        <v>2.0830283275416653E-2</v>
      </c>
      <c r="R133" s="37">
        <f>Multi!I942*R$11*LAFs!I$272*(1-Contrib!R$117)*100/(24*Input!$F$60)</f>
        <v>8.6756594762057333E-3</v>
      </c>
      <c r="S133" s="37">
        <f>Multi!J942*S$11*LAFs!J$272*(1-Contrib!S$117)*100/(24*Input!$F$60)</f>
        <v>2.03363912614241E-2</v>
      </c>
      <c r="T133" s="17"/>
    </row>
    <row r="134" spans="1:20" x14ac:dyDescent="0.25">
      <c r="A134" s="4" t="s">
        <v>191</v>
      </c>
      <c r="B134" s="37">
        <f>Multi!B943*B$11*LAFs!B$273*(1-Contrib!B$118)*100/(24*Input!$F$60)</f>
        <v>0</v>
      </c>
      <c r="C134" s="37">
        <f>Multi!C943*C$11*LAFs!C$273*(1-Contrib!C$118)*100/(24*Input!$F$60)</f>
        <v>1.0106667110138143E-2</v>
      </c>
      <c r="D134" s="37">
        <f>Multi!D943*D$11*LAFs!D$273*(1-Contrib!D$118)*100/(24*Input!$F$60)</f>
        <v>1.5587140248274833E-3</v>
      </c>
      <c r="E134" s="37">
        <f>Multi!E943*E$11*LAFs!E$273*(1-Contrib!E$118)*100/(24*Input!$F$60)</f>
        <v>7.4546777216407782E-3</v>
      </c>
      <c r="F134" s="37">
        <f>Multi!F943*F$11*LAFs!F$273*(1-Contrib!F$118)*100/(24*Input!$F$60)</f>
        <v>1.4057486542843898E-3</v>
      </c>
      <c r="G134" s="37">
        <f>Multi!G943*G$11*LAFs!G$273*(1-Contrib!G$118)*100/(24*Input!$F$60)</f>
        <v>0</v>
      </c>
      <c r="H134" s="37">
        <f>Multi!H943*H$11*LAFs!H$273*(1-Contrib!H$118)*100/(24*Input!$F$60)</f>
        <v>5.4318304252443106E-3</v>
      </c>
      <c r="I134" s="37">
        <f>Multi!I943*I$11*LAFs!I$273*(1-Contrib!I$118)*100/(24*Input!$F$60)</f>
        <v>5.953466690631641E-4</v>
      </c>
      <c r="J134" s="37">
        <f>Multi!J943*J$11*LAFs!J$273*(1-Contrib!J$118)*100/(24*Input!$F$60)</f>
        <v>0</v>
      </c>
      <c r="K134" s="37">
        <f>Multi!B943*K$11*LAFs!B$273*(1-Contrib!K$118)*100/(24*Input!$F$60)</f>
        <v>0</v>
      </c>
      <c r="L134" s="37">
        <f>Multi!C943*L$11*LAFs!C$273*(1-Contrib!L$118)*100/(24*Input!$F$60)</f>
        <v>7.056618390109382E-3</v>
      </c>
      <c r="M134" s="37">
        <f>Multi!D943*M$11*LAFs!D$273*(1-Contrib!M$118)*100/(24*Input!$F$60)</f>
        <v>1.0883162503181217E-3</v>
      </c>
      <c r="N134" s="37">
        <f>Multi!E943*N$11*LAFs!E$273*(1-Contrib!N$118)*100/(24*Input!$F$60)</f>
        <v>5.2049617672774023E-3</v>
      </c>
      <c r="O134" s="37">
        <f>Multi!F943*O$11*LAFs!F$273*(1-Contrib!O$118)*100/(24*Input!$F$60)</f>
        <v>5.1658613580169961E-3</v>
      </c>
      <c r="P134" s="37">
        <f>Multi!G943*P$11*LAFs!G$273*(1-Contrib!P$118)*100/(24*Input!$F$60)</f>
        <v>0</v>
      </c>
      <c r="Q134" s="37">
        <f>Multi!H943*Q$11*LAFs!H$273*(1-Contrib!Q$118)*100/(24*Input!$F$60)</f>
        <v>1.9960953056259452E-2</v>
      </c>
      <c r="R134" s="37">
        <f>Multi!I943*R$11*LAFs!I$273*(1-Contrib!R$118)*100/(24*Input!$F$60)</f>
        <v>8.3135898464237832E-3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208</v>
      </c>
      <c r="B135" s="37">
        <f>Multi!B944*B$11*LAFs!B$274*(1-Contrib!B$119)*100/(24*Input!$F$60)</f>
        <v>0</v>
      </c>
      <c r="C135" s="37">
        <f>Multi!C944*C$11*LAFs!C$274*(1-Contrib!C$119)*100/(24*Input!$F$60)</f>
        <v>9.3612352894295731E-3</v>
      </c>
      <c r="D135" s="37">
        <f>Multi!D944*D$11*LAFs!D$274*(1-Contrib!D$119)*100/(24*Input!$F$60)</f>
        <v>4.7643711128402357E-4</v>
      </c>
      <c r="E135" s="37">
        <f>Multi!E944*E$11*LAFs!E$274*(1-Contrib!E$119)*100/(24*Input!$F$60)</f>
        <v>2.27859957803677E-3</v>
      </c>
      <c r="F135" s="37">
        <f>Multi!F944*F$11*LAFs!F$274*(1-Contrib!F$119)*100/(24*Input!$F$60)</f>
        <v>0</v>
      </c>
      <c r="G135" s="37">
        <f>Multi!G944*G$11*LAFs!G$274*(1-Contrib!G$119)*100/(24*Input!$F$60)</f>
        <v>0</v>
      </c>
      <c r="H135" s="37">
        <f>Multi!H944*H$11*LAFs!H$274*(1-Contrib!H$119)*100/(24*Input!$F$60)</f>
        <v>0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0</v>
      </c>
      <c r="L135" s="37">
        <f>Multi!C944*L$11*LAFs!C$274*(1-Contrib!L$119)*100/(24*Input!$F$60)</f>
        <v>6.5361473151980291E-3</v>
      </c>
      <c r="M135" s="37">
        <f>Multi!D944*M$11*LAFs!D$274*(1-Contrib!M$119)*100/(24*Input!$F$60)</f>
        <v>1.0080459143962457E-3</v>
      </c>
      <c r="N135" s="37">
        <f>Multi!E944*N$11*LAFs!E$274*(1-Contrib!N$119)*100/(24*Input!$F$60)</f>
        <v>4.8210622992709744E-3</v>
      </c>
      <c r="O135" s="37">
        <f>Multi!F944*O$11*LAFs!F$274*(1-Contrib!O$119)*100/(24*Input!$F$60)</f>
        <v>4.7848457971332433E-3</v>
      </c>
      <c r="P135" s="37">
        <f>Multi!G944*P$11*LAFs!G$274*(1-Contrib!P$119)*100/(24*Input!$F$60)</f>
        <v>0</v>
      </c>
      <c r="Q135" s="37">
        <f>Multi!H944*Q$11*LAFs!H$274*(1-Contrib!Q$119)*100/(24*Input!$F$60)</f>
        <v>1.8488704151882262E-2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234</v>
      </c>
      <c r="B136" s="37">
        <f>Multi!B945*B$11*LAFs!B$279*(1-Contrib!B$124)*100/(24*Input!$F$60)</f>
        <v>0</v>
      </c>
      <c r="C136" s="37">
        <f>Multi!C945*C$11*LAFs!C$279*(1-Contrib!C$124)*100/(24*Input!$F$60)</f>
        <v>9.9663988421702637E-3</v>
      </c>
      <c r="D136" s="37">
        <f>Multi!D945*D$11*LAFs!D$279*(1-Contrib!D$124)*100/(24*Input!$F$60)</f>
        <v>1.5370809667543161E-3</v>
      </c>
      <c r="E136" s="37">
        <f>Multi!E945*E$11*LAFs!E$279*(1-Contrib!E$124)*100/(24*Input!$F$60)</f>
        <v>7.3512158463382516E-3</v>
      </c>
      <c r="F136" s="37">
        <f>Multi!F945*F$11*LAFs!F$279*(1-Contrib!F$124)*100/(24*Input!$F$60)</f>
        <v>1.3862385698237229E-3</v>
      </c>
      <c r="G136" s="37">
        <f>Multi!G945*G$11*LAFs!G$279*(1-Contrib!G$124)*100/(24*Input!$F$60)</f>
        <v>0</v>
      </c>
      <c r="H136" s="37">
        <f>Multi!H945*H$11*LAFs!H$279*(1-Contrib!H$124)*100/(24*Input!$F$60)</f>
        <v>5.3564432142734495E-3</v>
      </c>
      <c r="I136" s="37">
        <f>Multi!I945*I$11*LAFs!I$279*(1-Contrib!I$124)*100/(24*Input!$F$60)</f>
        <v>5.8708398016682505E-4</v>
      </c>
      <c r="J136" s="37">
        <f>Multi!J945*J$11*LAFs!J$279*(1-Contrib!J$124)*100/(24*Input!$F$60)</f>
        <v>1.3761685272147461E-3</v>
      </c>
      <c r="K136" s="37">
        <f>Multi!B945*K$11*LAFs!B$279*(1-Contrib!K$124)*100/(24*Input!$F$60)</f>
        <v>0</v>
      </c>
      <c r="L136" s="37">
        <f>Multi!C945*L$11*LAFs!C$279*(1-Contrib!L$124)*100/(24*Input!$F$60)</f>
        <v>6.9586810950046478E-3</v>
      </c>
      <c r="M136" s="37">
        <f>Multi!D945*M$11*LAFs!D$279*(1-Contrib!M$124)*100/(24*Input!$F$60)</f>
        <v>1.073211742197904E-3</v>
      </c>
      <c r="N136" s="37">
        <f>Multi!E945*N$11*LAFs!E$279*(1-Contrib!N$124)*100/(24*Input!$F$60)</f>
        <v>5.132723217815072E-3</v>
      </c>
      <c r="O136" s="37">
        <f>Multi!F945*O$11*LAFs!F$279*(1-Contrib!O$124)*100/(24*Input!$F$60)</f>
        <v>5.0941654747594612E-3</v>
      </c>
      <c r="P136" s="37">
        <f>Multi!G945*P$11*LAFs!G$279*(1-Contrib!P$124)*100/(24*Input!$F$60)</f>
        <v>0</v>
      </c>
      <c r="Q136" s="37">
        <f>Multi!H945*Q$11*LAFs!H$279*(1-Contrib!Q$124)*100/(24*Input!$F$60)</f>
        <v>1.9683919264438899E-2</v>
      </c>
      <c r="R136" s="37">
        <f>Multi!I945*R$11*LAFs!I$279*(1-Contrib!R$124)*100/(24*Input!$F$60)</f>
        <v>8.1982073137208504E-3</v>
      </c>
      <c r="S136" s="37">
        <f>Multi!J945*S$11*LAFs!J$279*(1-Contrib!S$124)*100/(24*Input!$F$60)</f>
        <v>1.9217207871212009E-2</v>
      </c>
      <c r="T136" s="17"/>
    </row>
    <row r="137" spans="1:20" x14ac:dyDescent="0.25">
      <c r="A137" s="4" t="s">
        <v>196</v>
      </c>
      <c r="B137" s="37">
        <f>Multi!B946*B$11*LAFs!B$284*(1-Contrib!B$129)*100/(24*Input!$F$60)</f>
        <v>0</v>
      </c>
      <c r="C137" s="37">
        <f>Multi!C946*C$11*LAFs!C$284*(1-Contrib!C$129)*100/(24*Input!$F$60)</f>
        <v>-9.0672304746771907E-3</v>
      </c>
      <c r="D137" s="37">
        <f>Multi!D946*D$11*LAFs!D$284*(1-Contrib!D$129)*100/(24*Input!$F$60)</f>
        <v>-1.3984055429158502E-3</v>
      </c>
      <c r="E137" s="37">
        <f>Multi!E946*E$11*LAFs!E$284*(1-Contrib!E$129)*100/(24*Input!$F$60)</f>
        <v>-6.6879892530302704E-3</v>
      </c>
      <c r="F137" s="37">
        <f>Multi!F946*F$11*LAFs!F$284*(1-Contrib!F$129)*100/(24*Input!$F$60)</f>
        <v>-1.261172144977243E-3</v>
      </c>
      <c r="G137" s="37">
        <f>Multi!G946*G$11*LAFs!G$284*(1-Contrib!G$129)*100/(24*Input!$F$60)</f>
        <v>0</v>
      </c>
      <c r="H137" s="37">
        <f>Multi!H946*H$11*LAFs!H$284*(1-Contrib!H$129)*100/(24*Input!$F$60)</f>
        <v>-4.8731849806004715E-3</v>
      </c>
      <c r="I137" s="37">
        <f>Multi!I946*I$11*LAFs!I$284*(1-Contrib!I$129)*100/(24*Input!$F$60)</f>
        <v>-5.3411727149023456E-4</v>
      </c>
      <c r="J137" s="37">
        <f>Multi!J946*J$11*LAFs!J$284*(1-Contrib!J$129)*100/(24*Input!$F$60)</f>
        <v>0</v>
      </c>
      <c r="K137" s="37">
        <f>Multi!B946*K$11*LAFs!B$284*(1-Contrib!K$129)*100/(24*Input!$F$60)</f>
        <v>0</v>
      </c>
      <c r="L137" s="37">
        <f>Multi!C946*L$11*LAFs!C$284*(1-Contrib!L$129)*100/(24*Input!$F$60)</f>
        <v>-6.330868981603642E-3</v>
      </c>
      <c r="M137" s="37">
        <f>Multi!D946*M$11*LAFs!D$284*(1-Contrib!M$129)*100/(24*Input!$F$60)</f>
        <v>-9.7638659346681517E-4</v>
      </c>
      <c r="N137" s="37">
        <f>Multi!E946*N$11*LAFs!E$284*(1-Contrib!N$129)*100/(24*Input!$F$60)</f>
        <v>-4.6696489991686525E-3</v>
      </c>
      <c r="O137" s="37">
        <f>Multi!F946*O$11*LAFs!F$284*(1-Contrib!O$129)*100/(24*Input!$F$60)</f>
        <v>-4.6345699351651812E-3</v>
      </c>
      <c r="P137" s="37">
        <f>Multi!G946*P$11*LAFs!G$284*(1-Contrib!P$129)*100/(24*Input!$F$60)</f>
        <v>0</v>
      </c>
      <c r="Q137" s="37">
        <f>Multi!H946*Q$11*LAFs!H$284*(1-Contrib!Q$129)*100/(24*Input!$F$60)</f>
        <v>-1.7908036337098931E-2</v>
      </c>
      <c r="R137" s="37">
        <f>Multi!I946*R$11*LAFs!I$284*(1-Contrib!R$129)*100/(24*Input!$F$60)</f>
        <v>-7.4585651617875698E-3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197</v>
      </c>
      <c r="B138" s="37">
        <f>Multi!B947*B$11*LAFs!B$285*(1-Contrib!B$130)*100/(24*Input!$F$60)</f>
        <v>0</v>
      </c>
      <c r="C138" s="37">
        <f>Multi!C947*C$11*LAFs!C$285*(1-Contrib!C$130)*100/(24*Input!$F$60)</f>
        <v>-9.0672304746771907E-3</v>
      </c>
      <c r="D138" s="37">
        <f>Multi!D947*D$11*LAFs!D$285*(1-Contrib!D$130)*100/(24*Input!$F$60)</f>
        <v>-1.3984055429158502E-3</v>
      </c>
      <c r="E138" s="37">
        <f>Multi!E947*E$11*LAFs!E$285*(1-Contrib!E$130)*100/(24*Input!$F$60)</f>
        <v>-6.6879892530302704E-3</v>
      </c>
      <c r="F138" s="37">
        <f>Multi!F947*F$11*LAFs!F$285*(1-Contrib!F$130)*100/(24*Input!$F$60)</f>
        <v>-1.261172144977243E-3</v>
      </c>
      <c r="G138" s="37">
        <f>Multi!G947*G$11*LAFs!G$285*(1-Contrib!G$130)*100/(24*Input!$F$60)</f>
        <v>0</v>
      </c>
      <c r="H138" s="37">
        <f>Multi!H947*H$11*LAFs!H$285*(1-Contrib!H$130)*100/(24*Input!$F$60)</f>
        <v>-4.8731849806004715E-3</v>
      </c>
      <c r="I138" s="37">
        <f>Multi!I947*I$11*LAFs!I$285*(1-Contrib!I$130)*100/(24*Input!$F$60)</f>
        <v>-5.3411727149023456E-4</v>
      </c>
      <c r="J138" s="37">
        <f>Multi!J947*J$11*LAFs!J$285*(1-Contrib!J$130)*100/(24*Input!$F$60)</f>
        <v>0</v>
      </c>
      <c r="K138" s="37">
        <f>Multi!B947*K$11*LAFs!B$285*(1-Contrib!K$130)*100/(24*Input!$F$60)</f>
        <v>0</v>
      </c>
      <c r="L138" s="37">
        <f>Multi!C947*L$11*LAFs!C$285*(1-Contrib!L$130)*100/(24*Input!$F$60)</f>
        <v>-6.330868981603642E-3</v>
      </c>
      <c r="M138" s="37">
        <f>Multi!D947*M$11*LAFs!D$285*(1-Contrib!M$130)*100/(24*Input!$F$60)</f>
        <v>-9.7638659346681517E-4</v>
      </c>
      <c r="N138" s="37">
        <f>Multi!E947*N$11*LAFs!E$285*(1-Contrib!N$130)*100/(24*Input!$F$60)</f>
        <v>-4.6696489991686525E-3</v>
      </c>
      <c r="O138" s="37">
        <f>Multi!F947*O$11*LAFs!F$285*(1-Contrib!O$130)*100/(24*Input!$F$60)</f>
        <v>-4.6345699351651812E-3</v>
      </c>
      <c r="P138" s="37">
        <f>Multi!G947*P$11*LAFs!G$285*(1-Contrib!P$130)*100/(24*Input!$F$60)</f>
        <v>0</v>
      </c>
      <c r="Q138" s="37">
        <f>Multi!H947*Q$11*LAFs!H$285*(1-Contrib!Q$130)*100/(24*Input!$F$60)</f>
        <v>-1.7908036337098931E-2</v>
      </c>
      <c r="R138" s="37">
        <f>Multi!I947*R$11*LAFs!I$285*(1-Contrib!R$130)*100/(24*Input!$F$60)</f>
        <v>-7.4585651617875698E-3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200</v>
      </c>
      <c r="B139" s="37">
        <f>Multi!B948*B$11*LAFs!B$288*(1-Contrib!B$133)*100/(24*Input!$F$60)</f>
        <v>0</v>
      </c>
      <c r="C139" s="37">
        <f>Multi!C948*C$11*LAFs!C$288*(1-Contrib!C$133)*100/(24*Input!$F$60)</f>
        <v>-8.9562380112395232E-3</v>
      </c>
      <c r="D139" s="37">
        <f>Multi!D948*D$11*LAFs!D$288*(1-Contrib!D$133)*100/(24*Input!$F$60)</f>
        <v>-1.3812875842925865E-3</v>
      </c>
      <c r="E139" s="37">
        <f>Multi!E948*E$11*LAFs!E$288*(1-Contrib!E$133)*100/(24*Input!$F$60)</f>
        <v>-6.6061212113265096E-3</v>
      </c>
      <c r="F139" s="37">
        <f>Multi!F948*F$11*LAFs!F$288*(1-Contrib!F$133)*100/(24*Input!$F$60)</f>
        <v>-1.2457340678730014E-3</v>
      </c>
      <c r="G139" s="37">
        <f>Multi!G948*G$11*LAFs!G$288*(1-Contrib!G$133)*100/(24*Input!$F$60)</f>
        <v>0</v>
      </c>
      <c r="H139" s="37">
        <f>Multi!H948*H$11*LAFs!H$288*(1-Contrib!H$133)*100/(24*Input!$F$60)</f>
        <v>-4.8135320571091288E-3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0</v>
      </c>
      <c r="L139" s="37">
        <f>Multi!C948*L$11*LAFs!C$288*(1-Contrib!L$133)*100/(24*Input!$F$60)</f>
        <v>-6.2533724686461584E-3</v>
      </c>
      <c r="M139" s="37">
        <f>Multi!D948*M$11*LAFs!D$288*(1-Contrib!M$133)*100/(24*Input!$F$60)</f>
        <v>-9.6443459185187276E-4</v>
      </c>
      <c r="N139" s="37">
        <f>Multi!E948*N$11*LAFs!E$288*(1-Contrib!N$133)*100/(24*Input!$F$60)</f>
        <v>-4.6124875707419175E-3</v>
      </c>
      <c r="O139" s="37">
        <f>Multi!F948*O$11*LAFs!F$288*(1-Contrib!O$133)*100/(24*Input!$F$60)</f>
        <v>-4.5778379114767183E-3</v>
      </c>
      <c r="P139" s="37">
        <f>Multi!G948*P$11*LAFs!G$288*(1-Contrib!P$133)*100/(24*Input!$F$60)</f>
        <v>0</v>
      </c>
      <c r="Q139" s="37">
        <f>Multi!H948*Q$11*LAFs!H$288*(1-Contrib!Q$133)*100/(24*Input!$F$60)</f>
        <v>-1.7688823086268148E-2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201</v>
      </c>
      <c r="B140" s="37">
        <f>Multi!B949*B$11*LAFs!B$289*(1-Contrib!B$134)*100/(24*Input!$F$60)</f>
        <v>0</v>
      </c>
      <c r="C140" s="37">
        <f>Multi!C949*C$11*LAFs!C$289*(1-Contrib!C$134)*100/(24*Input!$F$60)</f>
        <v>-8.9562380112395232E-3</v>
      </c>
      <c r="D140" s="37">
        <f>Multi!D949*D$11*LAFs!D$289*(1-Contrib!D$134)*100/(24*Input!$F$60)</f>
        <v>-1.3812875842925865E-3</v>
      </c>
      <c r="E140" s="37">
        <f>Multi!E949*E$11*LAFs!E$289*(1-Contrib!E$134)*100/(24*Input!$F$60)</f>
        <v>-6.6061212113265096E-3</v>
      </c>
      <c r="F140" s="37">
        <f>Multi!F949*F$11*LAFs!F$289*(1-Contrib!F$134)*100/(24*Input!$F$60)</f>
        <v>-1.2457340678730014E-3</v>
      </c>
      <c r="G140" s="37">
        <f>Multi!G949*G$11*LAFs!G$289*(1-Contrib!G$134)*100/(24*Input!$F$60)</f>
        <v>0</v>
      </c>
      <c r="H140" s="37">
        <f>Multi!H949*H$11*LAFs!H$289*(1-Contrib!H$134)*100/(24*Input!$F$60)</f>
        <v>-4.8135320571091288E-3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0</v>
      </c>
      <c r="L140" s="37">
        <f>Multi!C949*L$11*LAFs!C$289*(1-Contrib!L$134)*100/(24*Input!$F$60)</f>
        <v>-6.2533724686461584E-3</v>
      </c>
      <c r="M140" s="37">
        <f>Multi!D949*M$11*LAFs!D$289*(1-Contrib!M$134)*100/(24*Input!$F$60)</f>
        <v>-9.6443459185187276E-4</v>
      </c>
      <c r="N140" s="37">
        <f>Multi!E949*N$11*LAFs!E$289*(1-Contrib!N$134)*100/(24*Input!$F$60)</f>
        <v>-4.6124875707419175E-3</v>
      </c>
      <c r="O140" s="37">
        <f>Multi!F949*O$11*LAFs!F$289*(1-Contrib!O$134)*100/(24*Input!$F$60)</f>
        <v>-4.5778379114767183E-3</v>
      </c>
      <c r="P140" s="37">
        <f>Multi!G949*P$11*LAFs!G$289*(1-Contrib!P$134)*100/(24*Input!$F$60)</f>
        <v>0</v>
      </c>
      <c r="Q140" s="37">
        <f>Multi!H949*Q$11*LAFs!H$289*(1-Contrib!Q$134)*100/(24*Input!$F$60)</f>
        <v>-1.7688823086268148E-2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211</v>
      </c>
      <c r="B141" s="37">
        <f>Multi!B950*B$11*LAFs!B$292*(1-Contrib!B$137)*100/(24*Input!$F$60)</f>
        <v>0</v>
      </c>
      <c r="C141" s="37">
        <f>Multi!C950*C$11*LAFs!C$292*(1-Contrib!C$137)*100/(24*Input!$F$60)</f>
        <v>-8.8623213114076508E-3</v>
      </c>
      <c r="D141" s="37">
        <f>Multi!D950*D$11*LAFs!D$292*(1-Contrib!D$137)*100/(24*Input!$F$60)</f>
        <v>-4.5104504206251907E-4</v>
      </c>
      <c r="E141" s="37">
        <f>Multi!E950*E$11*LAFs!E$292*(1-Contrib!E$137)*100/(24*Input!$F$60)</f>
        <v>-2.1571599234773906E-3</v>
      </c>
      <c r="F141" s="37">
        <f>Multi!F950*F$11*LAFs!F$292*(1-Contrib!F$137)*100/(24*Input!$F$60)</f>
        <v>0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0</v>
      </c>
      <c r="L141" s="37">
        <f>Multi!C950*L$11*LAFs!C$292*(1-Contrib!L$137)*100/(24*Input!$F$60)</f>
        <v>-6.1877984961436708E-3</v>
      </c>
      <c r="M141" s="37">
        <f>Multi!D950*M$11*LAFs!D$292*(1-Contrib!M$137)*100/(24*Input!$F$60)</f>
        <v>-9.5432135971615253E-4</v>
      </c>
      <c r="N141" s="37">
        <f>Multi!E950*N$11*LAFs!E$292*(1-Contrib!N$137)*100/(24*Input!$F$60)</f>
        <v>-4.5641202082269882E-3</v>
      </c>
      <c r="O141" s="37">
        <f>Multi!F950*O$11*LAFs!F$292*(1-Contrib!O$137)*100/(24*Input!$F$60)</f>
        <v>-4.5298338914326348E-3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212</v>
      </c>
      <c r="B142" s="37">
        <f>Multi!B951*B$11*LAFs!B$293*(1-Contrib!B$138)*100/(24*Input!$F$60)</f>
        <v>0</v>
      </c>
      <c r="C142" s="37">
        <f>Multi!C951*C$11*LAFs!C$293*(1-Contrib!C$138)*100/(24*Input!$F$60)</f>
        <v>-8.8623213114076508E-3</v>
      </c>
      <c r="D142" s="37">
        <f>Multi!D951*D$11*LAFs!D$293*(1-Contrib!D$138)*100/(24*Input!$F$60)</f>
        <v>-4.5104504206251907E-4</v>
      </c>
      <c r="E142" s="37">
        <f>Multi!E951*E$11*LAFs!E$293*(1-Contrib!E$138)*100/(24*Input!$F$60)</f>
        <v>-2.1571599234773906E-3</v>
      </c>
      <c r="F142" s="37">
        <f>Multi!F951*F$11*LAFs!F$293*(1-Contrib!F$138)*100/(24*Input!$F$60)</f>
        <v>0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0</v>
      </c>
      <c r="L142" s="37">
        <f>Multi!C951*L$11*LAFs!C$293*(1-Contrib!L$138)*100/(24*Input!$F$60)</f>
        <v>-6.1877984961436708E-3</v>
      </c>
      <c r="M142" s="37">
        <f>Multi!D951*M$11*LAFs!D$293*(1-Contrib!M$138)*100/(24*Input!$F$60)</f>
        <v>-9.5432135971615253E-4</v>
      </c>
      <c r="N142" s="37">
        <f>Multi!E951*N$11*LAFs!E$293*(1-Contrib!N$138)*100/(24*Input!$F$60)</f>
        <v>-4.5641202082269882E-3</v>
      </c>
      <c r="O142" s="37">
        <f>Multi!F951*O$11*LAFs!F$293*(1-Contrib!O$138)*100/(24*Input!$F$60)</f>
        <v>-4.5298338914326348E-3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South West in April 19 (no data version)</v>
      </c>
    </row>
    <row r="2" spans="1:20" x14ac:dyDescent="0.25">
      <c r="A2" s="2" t="s">
        <v>1017</v>
      </c>
    </row>
    <row r="4" spans="1:20" ht="21" customHeight="1" x14ac:dyDescent="0.3">
      <c r="A4" s="1" t="s">
        <v>1018</v>
      </c>
    </row>
    <row r="5" spans="1:20" x14ac:dyDescent="0.25">
      <c r="A5" s="2" t="s">
        <v>381</v>
      </c>
    </row>
    <row r="6" spans="1:20" x14ac:dyDescent="0.25">
      <c r="A6" s="32" t="s">
        <v>1006</v>
      </c>
    </row>
    <row r="7" spans="1:20" x14ac:dyDescent="0.25">
      <c r="A7" s="32" t="s">
        <v>1019</v>
      </c>
    </row>
    <row r="8" spans="1:20" x14ac:dyDescent="0.25">
      <c r="A8" s="2" t="s">
        <v>1020</v>
      </c>
    </row>
    <row r="10" spans="1:20" ht="30" x14ac:dyDescent="0.25">
      <c r="B10" s="15" t="s">
        <v>150</v>
      </c>
      <c r="C10" s="15" t="s">
        <v>335</v>
      </c>
      <c r="D10" s="15" t="s">
        <v>336</v>
      </c>
      <c r="E10" s="15" t="s">
        <v>337</v>
      </c>
      <c r="F10" s="15" t="s">
        <v>338</v>
      </c>
      <c r="G10" s="15" t="s">
        <v>339</v>
      </c>
      <c r="H10" s="15" t="s">
        <v>340</v>
      </c>
      <c r="I10" s="15" t="s">
        <v>341</v>
      </c>
      <c r="J10" s="15" t="s">
        <v>342</v>
      </c>
      <c r="K10" s="15" t="s">
        <v>323</v>
      </c>
      <c r="L10" s="15" t="s">
        <v>911</v>
      </c>
      <c r="M10" s="15" t="s">
        <v>912</v>
      </c>
      <c r="N10" s="15" t="s">
        <v>913</v>
      </c>
      <c r="O10" s="15" t="s">
        <v>914</v>
      </c>
      <c r="P10" s="15" t="s">
        <v>915</v>
      </c>
      <c r="Q10" s="15" t="s">
        <v>916</v>
      </c>
      <c r="R10" s="15" t="s">
        <v>917</v>
      </c>
      <c r="S10" s="15" t="s">
        <v>918</v>
      </c>
    </row>
    <row r="11" spans="1:20" x14ac:dyDescent="0.25">
      <c r="A11" s="4" t="s">
        <v>1021</v>
      </c>
      <c r="B11" s="37">
        <f>Yard!B11/(1+AMD!B203)</f>
        <v>0</v>
      </c>
      <c r="C11" s="37">
        <f>Yard!C11/(1+AMD!C203)</f>
        <v>11.487717306365219</v>
      </c>
      <c r="D11" s="37">
        <f>Yard!D11/(1+AMD!D203)</f>
        <v>1.7787809952068816</v>
      </c>
      <c r="E11" s="37">
        <f>Yard!E11/(1+AMD!E203)</f>
        <v>3.7148474415725374</v>
      </c>
      <c r="F11" s="37">
        <f>Yard!F11/(1+AMD!F203)</f>
        <v>3.7197299827950463</v>
      </c>
      <c r="G11" s="37">
        <f>Yard!G11/(1+AMD!G203)</f>
        <v>0</v>
      </c>
      <c r="H11" s="37">
        <f>Yard!H11/(1+AMD!H203)</f>
        <v>10.665985441535925</v>
      </c>
      <c r="I11" s="37">
        <f>Yard!I11/(1+AMD!I203)</f>
        <v>4.4893807766567635</v>
      </c>
      <c r="J11" s="37">
        <f>Yard!J11/(1+AMD!J203)</f>
        <v>9.7792240903968874</v>
      </c>
      <c r="K11" s="37">
        <f>Yard!K11/(1+AMD!B203)</f>
        <v>3.6736574318519879</v>
      </c>
      <c r="L11" s="37">
        <f>Yard!L11/(1+AMD!C203)</f>
        <v>8.0208872342453752</v>
      </c>
      <c r="M11" s="37">
        <f>Yard!M11/(1+AMD!D203)</f>
        <v>1.2419701317917831</v>
      </c>
      <c r="N11" s="37">
        <f>Yard!N11/(1+AMD!E203)</f>
        <v>2.5937591974663592</v>
      </c>
      <c r="O11" s="37">
        <f>Yard!O11/(1+AMD!F203)</f>
        <v>2.597168257031274</v>
      </c>
      <c r="P11" s="37">
        <f>Yard!P11/(1+AMD!G203)</f>
        <v>0</v>
      </c>
      <c r="Q11" s="37">
        <f>Yard!Q11/(1+AMD!H203)</f>
        <v>7.4471423858297614</v>
      </c>
      <c r="R11" s="37">
        <f>Yard!R11/(1+AMD!I203)</f>
        <v>3.1345493626658723</v>
      </c>
      <c r="S11" s="37">
        <f>Yard!S11/(1+AMD!J203)</f>
        <v>6.8279930273029565</v>
      </c>
      <c r="T11" s="17"/>
    </row>
    <row r="13" spans="1:20" ht="21" customHeight="1" x14ac:dyDescent="0.3">
      <c r="A13" s="1" t="s">
        <v>1022</v>
      </c>
    </row>
    <row r="14" spans="1:20" x14ac:dyDescent="0.25">
      <c r="A14" s="2" t="s">
        <v>1023</v>
      </c>
    </row>
    <row r="15" spans="1:20" x14ac:dyDescent="0.25">
      <c r="A15" s="2" t="s">
        <v>381</v>
      </c>
    </row>
    <row r="16" spans="1:20" x14ac:dyDescent="0.25">
      <c r="A16" s="32" t="s">
        <v>1024</v>
      </c>
    </row>
    <row r="17" spans="1:20" x14ac:dyDescent="0.25">
      <c r="A17" s="32" t="s">
        <v>1025</v>
      </c>
    </row>
    <row r="18" spans="1:20" x14ac:dyDescent="0.25">
      <c r="A18" s="32" t="s">
        <v>1026</v>
      </c>
    </row>
    <row r="19" spans="1:20" x14ac:dyDescent="0.25">
      <c r="A19" s="32" t="s">
        <v>1027</v>
      </c>
    </row>
    <row r="20" spans="1:20" x14ac:dyDescent="0.25">
      <c r="A20" s="32" t="s">
        <v>775</v>
      </c>
    </row>
    <row r="21" spans="1:20" x14ac:dyDescent="0.25">
      <c r="A21" s="32" t="s">
        <v>1028</v>
      </c>
    </row>
    <row r="22" spans="1:20" x14ac:dyDescent="0.25">
      <c r="A22" s="2" t="s">
        <v>1029</v>
      </c>
    </row>
    <row r="24" spans="1:20" ht="30" x14ac:dyDescent="0.25">
      <c r="B24" s="15" t="s">
        <v>150</v>
      </c>
      <c r="C24" s="15" t="s">
        <v>335</v>
      </c>
      <c r="D24" s="15" t="s">
        <v>336</v>
      </c>
      <c r="E24" s="15" t="s">
        <v>337</v>
      </c>
      <c r="F24" s="15" t="s">
        <v>338</v>
      </c>
      <c r="G24" s="15" t="s">
        <v>339</v>
      </c>
      <c r="H24" s="15" t="s">
        <v>340</v>
      </c>
      <c r="I24" s="15" t="s">
        <v>341</v>
      </c>
      <c r="J24" s="15" t="s">
        <v>342</v>
      </c>
      <c r="K24" s="15" t="s">
        <v>323</v>
      </c>
      <c r="L24" s="15" t="s">
        <v>911</v>
      </c>
      <c r="M24" s="15" t="s">
        <v>912</v>
      </c>
      <c r="N24" s="15" t="s">
        <v>913</v>
      </c>
      <c r="O24" s="15" t="s">
        <v>914</v>
      </c>
      <c r="P24" s="15" t="s">
        <v>915</v>
      </c>
      <c r="Q24" s="15" t="s">
        <v>916</v>
      </c>
      <c r="R24" s="15" t="s">
        <v>917</v>
      </c>
      <c r="S24" s="15" t="s">
        <v>918</v>
      </c>
    </row>
    <row r="25" spans="1:20" x14ac:dyDescent="0.25">
      <c r="A25" s="4" t="s">
        <v>182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0.12691615964312911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1.7722932721141553</v>
      </c>
      <c r="T25" s="17"/>
    </row>
    <row r="26" spans="1:20" x14ac:dyDescent="0.25">
      <c r="A26" s="4" t="s">
        <v>183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0.12691615964312911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1.7722932721141553</v>
      </c>
      <c r="T26" s="17"/>
    </row>
    <row r="27" spans="1:20" x14ac:dyDescent="0.25">
      <c r="A27" s="4" t="s">
        <v>228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0.12691615964312911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1.7722932721141553</v>
      </c>
      <c r="T27" s="17"/>
    </row>
    <row r="28" spans="1:20" x14ac:dyDescent="0.25">
      <c r="A28" s="4" t="s">
        <v>184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0.12691615964312911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1.7722932721141553</v>
      </c>
      <c r="T28" s="17"/>
    </row>
    <row r="29" spans="1:20" x14ac:dyDescent="0.25">
      <c r="A29" s="4" t="s">
        <v>185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0.12691615964312911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1.7722932721141553</v>
      </c>
      <c r="T29" s="17"/>
    </row>
    <row r="30" spans="1:20" x14ac:dyDescent="0.25">
      <c r="A30" s="4" t="s">
        <v>229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0.12691615964312911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1.7722932721141553</v>
      </c>
      <c r="T30" s="17"/>
    </row>
    <row r="31" spans="1:20" x14ac:dyDescent="0.25">
      <c r="A31" s="4" t="s">
        <v>186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0.12691615964312911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1.7722932721141553</v>
      </c>
      <c r="T31" s="17"/>
    </row>
    <row r="32" spans="1:20" x14ac:dyDescent="0.25">
      <c r="A32" s="4" t="s">
        <v>187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5.8263821554971715E-2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0.81361253948977552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207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6.527460909006913E-2</v>
      </c>
      <c r="F33" s="37">
        <f>100*AMD!F49*LAFs!F$269*F$11*Input!$E$60/Input!$F$60*(1-Contrib!F$114)</f>
        <v>0</v>
      </c>
      <c r="G33" s="37">
        <f>100*AMD!G49*LAFs!G$269*G$11*Input!$E$60/Input!$F$60*(1-Contrib!G$114)</f>
        <v>0</v>
      </c>
      <c r="H33" s="37">
        <f>100*AMD!H49*LAFs!H$269*H$11*Input!$E$60/Input!$F$60*(1-Contrib!H$114)</f>
        <v>0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0.138108055499124</v>
      </c>
      <c r="O33" s="37">
        <f>100*AMD!F49*LAFs!F$269*O$11*Input!$E$60/Input!$F$60*(1-Contrib!O$114)</f>
        <v>0.68535284122459494</v>
      </c>
      <c r="P33" s="37">
        <f>100*AMD!G49*LAFs!G$269*P$11*Input!$E$60/Input!$F$60*(1-Contrib!P$114)</f>
        <v>0</v>
      </c>
      <c r="Q33" s="37">
        <f>100*AMD!H49*LAFs!H$269*Q$11*Input!$E$60/Input!$F$60*(1-Contrib!Q$114)</f>
        <v>1.9330014389448833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188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0.12691615964312911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1.7722932721141553</v>
      </c>
      <c r="T34" s="17"/>
    </row>
    <row r="35" spans="1:20" x14ac:dyDescent="0.25">
      <c r="A35" s="4" t="s">
        <v>189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0.12691615964312911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1.7722932721141553</v>
      </c>
      <c r="T35" s="17"/>
    </row>
    <row r="36" spans="1:20" x14ac:dyDescent="0.25">
      <c r="A36" s="4" t="s">
        <v>190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0.10763518616472738</v>
      </c>
      <c r="I36" s="37">
        <f>100*AMD!I52*LAFs!I$272*I$11*Input!$E$60/Input!$F$60*(1-Contrib!I$117)</f>
        <v>5.8985870821143913E-2</v>
      </c>
      <c r="J36" s="37">
        <f>100*AMD!J52*LAFs!J$272*J$11*Input!$E$60/Input!$F$60*(1-Contrib!J$117)</f>
        <v>0.12691615964312911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0.39553902276675651</v>
      </c>
      <c r="R36" s="37">
        <f>100*AMD!I52*LAFs!I$272*R$11*Input!$E$60/Input!$F$60*(1-Contrib!R$117)</f>
        <v>0.82369544036047837</v>
      </c>
      <c r="S36" s="37">
        <f>100*AMD!J52*LAFs!J$272*S$11*Input!$E$60/Input!$F$60*(1-Contrib!S$117)</f>
        <v>1.7722932721141553</v>
      </c>
      <c r="T36" s="17"/>
    </row>
    <row r="37" spans="1:20" x14ac:dyDescent="0.25">
      <c r="A37" s="4" t="s">
        <v>191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0.53158808986251893</v>
      </c>
      <c r="I37" s="37">
        <f>100*AMD!I53*LAFs!I$273*I$11*Input!$E$60/Input!$F$60*(1-Contrib!I$118)</f>
        <v>5.8263821554971715E-2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1.9534860399356286</v>
      </c>
      <c r="R37" s="37">
        <f>100*AMD!I53*LAFs!I$273*R$11*Input!$E$60/Input!$F$60*(1-Contrib!R$118)</f>
        <v>0.81361253948977552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208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6.527460909006913E-2</v>
      </c>
      <c r="F38" s="37">
        <f>100*AMD!F54*LAFs!F$274*F$11*Input!$E$60/Input!$F$60*(1-Contrib!F$119)</f>
        <v>0</v>
      </c>
      <c r="G38" s="37">
        <f>100*AMD!G54*LAFs!G$274*G$11*Input!$E$60/Input!$F$60*(1-Contrib!G$119)</f>
        <v>0</v>
      </c>
      <c r="H38" s="37">
        <f>100*AMD!H54*LAFs!H$274*H$11*Input!$E$60/Input!$F$60*(1-Contrib!H$119)</f>
        <v>0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0.138108055499124</v>
      </c>
      <c r="O38" s="37">
        <f>100*AMD!F54*LAFs!F$274*O$11*Input!$E$60/Input!$F$60*(1-Contrib!O$119)</f>
        <v>0.68535284122459494</v>
      </c>
      <c r="P38" s="37">
        <f>100*AMD!G54*LAFs!G$274*P$11*Input!$E$60/Input!$F$60*(1-Contrib!P$119)</f>
        <v>0</v>
      </c>
      <c r="Q38" s="37">
        <f>100*AMD!H54*LAFs!H$274*Q$11*Input!$E$60/Input!$F$60*(1-Contrib!Q$119)</f>
        <v>1.9330014389448833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230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231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232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233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234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1030</v>
      </c>
    </row>
    <row r="46" spans="1:20" x14ac:dyDescent="0.25">
      <c r="A46" s="2" t="s">
        <v>381</v>
      </c>
    </row>
    <row r="47" spans="1:20" x14ac:dyDescent="0.25">
      <c r="A47" s="32" t="s">
        <v>1024</v>
      </c>
    </row>
    <row r="48" spans="1:20" x14ac:dyDescent="0.25">
      <c r="A48" s="32" t="s">
        <v>1031</v>
      </c>
    </row>
    <row r="49" spans="1:20" x14ac:dyDescent="0.25">
      <c r="A49" s="2" t="s">
        <v>1032</v>
      </c>
    </row>
    <row r="51" spans="1:20" ht="30" x14ac:dyDescent="0.25">
      <c r="B51" s="15" t="s">
        <v>150</v>
      </c>
      <c r="C51" s="15" t="s">
        <v>335</v>
      </c>
      <c r="D51" s="15" t="s">
        <v>336</v>
      </c>
      <c r="E51" s="15" t="s">
        <v>337</v>
      </c>
      <c r="F51" s="15" t="s">
        <v>338</v>
      </c>
      <c r="G51" s="15" t="s">
        <v>339</v>
      </c>
      <c r="H51" s="15" t="s">
        <v>340</v>
      </c>
      <c r="I51" s="15" t="s">
        <v>341</v>
      </c>
      <c r="J51" s="15" t="s">
        <v>342</v>
      </c>
      <c r="K51" s="15" t="s">
        <v>323</v>
      </c>
      <c r="L51" s="15" t="s">
        <v>911</v>
      </c>
      <c r="M51" s="15" t="s">
        <v>912</v>
      </c>
      <c r="N51" s="15" t="s">
        <v>913</v>
      </c>
      <c r="O51" s="15" t="s">
        <v>914</v>
      </c>
      <c r="P51" s="15" t="s">
        <v>915</v>
      </c>
      <c r="Q51" s="15" t="s">
        <v>916</v>
      </c>
      <c r="R51" s="15" t="s">
        <v>917</v>
      </c>
      <c r="S51" s="15" t="s">
        <v>918</v>
      </c>
    </row>
    <row r="52" spans="1:20" x14ac:dyDescent="0.25">
      <c r="A52" s="4" t="s">
        <v>182</v>
      </c>
      <c r="B52" s="37">
        <f>(1-AMD!B41)*Yard!B$23</f>
        <v>0</v>
      </c>
      <c r="C52" s="37">
        <f>(1-AMD!C41)*Yard!C$23</f>
        <v>0.32177722212204579</v>
      </c>
      <c r="D52" s="37">
        <f>(1-AMD!D41)*Yard!D$23</f>
        <v>4.9626515202874394E-2</v>
      </c>
      <c r="E52" s="37">
        <f>(1-AMD!E41)*Yard!E$23</f>
        <v>0.11075369261271542</v>
      </c>
      <c r="F52" s="37">
        <f>(1-AMD!F41)*Yard!F$23</f>
        <v>2.0885122088562112E-2</v>
      </c>
      <c r="G52" s="37">
        <f>(1-AMD!G41)*Yard!G$23</f>
        <v>0</v>
      </c>
      <c r="H52" s="37">
        <f>(1-AMD!H41)*Yard!H$23</f>
        <v>8.0700373605083517E-2</v>
      </c>
      <c r="I52" s="37">
        <f>(1-AMD!I41)*Yard!I$23</f>
        <v>8.8450291810754471E-3</v>
      </c>
      <c r="J52" s="37">
        <f>(1-AMD!J41)*Yard!J$23</f>
        <v>0</v>
      </c>
      <c r="K52" s="37">
        <f>(1-AMD!B41)*Yard!K$23</f>
        <v>0.10000674002293909</v>
      </c>
      <c r="L52" s="37">
        <f>(1-AMD!C41)*Yard!L$23</f>
        <v>0.2246694225109096</v>
      </c>
      <c r="M52" s="37">
        <f>(1-AMD!D41)*Yard!M$23</f>
        <v>3.4649937115902453E-2</v>
      </c>
      <c r="N52" s="37">
        <f>(1-AMD!E41)*Yard!N$23</f>
        <v>7.7329799779338598E-2</v>
      </c>
      <c r="O52" s="37">
        <f>(1-AMD!F41)*Yard!O$23</f>
        <v>7.6748887381786257E-2</v>
      </c>
      <c r="P52" s="37">
        <f>(1-AMD!G41)*Yard!P$23</f>
        <v>0</v>
      </c>
      <c r="Q52" s="37">
        <f>(1-AMD!H41)*Yard!Q$23</f>
        <v>0.29655866311055151</v>
      </c>
      <c r="R52" s="37">
        <f>(1-AMD!I41)*Yard!R$23</f>
        <v>0.12351449770740082</v>
      </c>
      <c r="S52" s="37">
        <f>(1-AMD!J41)*Yard!S$23</f>
        <v>0</v>
      </c>
      <c r="T52" s="17"/>
    </row>
    <row r="53" spans="1:20" x14ac:dyDescent="0.25">
      <c r="A53" s="4" t="s">
        <v>183</v>
      </c>
      <c r="B53" s="37">
        <f>(1-AMD!B42)*Yard!B$24</f>
        <v>0</v>
      </c>
      <c r="C53" s="37">
        <f>(1-AMD!C42)*Yard!C$24</f>
        <v>0.19738266642475677</v>
      </c>
      <c r="D53" s="37">
        <f>(1-AMD!D42)*Yard!D$24</f>
        <v>3.0441601277783448E-2</v>
      </c>
      <c r="E53" s="37">
        <f>(1-AMD!E42)*Yard!E$24</f>
        <v>6.7937870244880558E-2</v>
      </c>
      <c r="F53" s="37">
        <f>(1-AMD!F42)*Yard!F$24</f>
        <v>1.2811227156667474E-2</v>
      </c>
      <c r="G53" s="37">
        <f>(1-AMD!G42)*Yard!G$24</f>
        <v>0</v>
      </c>
      <c r="H53" s="37">
        <f>(1-AMD!H42)*Yard!H$24</f>
        <v>4.9502742358823175E-2</v>
      </c>
      <c r="I53" s="37">
        <f>(1-AMD!I42)*Yard!I$24</f>
        <v>5.4256651010035593E-3</v>
      </c>
      <c r="J53" s="37">
        <f>(1-AMD!J42)*Yard!J$24</f>
        <v>0</v>
      </c>
      <c r="K53" s="37">
        <f>(1-AMD!B42)*Yard!K$24</f>
        <v>6.1345538618293484E-2</v>
      </c>
      <c r="L53" s="37">
        <f>(1-AMD!C42)*Yard!L$24</f>
        <v>0.13781537856179832</v>
      </c>
      <c r="M53" s="37">
        <f>(1-AMD!D42)*Yard!M$24</f>
        <v>2.1254757979086908E-2</v>
      </c>
      <c r="N53" s="37">
        <f>(1-AMD!E42)*Yard!N$24</f>
        <v>4.7435185044729981E-2</v>
      </c>
      <c r="O53" s="37">
        <f>(1-AMD!F42)*Yard!O$24</f>
        <v>4.7078845222936767E-2</v>
      </c>
      <c r="P53" s="37">
        <f>(1-AMD!G42)*Yard!P$24</f>
        <v>0</v>
      </c>
      <c r="Q53" s="37">
        <f>(1-AMD!H42)*Yard!Q$24</f>
        <v>0.18191324820971966</v>
      </c>
      <c r="R53" s="37">
        <f>(1-AMD!I42)*Yard!R$24</f>
        <v>7.5765527276366443E-2</v>
      </c>
      <c r="S53" s="37">
        <f>(1-AMD!J42)*Yard!S$24</f>
        <v>0</v>
      </c>
      <c r="T53" s="17"/>
    </row>
    <row r="54" spans="1:20" x14ac:dyDescent="0.25">
      <c r="A54" s="4" t="s">
        <v>228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184</v>
      </c>
      <c r="B55" s="37">
        <f>(1-AMD!B44)*Yard!B$26</f>
        <v>0</v>
      </c>
      <c r="C55" s="37">
        <f>(1-AMD!C44)*Yard!C$26</f>
        <v>0.24660639026974326</v>
      </c>
      <c r="D55" s="37">
        <f>(1-AMD!D44)*Yard!D$26</f>
        <v>3.8033194814534134E-2</v>
      </c>
      <c r="E55" s="37">
        <f>(1-AMD!E44)*Yard!E$26</f>
        <v>8.4880365875951269E-2</v>
      </c>
      <c r="F55" s="37">
        <f>(1-AMD!F44)*Yard!F$26</f>
        <v>1.600611918593077E-2</v>
      </c>
      <c r="G55" s="37">
        <f>(1-AMD!G44)*Yard!G$26</f>
        <v>0</v>
      </c>
      <c r="H55" s="37">
        <f>(1-AMD!H44)*Yard!H$26</f>
        <v>6.1847845217027346E-2</v>
      </c>
      <c r="I55" s="37">
        <f>(1-AMD!I44)*Yard!I$26</f>
        <v>6.7787294072302095E-3</v>
      </c>
      <c r="J55" s="37">
        <f>(1-AMD!J44)*Yard!J$26</f>
        <v>0</v>
      </c>
      <c r="K55" s="37">
        <f>(1-AMD!B44)*Yard!K$26</f>
        <v>7.6644024076842815E-2</v>
      </c>
      <c r="L55" s="37">
        <f>(1-AMD!C44)*Yard!L$26</f>
        <v>0.17218408103600591</v>
      </c>
      <c r="M55" s="37">
        <f>(1-AMD!D44)*Yard!M$26</f>
        <v>2.6555316311312235E-2</v>
      </c>
      <c r="N55" s="37">
        <f>(1-AMD!E44)*Yard!N$26</f>
        <v>5.9264675908699591E-2</v>
      </c>
      <c r="O55" s="37">
        <f>(1-AMD!F44)*Yard!O$26</f>
        <v>5.8819471277748447E-2</v>
      </c>
      <c r="P55" s="37">
        <f>(1-AMD!G44)*Yard!P$26</f>
        <v>0</v>
      </c>
      <c r="Q55" s="37">
        <f>(1-AMD!H44)*Yard!Q$26</f>
        <v>0.22727917448791798</v>
      </c>
      <c r="R55" s="37">
        <f>(1-AMD!I44)*Yard!R$26</f>
        <v>9.4660101248713407E-2</v>
      </c>
      <c r="S55" s="37">
        <f>(1-AMD!J44)*Yard!S$26</f>
        <v>0</v>
      </c>
      <c r="T55" s="17"/>
    </row>
    <row r="56" spans="1:20" x14ac:dyDescent="0.25">
      <c r="A56" s="4" t="s">
        <v>185</v>
      </c>
      <c r="B56" s="37">
        <f>(1-AMD!B45)*Yard!B$27</f>
        <v>0</v>
      </c>
      <c r="C56" s="37">
        <f>(1-AMD!C45)*Yard!C$27</f>
        <v>0.20899061126201335</v>
      </c>
      <c r="D56" s="37">
        <f>(1-AMD!D45)*Yard!D$27</f>
        <v>3.2231851834181591E-2</v>
      </c>
      <c r="E56" s="37">
        <f>(1-AMD!E45)*Yard!E$27</f>
        <v>7.193325172618148E-2</v>
      </c>
      <c r="F56" s="37">
        <f>(1-AMD!F45)*Yard!F$27</f>
        <v>1.356464700262365E-2</v>
      </c>
      <c r="G56" s="37">
        <f>(1-AMD!G45)*Yard!G$27</f>
        <v>0</v>
      </c>
      <c r="H56" s="37">
        <f>(1-AMD!H45)*Yard!H$27</f>
        <v>5.241396608987553E-2</v>
      </c>
      <c r="I56" s="37">
        <f>(1-AMD!I45)*Yard!I$27</f>
        <v>5.7447448983265221E-3</v>
      </c>
      <c r="J56" s="37">
        <f>(1-AMD!J45)*Yard!J$27</f>
        <v>0</v>
      </c>
      <c r="K56" s="37">
        <f>(1-AMD!B45)*Yard!K$27</f>
        <v>6.4953229410961946E-2</v>
      </c>
      <c r="L56" s="37">
        <f>(1-AMD!C45)*Yard!L$27</f>
        <v>0.14592021036414313</v>
      </c>
      <c r="M56" s="37">
        <f>(1-AMD!D45)*Yard!M$27</f>
        <v>2.2504736321255735E-2</v>
      </c>
      <c r="N56" s="37">
        <f>(1-AMD!E45)*Yard!N$27</f>
        <v>5.0224817089518391E-2</v>
      </c>
      <c r="O56" s="37">
        <f>(1-AMD!F45)*Yard!O$27</f>
        <v>4.9847521157091887E-2</v>
      </c>
      <c r="P56" s="37">
        <f>(1-AMD!G45)*Yard!P$27</f>
        <v>0</v>
      </c>
      <c r="Q56" s="37">
        <f>(1-AMD!H45)*Yard!Q$27</f>
        <v>0.19261144673258518</v>
      </c>
      <c r="R56" s="37">
        <f>(1-AMD!I45)*Yard!R$27</f>
        <v>8.022124812115998E-2</v>
      </c>
      <c r="S56" s="37">
        <f>(1-AMD!J45)*Yard!S$27</f>
        <v>0</v>
      </c>
      <c r="T56" s="17"/>
    </row>
    <row r="57" spans="1:20" x14ac:dyDescent="0.25">
      <c r="A57" s="4" t="s">
        <v>229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186</v>
      </c>
      <c r="B58" s="37">
        <f>(1-AMD!B47)*Yard!B$29</f>
        <v>0</v>
      </c>
      <c r="C58" s="37">
        <f>(1-AMD!C47)*Yard!C$29</f>
        <v>0.2112413984551397</v>
      </c>
      <c r="D58" s="37">
        <f>(1-AMD!D47)*Yard!D$29</f>
        <v>3.2578982448715127E-2</v>
      </c>
      <c r="E58" s="37">
        <f>(1-AMD!E47)*Yard!E$29</f>
        <v>7.2707958497780112E-2</v>
      </c>
      <c r="F58" s="37">
        <f>(1-AMD!F47)*Yard!F$29</f>
        <v>1.3710735544919495E-2</v>
      </c>
      <c r="G58" s="37">
        <f>(1-AMD!G47)*Yard!G$29</f>
        <v>0</v>
      </c>
      <c r="H58" s="37">
        <f>(1-AMD!H47)*Yard!H$29</f>
        <v>5.2978454048945356E-2</v>
      </c>
      <c r="I58" s="37">
        <f>(1-AMD!I47)*Yard!I$29</f>
        <v>5.8066146549000403E-3</v>
      </c>
      <c r="J58" s="37">
        <f>(1-AMD!J47)*Yard!J$29</f>
        <v>0</v>
      </c>
      <c r="K58" s="37">
        <f>(1-AMD!B47)*Yard!K$29</f>
        <v>6.5652762734624531E-2</v>
      </c>
      <c r="L58" s="37">
        <f>(1-AMD!C47)*Yard!L$29</f>
        <v>0.14749174192109979</v>
      </c>
      <c r="M58" s="37">
        <f>(1-AMD!D47)*Yard!M$29</f>
        <v>2.27471078421135E-2</v>
      </c>
      <c r="N58" s="37">
        <f>(1-AMD!E47)*Yard!N$29</f>
        <v>5.0765728350553332E-2</v>
      </c>
      <c r="O58" s="37">
        <f>(1-AMD!F47)*Yard!O$29</f>
        <v>5.0384369016198902E-2</v>
      </c>
      <c r="P58" s="37">
        <f>(1-AMD!G47)*Yard!P$29</f>
        <v>0</v>
      </c>
      <c r="Q58" s="37">
        <f>(1-AMD!H47)*Yard!Q$29</f>
        <v>0.19468583359110164</v>
      </c>
      <c r="R58" s="37">
        <f>(1-AMD!I47)*Yard!R$29</f>
        <v>8.1085214960614535E-2</v>
      </c>
      <c r="S58" s="37">
        <f>(1-AMD!J47)*Yard!S$29</f>
        <v>0</v>
      </c>
      <c r="T58" s="17"/>
    </row>
    <row r="59" spans="1:20" x14ac:dyDescent="0.25">
      <c r="A59" s="4" t="s">
        <v>187</v>
      </c>
      <c r="B59" s="37">
        <f>(1-AMD!B48)*Yard!B$30</f>
        <v>0</v>
      </c>
      <c r="C59" s="37">
        <f>(1-AMD!C48)*Yard!C$30</f>
        <v>0.20151447373574718</v>
      </c>
      <c r="D59" s="37">
        <f>(1-AMD!D48)*Yard!D$30</f>
        <v>3.1078834693442803E-2</v>
      </c>
      <c r="E59" s="37">
        <f>(1-AMD!E48)*Yard!E$30</f>
        <v>6.9360012290357084E-2</v>
      </c>
      <c r="F59" s="37">
        <f>(1-AMD!F48)*Yard!F$30</f>
        <v>1.3079404312177001E-2</v>
      </c>
      <c r="G59" s="37">
        <f>(1-AMD!G48)*Yard!G$30</f>
        <v>0</v>
      </c>
      <c r="H59" s="37">
        <f>(1-AMD!H48)*Yard!H$30</f>
        <v>5.0538982250081452E-2</v>
      </c>
      <c r="I59" s="37">
        <f>(1-AMD!I48)*Yard!I$30</f>
        <v>0</v>
      </c>
      <c r="J59" s="37">
        <f>(1-AMD!J48)*Yard!J$30</f>
        <v>0</v>
      </c>
      <c r="K59" s="37">
        <f>(1-AMD!B48)*Yard!K$30</f>
        <v>6.2629683520937882E-2</v>
      </c>
      <c r="L59" s="37">
        <f>(1-AMD!C48)*Yard!L$30</f>
        <v>0.14070026505676123</v>
      </c>
      <c r="M59" s="37">
        <f>(1-AMD!D48)*Yard!M$30</f>
        <v>2.1699683392255344E-2</v>
      </c>
      <c r="N59" s="37">
        <f>(1-AMD!E48)*Yard!N$30</f>
        <v>4.8428144801106111E-2</v>
      </c>
      <c r="O59" s="37">
        <f>(1-AMD!F48)*Yard!O$30</f>
        <v>4.8064345725126342E-2</v>
      </c>
      <c r="P59" s="37">
        <f>(1-AMD!G48)*Yard!P$30</f>
        <v>0</v>
      </c>
      <c r="Q59" s="37">
        <f>(1-AMD!H48)*Yard!Q$30</f>
        <v>0.18572123450625425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207</v>
      </c>
      <c r="B60" s="37">
        <f>(1-AMD!B49)*Yard!B$31</f>
        <v>0</v>
      </c>
      <c r="C60" s="37">
        <f>(1-AMD!C49)*Yard!C$31</f>
        <v>0.20812044926576986</v>
      </c>
      <c r="D60" s="37">
        <f>(1-AMD!D49)*Yard!D$31</f>
        <v>1.0592224485510034E-2</v>
      </c>
      <c r="E60" s="37">
        <f>(1-AMD!E49)*Yard!E$31</f>
        <v>1.8911309326593351E-2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6.4682787445050627E-2</v>
      </c>
      <c r="L60" s="37">
        <f>(1-AMD!C49)*Yard!L$31</f>
        <v>0.14531265091074955</v>
      </c>
      <c r="M60" s="37">
        <f>(1-AMD!D49)*Yard!M$31</f>
        <v>2.2411034665645528E-2</v>
      </c>
      <c r="N60" s="37">
        <f>(1-AMD!E49)*Yard!N$31</f>
        <v>4.0012559162696172E-2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188</v>
      </c>
      <c r="B61" s="37">
        <f>(1-AMD!B50)*Yard!B$32</f>
        <v>0</v>
      </c>
      <c r="C61" s="37">
        <f>(1-AMD!C50)*Yard!C$32</f>
        <v>0.31093459188686667</v>
      </c>
      <c r="D61" s="37">
        <f>(1-AMD!D50)*Yard!D$32</f>
        <v>4.7954296297332416E-2</v>
      </c>
      <c r="E61" s="37">
        <f>(1-AMD!E50)*Yard!E$32</f>
        <v>0.10702172759586008</v>
      </c>
      <c r="F61" s="37">
        <f>(1-AMD!F50)*Yard!F$32</f>
        <v>2.0181375394717628E-2</v>
      </c>
      <c r="G61" s="37">
        <f>(1-AMD!G50)*Yard!G$32</f>
        <v>0</v>
      </c>
      <c r="H61" s="37">
        <f>(1-AMD!H50)*Yard!H$32</f>
        <v>7.7981087556586115E-2</v>
      </c>
      <c r="I61" s="37">
        <f>(1-AMD!I50)*Yard!I$32</f>
        <v>8.5469863917278649E-3</v>
      </c>
      <c r="J61" s="37">
        <f>(1-AMD!J50)*Yard!J$32</f>
        <v>0</v>
      </c>
      <c r="K61" s="37">
        <f>(1-AMD!B50)*Yard!K$32</f>
        <v>9.6636905154133063E-2</v>
      </c>
      <c r="L61" s="37">
        <f>(1-AMD!C50)*Yard!L$32</f>
        <v>0.2170989442235649</v>
      </c>
      <c r="M61" s="37">
        <f>(1-AMD!D50)*Yard!M$32</f>
        <v>3.3482370147232925E-2</v>
      </c>
      <c r="N61" s="37">
        <f>(1-AMD!E50)*Yard!N$32</f>
        <v>7.4724088847911055E-2</v>
      </c>
      <c r="O61" s="37">
        <f>(1-AMD!F50)*Yard!O$32</f>
        <v>7.4162750919564924E-2</v>
      </c>
      <c r="P61" s="37">
        <f>(1-AMD!G50)*Yard!P$32</f>
        <v>0</v>
      </c>
      <c r="Q61" s="37">
        <f>(1-AMD!H50)*Yard!Q$32</f>
        <v>0.28656579939589377</v>
      </c>
      <c r="R61" s="37">
        <f>(1-AMD!I50)*Yard!R$32</f>
        <v>0.11935254361228689</v>
      </c>
      <c r="S61" s="37">
        <f>(1-AMD!J50)*Yard!S$32</f>
        <v>0</v>
      </c>
      <c r="T61" s="17"/>
    </row>
    <row r="62" spans="1:20" x14ac:dyDescent="0.25">
      <c r="A62" s="4" t="s">
        <v>189</v>
      </c>
      <c r="B62" s="37">
        <f>(1-AMD!B51)*Yard!B$33</f>
        <v>0</v>
      </c>
      <c r="C62" s="37">
        <f>(1-AMD!C51)*Yard!C$33</f>
        <v>0.24190253886783353</v>
      </c>
      <c r="D62" s="37">
        <f>(1-AMD!D51)*Yard!D$33</f>
        <v>3.7307737146743097E-2</v>
      </c>
      <c r="E62" s="37">
        <f>(1-AMD!E51)*Yard!E$33</f>
        <v>8.3261329858338395E-2</v>
      </c>
      <c r="F62" s="37">
        <f>(1-AMD!F51)*Yard!F$33</f>
        <v>1.5700813203837115E-2</v>
      </c>
      <c r="G62" s="37">
        <f>(1-AMD!G51)*Yard!G$33</f>
        <v>0</v>
      </c>
      <c r="H62" s="37">
        <f>(1-AMD!H51)*Yard!H$33</f>
        <v>6.066813907433171E-2</v>
      </c>
      <c r="I62" s="37">
        <f>(1-AMD!I51)*Yard!I$33</f>
        <v>6.649429692853431E-3</v>
      </c>
      <c r="J62" s="37">
        <f>(1-AMD!J51)*Yard!J$33</f>
        <v>0</v>
      </c>
      <c r="K62" s="37">
        <f>(1-AMD!B51)*Yard!K$33</f>
        <v>7.5182090751808067E-2</v>
      </c>
      <c r="L62" s="37">
        <f>(1-AMD!C51)*Yard!L$33</f>
        <v>0.16889978523944588</v>
      </c>
      <c r="M62" s="37">
        <f>(1-AMD!D51)*Yard!M$33</f>
        <v>2.6048791473401542E-2</v>
      </c>
      <c r="N62" s="37">
        <f>(1-AMD!E51)*Yard!N$33</f>
        <v>5.8134241987048418E-2</v>
      </c>
      <c r="O62" s="37">
        <f>(1-AMD!F51)*Yard!O$33</f>
        <v>5.7697529335664993E-2</v>
      </c>
      <c r="P62" s="37">
        <f>(1-AMD!G51)*Yard!P$33</f>
        <v>0</v>
      </c>
      <c r="Q62" s="37">
        <f>(1-AMD!H51)*Yard!Q$33</f>
        <v>0.22294397675694877</v>
      </c>
      <c r="R62" s="37">
        <f>(1-AMD!I51)*Yard!R$33</f>
        <v>9.2854523341844727E-2</v>
      </c>
      <c r="S62" s="37">
        <f>(1-AMD!J51)*Yard!S$33</f>
        <v>0</v>
      </c>
      <c r="T62" s="17"/>
    </row>
    <row r="63" spans="1:20" x14ac:dyDescent="0.25">
      <c r="A63" s="4" t="s">
        <v>190</v>
      </c>
      <c r="B63" s="37">
        <f>(1-AMD!B52)*Yard!B$34</f>
        <v>0</v>
      </c>
      <c r="C63" s="37">
        <f>(1-AMD!C52)*Yard!C$34</f>
        <v>0.19966950747384429</v>
      </c>
      <c r="D63" s="37">
        <f>(1-AMD!D52)*Yard!D$34</f>
        <v>3.0794292345661625E-2</v>
      </c>
      <c r="E63" s="37">
        <f>(1-AMD!E52)*Yard!E$34</f>
        <v>6.8724986526556689E-2</v>
      </c>
      <c r="F63" s="37">
        <f>(1-AMD!F52)*Yard!F$34</f>
        <v>1.2959655793698887E-2</v>
      </c>
      <c r="G63" s="37">
        <f>(1-AMD!G52)*Yard!G$34</f>
        <v>0</v>
      </c>
      <c r="H63" s="37">
        <f>(1-AMD!H52)*Yard!H$34</f>
        <v>4.0061017978632818E-2</v>
      </c>
      <c r="I63" s="37">
        <f>(1-AMD!I52)*Yard!I$34</f>
        <v>0</v>
      </c>
      <c r="J63" s="37">
        <f>(1-AMD!J52)*Yard!J$34</f>
        <v>0</v>
      </c>
      <c r="K63" s="37">
        <f>(1-AMD!B52)*Yard!K$34</f>
        <v>6.2056277298805633E-2</v>
      </c>
      <c r="L63" s="37">
        <f>(1-AMD!C52)*Yard!L$34</f>
        <v>0.13941208343259201</v>
      </c>
      <c r="M63" s="37">
        <f>(1-AMD!D52)*Yard!M$34</f>
        <v>2.1501011887372849E-2</v>
      </c>
      <c r="N63" s="37">
        <f>(1-AMD!E52)*Yard!N$34</f>
        <v>4.7984760801792224E-2</v>
      </c>
      <c r="O63" s="37">
        <f>(1-AMD!F52)*Yard!O$34</f>
        <v>4.7624292489150961E-2</v>
      </c>
      <c r="P63" s="37">
        <f>(1-AMD!G52)*Yard!P$34</f>
        <v>0</v>
      </c>
      <c r="Q63" s="37">
        <f>(1-AMD!H52)*Yard!Q$34</f>
        <v>0.14721669062809317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191</v>
      </c>
      <c r="B64" s="37">
        <f>(1-AMD!B53)*Yard!B$35</f>
        <v>0</v>
      </c>
      <c r="C64" s="37">
        <f>(1-AMD!C53)*Yard!C$35</f>
        <v>0.18066600270191507</v>
      </c>
      <c r="D64" s="37">
        <f>(1-AMD!D53)*Yard!D$35</f>
        <v>2.7863451833543756E-2</v>
      </c>
      <c r="E64" s="37">
        <f>(1-AMD!E53)*Yard!E$35</f>
        <v>6.2184099908807737E-2</v>
      </c>
      <c r="F64" s="37">
        <f>(1-AMD!F53)*Yard!F$35</f>
        <v>1.1726223188821154E-2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5.6150083725755931E-2</v>
      </c>
      <c r="L64" s="37">
        <f>(1-AMD!C53)*Yard!L$35</f>
        <v>0.12614356674071353</v>
      </c>
      <c r="M64" s="37">
        <f>(1-AMD!D53)*Yard!M$35</f>
        <v>1.945465745312594E-2</v>
      </c>
      <c r="N64" s="37">
        <f>(1-AMD!E53)*Yard!N$35</f>
        <v>4.3417820949966365E-2</v>
      </c>
      <c r="O64" s="37">
        <f>(1-AMD!F53)*Yard!O$35</f>
        <v>4.3091660135681123E-2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208</v>
      </c>
      <c r="B65" s="37">
        <f>(1-AMD!B54)*Yard!B$36</f>
        <v>0</v>
      </c>
      <c r="C65" s="37">
        <f>(1-AMD!C54)*Yard!C$36</f>
        <v>0.15977720665516454</v>
      </c>
      <c r="D65" s="37">
        <f>(1-AMD!D54)*Yard!D$36</f>
        <v>8.1318104325156463E-3</v>
      </c>
      <c r="E65" s="37">
        <f>(1-AMD!E54)*Yard!E$36</f>
        <v>1.4518497288732389E-2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4.9657951119653557E-2</v>
      </c>
      <c r="L65" s="37">
        <f>(1-AMD!C54)*Yard!L$36</f>
        <v>0.11155871292843345</v>
      </c>
      <c r="M65" s="37">
        <f>(1-AMD!D54)*Yard!M$36</f>
        <v>1.7205289195567013E-2</v>
      </c>
      <c r="N65" s="37">
        <f>(1-AMD!E54)*Yard!N$36</f>
        <v>3.0718244923525609E-2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230</v>
      </c>
      <c r="B66" s="37">
        <f>(1-AMD!B55)*Yard!B$37</f>
        <v>0</v>
      </c>
      <c r="C66" s="37">
        <f>(1-AMD!C55)*Yard!C$37</f>
        <v>0.14605208759970337</v>
      </c>
      <c r="D66" s="37">
        <f>(1-AMD!D55)*Yard!D$37</f>
        <v>2.2525075261322046E-2</v>
      </c>
      <c r="E66" s="37">
        <f>(1-AMD!E55)*Yard!E$37</f>
        <v>5.0270208403153112E-2</v>
      </c>
      <c r="F66" s="37">
        <f>(1-AMD!F55)*Yard!F$37</f>
        <v>9.4795885821036454E-3</v>
      </c>
      <c r="G66" s="37">
        <f>(1-AMD!G55)*Yard!G$37</f>
        <v>0</v>
      </c>
      <c r="H66" s="37">
        <f>(1-AMD!H55)*Yard!H$37</f>
        <v>3.6629249135067751E-2</v>
      </c>
      <c r="I66" s="37">
        <f>(1-AMD!I55)*Yard!I$37</f>
        <v>4.0146874544351304E-3</v>
      </c>
      <c r="J66" s="37">
        <f>(1-AMD!J55)*Yard!J$37</f>
        <v>9.4107260767489626E-3</v>
      </c>
      <c r="K66" s="37">
        <f>(1-AMD!B55)*Yard!K$37</f>
        <v>4.5392253242994098E-2</v>
      </c>
      <c r="L66" s="37">
        <f>(1-AMD!C55)*Yard!L$37</f>
        <v>0.10197564004419317</v>
      </c>
      <c r="M66" s="37">
        <f>(1-AMD!D55)*Yard!M$37</f>
        <v>1.572732717872909E-2</v>
      </c>
      <c r="N66" s="37">
        <f>(1-AMD!E55)*Yard!N$37</f>
        <v>3.5099372842356605E-2</v>
      </c>
      <c r="O66" s="37">
        <f>(1-AMD!F55)*Yard!O$37</f>
        <v>3.4835701387256252E-2</v>
      </c>
      <c r="P66" s="37">
        <f>(1-AMD!G55)*Yard!P$37</f>
        <v>0</v>
      </c>
      <c r="Q66" s="37">
        <f>(1-AMD!H55)*Yard!Q$37</f>
        <v>0.13460558692574312</v>
      </c>
      <c r="R66" s="37">
        <f>(1-AMD!I55)*Yard!R$37</f>
        <v>5.6062234983657443E-2</v>
      </c>
      <c r="S66" s="37">
        <f>(1-AMD!J55)*Yard!S$37</f>
        <v>0.13141404970359391</v>
      </c>
      <c r="T66" s="17"/>
    </row>
    <row r="67" spans="1:20" x14ac:dyDescent="0.25">
      <c r="A67" s="4" t="s">
        <v>231</v>
      </c>
      <c r="B67" s="37">
        <f>(1-AMD!B56)*Yard!B$38</f>
        <v>0</v>
      </c>
      <c r="C67" s="37">
        <f>(1-AMD!C56)*Yard!C$38</f>
        <v>0.30208725464368719</v>
      </c>
      <c r="D67" s="37">
        <f>(1-AMD!D56)*Yard!D$38</f>
        <v>4.6589804077193007E-2</v>
      </c>
      <c r="E67" s="37">
        <f>(1-AMD!E56)*Yard!E$38</f>
        <v>0.10397652985622496</v>
      </c>
      <c r="F67" s="37">
        <f>(1-AMD!F56)*Yard!F$38</f>
        <v>1.9607134255882758E-2</v>
      </c>
      <c r="G67" s="37">
        <f>(1-AMD!G56)*Yard!G$38</f>
        <v>0</v>
      </c>
      <c r="H67" s="37">
        <f>(1-AMD!H56)*Yard!H$38</f>
        <v>7.5762212596369213E-2</v>
      </c>
      <c r="I67" s="37">
        <f>(1-AMD!I56)*Yard!I$38</f>
        <v>8.3037903209349576E-3</v>
      </c>
      <c r="J67" s="37">
        <f>(1-AMD!J56)*Yard!J$38</f>
        <v>1.9464702295255831E-2</v>
      </c>
      <c r="K67" s="37">
        <f>(1-AMD!B56)*Yard!K$38</f>
        <v>9.3887197298061387E-2</v>
      </c>
      <c r="L67" s="37">
        <f>(1-AMD!C56)*Yard!L$38</f>
        <v>0.21092160781648236</v>
      </c>
      <c r="M67" s="37">
        <f>(1-AMD!D56)*Yard!M$38</f>
        <v>3.2529662316959355E-2</v>
      </c>
      <c r="N67" s="37">
        <f>(1-AMD!E56)*Yard!N$38</f>
        <v>7.2597888574680219E-2</v>
      </c>
      <c r="O67" s="37">
        <f>(1-AMD!F56)*Yard!O$38</f>
        <v>7.2052522963628615E-2</v>
      </c>
      <c r="P67" s="37">
        <f>(1-AMD!G56)*Yard!P$38</f>
        <v>0</v>
      </c>
      <c r="Q67" s="37">
        <f>(1-AMD!H56)*Yard!Q$38</f>
        <v>0.27841185211639879</v>
      </c>
      <c r="R67" s="37">
        <f>(1-AMD!I56)*Yard!R$38</f>
        <v>0.11595648466059137</v>
      </c>
      <c r="S67" s="37">
        <f>(1-AMD!J56)*Yard!S$38</f>
        <v>0.27181062694134589</v>
      </c>
      <c r="T67" s="17"/>
    </row>
    <row r="68" spans="1:20" x14ac:dyDescent="0.25">
      <c r="A68" s="4" t="s">
        <v>232</v>
      </c>
      <c r="B68" s="37">
        <f>(1-AMD!B57)*Yard!B$39</f>
        <v>0</v>
      </c>
      <c r="C68" s="37">
        <f>(1-AMD!C57)*Yard!C$39</f>
        <v>0.50180159050187334</v>
      </c>
      <c r="D68" s="37">
        <f>(1-AMD!D57)*Yard!D$39</f>
        <v>7.7391010139376881E-2</v>
      </c>
      <c r="E68" s="37">
        <f>(1-AMD!E57)*Yard!E$39</f>
        <v>0.17271694603024698</v>
      </c>
      <c r="F68" s="37">
        <f>(1-AMD!F57)*Yard!F$39</f>
        <v>3.256969965975802E-2</v>
      </c>
      <c r="G68" s="37">
        <f>(1-AMD!G57)*Yard!G$39</f>
        <v>0</v>
      </c>
      <c r="H68" s="37">
        <f>(1-AMD!H57)*Yard!H$39</f>
        <v>0.12584972783986209</v>
      </c>
      <c r="I68" s="37">
        <f>(1-AMD!I57)*Yard!I$39</f>
        <v>1.3793548473781328E-2</v>
      </c>
      <c r="J68" s="37">
        <f>(1-AMD!J57)*Yard!J$39</f>
        <v>3.23331038309628E-2</v>
      </c>
      <c r="K68" s="37">
        <f>(1-AMD!B57)*Yard!K$39</f>
        <v>0.15595740703294486</v>
      </c>
      <c r="L68" s="37">
        <f>(1-AMD!C57)*Yard!L$39</f>
        <v>0.35036499106313757</v>
      </c>
      <c r="M68" s="37">
        <f>(1-AMD!D57)*Yard!M$39</f>
        <v>5.4035501459313809E-2</v>
      </c>
      <c r="N68" s="37">
        <f>(1-AMD!E57)*Yard!N$39</f>
        <v>0.12059342257527979</v>
      </c>
      <c r="O68" s="37">
        <f>(1-AMD!F57)*Yard!O$39</f>
        <v>0.11968750772179312</v>
      </c>
      <c r="P68" s="37">
        <f>(1-AMD!G57)*Yard!P$39</f>
        <v>0</v>
      </c>
      <c r="Q68" s="37">
        <f>(1-AMD!H57)*Yard!Q$39</f>
        <v>0.46247403046304186</v>
      </c>
      <c r="R68" s="37">
        <f>(1-AMD!I57)*Yard!R$39</f>
        <v>0.19261702550252491</v>
      </c>
      <c r="S68" s="37">
        <f>(1-AMD!J57)*Yard!S$39</f>
        <v>0.45150863804352492</v>
      </c>
      <c r="T68" s="17"/>
    </row>
    <row r="69" spans="1:20" x14ac:dyDescent="0.25">
      <c r="A69" s="4" t="s">
        <v>233</v>
      </c>
      <c r="B69" s="37">
        <f>(1-AMD!B58)*Yard!B$40</f>
        <v>0</v>
      </c>
      <c r="C69" s="37">
        <f>(1-AMD!C58)*Yard!C$40</f>
        <v>0</v>
      </c>
      <c r="D69" s="37">
        <f>(1-AMD!D58)*Yard!D$40</f>
        <v>0</v>
      </c>
      <c r="E69" s="37">
        <f>(1-AMD!E58)*Yard!E$40</f>
        <v>0</v>
      </c>
      <c r="F69" s="37">
        <f>(1-AMD!F58)*Yard!F$40</f>
        <v>0</v>
      </c>
      <c r="G69" s="37">
        <f>(1-AMD!G58)*Yard!G$40</f>
        <v>0</v>
      </c>
      <c r="H69" s="37">
        <f>(1-AMD!H58)*Yard!H$40</f>
        <v>0</v>
      </c>
      <c r="I69" s="37">
        <f>(1-AMD!I58)*Yard!I$40</f>
        <v>0</v>
      </c>
      <c r="J69" s="37">
        <f>(1-AMD!J58)*Yard!J$40</f>
        <v>0</v>
      </c>
      <c r="K69" s="37">
        <f>(1-AMD!B58)*Yard!K$40</f>
        <v>0</v>
      </c>
      <c r="L69" s="37">
        <f>(1-AMD!C58)*Yard!L$40</f>
        <v>0</v>
      </c>
      <c r="M69" s="37">
        <f>(1-AMD!D58)*Yard!M$40</f>
        <v>0</v>
      </c>
      <c r="N69" s="37">
        <f>(1-AMD!E58)*Yard!N$40</f>
        <v>0</v>
      </c>
      <c r="O69" s="37">
        <f>(1-AMD!F58)*Yard!O$40</f>
        <v>0</v>
      </c>
      <c r="P69" s="37">
        <f>(1-AMD!G58)*Yard!P$40</f>
        <v>0</v>
      </c>
      <c r="Q69" s="37">
        <f>(1-AMD!H58)*Yard!Q$40</f>
        <v>0</v>
      </c>
      <c r="R69" s="37">
        <f>(1-AMD!I58)*Yard!R$40</f>
        <v>0</v>
      </c>
      <c r="S69" s="37">
        <f>(1-AMD!J58)*Yard!S$40</f>
        <v>0</v>
      </c>
      <c r="T69" s="17"/>
    </row>
    <row r="70" spans="1:20" x14ac:dyDescent="0.25">
      <c r="A70" s="4" t="s">
        <v>234</v>
      </c>
      <c r="B70" s="37">
        <f>(1-AMD!B59)*Yard!B$41</f>
        <v>0</v>
      </c>
      <c r="C70" s="37">
        <f>(1-AMD!C59)*Yard!C$41</f>
        <v>0.30718199845456556</v>
      </c>
      <c r="D70" s="37">
        <f>(1-AMD!D59)*Yard!D$41</f>
        <v>4.7375547640761372E-2</v>
      </c>
      <c r="E70" s="37">
        <f>(1-AMD!E59)*Yard!E$41</f>
        <v>0.10573010857832771</v>
      </c>
      <c r="F70" s="37">
        <f>(1-AMD!F59)*Yard!F$41</f>
        <v>1.9937811318101236E-2</v>
      </c>
      <c r="G70" s="37">
        <f>(1-AMD!G59)*Yard!G$41</f>
        <v>0</v>
      </c>
      <c r="H70" s="37">
        <f>(1-AMD!H59)*Yard!H$41</f>
        <v>7.7039952910766388E-2</v>
      </c>
      <c r="I70" s="37">
        <f>(1-AMD!I59)*Yard!I$41</f>
        <v>8.4438349063787072E-3</v>
      </c>
      <c r="J70" s="37">
        <f>(1-AMD!J59)*Yard!J$41</f>
        <v>1.979297722253243E-2</v>
      </c>
      <c r="K70" s="37">
        <f>(1-AMD!B59)*Yard!K$41</f>
        <v>9.5470618015096265E-2</v>
      </c>
      <c r="L70" s="37">
        <f>(1-AMD!C59)*Yard!L$41</f>
        <v>0.21447883023975553</v>
      </c>
      <c r="M70" s="37">
        <f>(1-AMD!D59)*Yard!M$41</f>
        <v>3.307827962275986E-2</v>
      </c>
      <c r="N70" s="37">
        <f>(1-AMD!E59)*Yard!N$41</f>
        <v>7.3822262121769941E-2</v>
      </c>
      <c r="O70" s="37">
        <f>(1-AMD!F59)*Yard!O$41</f>
        <v>7.326769884339257E-2</v>
      </c>
      <c r="P70" s="37">
        <f>(1-AMD!G59)*Yard!P$41</f>
        <v>0</v>
      </c>
      <c r="Q70" s="37">
        <f>(1-AMD!H59)*Yard!Q$41</f>
        <v>0.28310730695152003</v>
      </c>
      <c r="R70" s="37">
        <f>(1-AMD!I59)*Yard!R$41</f>
        <v>0.11791210699643793</v>
      </c>
      <c r="S70" s="37">
        <f>(1-AMD!J59)*Yard!S$41</f>
        <v>0.27639475119039358</v>
      </c>
      <c r="T70" s="17"/>
    </row>
    <row r="72" spans="1:20" ht="21" customHeight="1" x14ac:dyDescent="0.3">
      <c r="A72" s="1" t="s">
        <v>1033</v>
      </c>
    </row>
    <row r="73" spans="1:20" x14ac:dyDescent="0.25">
      <c r="A73" s="2" t="s">
        <v>381</v>
      </c>
    </row>
    <row r="74" spans="1:20" x14ac:dyDescent="0.25">
      <c r="A74" s="32" t="s">
        <v>1024</v>
      </c>
    </row>
    <row r="75" spans="1:20" x14ac:dyDescent="0.25">
      <c r="A75" s="32" t="s">
        <v>1034</v>
      </c>
    </row>
    <row r="76" spans="1:20" x14ac:dyDescent="0.25">
      <c r="A76" s="2" t="s">
        <v>1032</v>
      </c>
    </row>
    <row r="78" spans="1:20" ht="30" x14ac:dyDescent="0.25">
      <c r="B78" s="15" t="s">
        <v>150</v>
      </c>
      <c r="C78" s="15" t="s">
        <v>335</v>
      </c>
      <c r="D78" s="15" t="s">
        <v>336</v>
      </c>
      <c r="E78" s="15" t="s">
        <v>337</v>
      </c>
      <c r="F78" s="15" t="s">
        <v>338</v>
      </c>
      <c r="G78" s="15" t="s">
        <v>339</v>
      </c>
      <c r="H78" s="15" t="s">
        <v>340</v>
      </c>
      <c r="I78" s="15" t="s">
        <v>341</v>
      </c>
      <c r="J78" s="15" t="s">
        <v>342</v>
      </c>
      <c r="K78" s="15" t="s">
        <v>323</v>
      </c>
      <c r="L78" s="15" t="s">
        <v>911</v>
      </c>
      <c r="M78" s="15" t="s">
        <v>912</v>
      </c>
      <c r="N78" s="15" t="s">
        <v>913</v>
      </c>
      <c r="O78" s="15" t="s">
        <v>914</v>
      </c>
      <c r="P78" s="15" t="s">
        <v>915</v>
      </c>
      <c r="Q78" s="15" t="s">
        <v>916</v>
      </c>
      <c r="R78" s="15" t="s">
        <v>917</v>
      </c>
      <c r="S78" s="15" t="s">
        <v>918</v>
      </c>
    </row>
    <row r="79" spans="1:20" x14ac:dyDescent="0.25">
      <c r="A79" s="4" t="s">
        <v>182</v>
      </c>
      <c r="B79" s="37">
        <f>(1-AMD!B$41)*Yard!B$67</f>
        <v>0</v>
      </c>
      <c r="C79" s="37">
        <f>(1-AMD!C$41)*Yard!C$67</f>
        <v>0.31164758426320643</v>
      </c>
      <c r="D79" s="37">
        <f>(1-AMD!D$41)*Yard!D$67</f>
        <v>4.8064258484123067E-2</v>
      </c>
      <c r="E79" s="37">
        <f>(1-AMD!E$41)*Yard!E$67</f>
        <v>0.10027897427643628</v>
      </c>
      <c r="F79" s="37">
        <f>(1-AMD!F$41)*Yard!F$67</f>
        <v>1.8909876242254552E-2</v>
      </c>
      <c r="G79" s="37">
        <f>(1-AMD!G$41)*Yard!G$67</f>
        <v>0</v>
      </c>
      <c r="H79" s="37">
        <f>(1-AMD!H$41)*Yard!H$67</f>
        <v>7.3067998889581737E-2</v>
      </c>
      <c r="I79" s="37">
        <f>(1-AMD!I$41)*Yard!I$67</f>
        <v>8.0084955435748735E-3</v>
      </c>
      <c r="J79" s="37">
        <f>(1-AMD!J$41)*Yard!J$67</f>
        <v>0</v>
      </c>
      <c r="K79" s="37">
        <f>(1-AMD!B$41)*Yard!K$67</f>
        <v>0.10000843429932009</v>
      </c>
      <c r="L79" s="37">
        <f>(1-AMD!C$41)*Yard!L$67</f>
        <v>0.2175967656181016</v>
      </c>
      <c r="M79" s="37">
        <f>(1-AMD!D$41)*Yard!M$67</f>
        <v>3.3559147306415807E-2</v>
      </c>
      <c r="N79" s="37">
        <f>(1-AMD!E$41)*Yard!N$67</f>
        <v>7.0016202800483221E-2</v>
      </c>
      <c r="O79" s="37">
        <f>(1-AMD!F$41)*Yard!O$67</f>
        <v>6.9490231178257353E-2</v>
      </c>
      <c r="P79" s="37">
        <f>(1-AMD!G$41)*Yard!P$67</f>
        <v>0</v>
      </c>
      <c r="Q79" s="37">
        <f>(1-AMD!H$41)*Yard!Q$67</f>
        <v>0.268511124532051</v>
      </c>
      <c r="R79" s="37">
        <f>(1-AMD!I$41)*Yard!R$67</f>
        <v>0.11183290458475775</v>
      </c>
      <c r="S79" s="37">
        <f>(1-AMD!J$41)*Yard!S$67</f>
        <v>0</v>
      </c>
      <c r="T79" s="17"/>
    </row>
    <row r="80" spans="1:20" x14ac:dyDescent="0.25">
      <c r="A80" s="4" t="s">
        <v>183</v>
      </c>
      <c r="B80" s="37">
        <f>(1-AMD!B$42)*Yard!B$68</f>
        <v>0</v>
      </c>
      <c r="C80" s="37">
        <f>(1-AMD!C$42)*Yard!C$68</f>
        <v>0.37163931550563578</v>
      </c>
      <c r="D80" s="37">
        <f>(1-AMD!D$42)*Yard!D$68</f>
        <v>5.7316562121140495E-2</v>
      </c>
      <c r="E80" s="37">
        <f>(1-AMD!E$42)*Yard!E$68</f>
        <v>0.11773244254627918</v>
      </c>
      <c r="F80" s="37">
        <f>(1-AMD!F$42)*Yard!F$68</f>
        <v>2.220112375811991E-2</v>
      </c>
      <c r="G80" s="37">
        <f>(1-AMD!G$42)*Yard!G$68</f>
        <v>0</v>
      </c>
      <c r="H80" s="37">
        <f>(1-AMD!H$42)*Yard!H$68</f>
        <v>8.5785420556108521E-2</v>
      </c>
      <c r="I80" s="37">
        <f>(1-AMD!I$42)*Yard!I$68</f>
        <v>9.4023672287164243E-3</v>
      </c>
      <c r="J80" s="37">
        <f>(1-AMD!J$42)*Yard!J$68</f>
        <v>0</v>
      </c>
      <c r="K80" s="37">
        <f>(1-AMD!B$42)*Yard!K$68</f>
        <v>0.12034503342403396</v>
      </c>
      <c r="L80" s="37">
        <f>(1-AMD!C$42)*Yard!L$68</f>
        <v>0.2594838436554468</v>
      </c>
      <c r="M80" s="37">
        <f>(1-AMD!D$42)*Yard!M$68</f>
        <v>4.001923699615733E-2</v>
      </c>
      <c r="N80" s="37">
        <f>(1-AMD!E$42)*Yard!N$68</f>
        <v>8.2202462011555677E-2</v>
      </c>
      <c r="O80" s="37">
        <f>(1-AMD!F$42)*Yard!O$68</f>
        <v>8.158494548586831E-2</v>
      </c>
      <c r="P80" s="37">
        <f>(1-AMD!G$42)*Yard!P$68</f>
        <v>0</v>
      </c>
      <c r="Q80" s="37">
        <f>(1-AMD!H$42)*Yard!Q$68</f>
        <v>0.31524525225857702</v>
      </c>
      <c r="R80" s="37">
        <f>(1-AMD!I$42)*Yard!R$68</f>
        <v>0.13129732437742303</v>
      </c>
      <c r="S80" s="37">
        <f>(1-AMD!J$42)*Yard!S$68</f>
        <v>0</v>
      </c>
      <c r="T80" s="17"/>
    </row>
    <row r="81" spans="1:20" x14ac:dyDescent="0.25">
      <c r="A81" s="4" t="s">
        <v>228</v>
      </c>
      <c r="B81" s="37">
        <f>(1-AMD!B$43)*Yard!B$69</f>
        <v>0</v>
      </c>
      <c r="C81" s="37">
        <f>(1-AMD!C$43)*Yard!C$69</f>
        <v>1.4142086506262216E-2</v>
      </c>
      <c r="D81" s="37">
        <f>(1-AMD!D$43)*Yard!D$69</f>
        <v>2.1810818875712549E-3</v>
      </c>
      <c r="E81" s="37">
        <f>(1-AMD!E$43)*Yard!E$69</f>
        <v>1.0782010689689658E-2</v>
      </c>
      <c r="F81" s="37">
        <f>(1-AMD!F$43)*Yard!F$69</f>
        <v>2.0331927929642443E-3</v>
      </c>
      <c r="G81" s="37">
        <f>(1-AMD!G$43)*Yard!G$69</f>
        <v>0</v>
      </c>
      <c r="H81" s="37">
        <f>(1-AMD!H$43)*Yard!H$69</f>
        <v>7.8562824439143211E-3</v>
      </c>
      <c r="I81" s="37">
        <f>(1-AMD!I$43)*Yard!I$69</f>
        <v>8.6107466876480002E-4</v>
      </c>
      <c r="J81" s="37">
        <f>(1-AMD!J$43)*Yard!J$69</f>
        <v>0</v>
      </c>
      <c r="K81" s="37">
        <f>(1-AMD!B$43)*Yard!K$69</f>
        <v>1.0240571852856504E-3</v>
      </c>
      <c r="L81" s="37">
        <f>(1-AMD!C$43)*Yard!L$69</f>
        <v>9.87420547516615E-3</v>
      </c>
      <c r="M81" s="37">
        <f>(1-AMD!D$43)*Yard!M$69</f>
        <v>1.522862323498397E-3</v>
      </c>
      <c r="N81" s="37">
        <f>(1-AMD!E$43)*Yard!N$69</f>
        <v>7.5281528604913177E-3</v>
      </c>
      <c r="O81" s="37">
        <f>(1-AMD!F$43)*Yard!O$69</f>
        <v>7.4716003110238752E-3</v>
      </c>
      <c r="P81" s="37">
        <f>(1-AMD!G$43)*Yard!P$69</f>
        <v>0</v>
      </c>
      <c r="Q81" s="37">
        <f>(1-AMD!H$43)*Yard!Q$69</f>
        <v>2.887035727972596E-2</v>
      </c>
      <c r="R81" s="37">
        <f>(1-AMD!I$43)*Yard!R$69</f>
        <v>1.2024291047971343E-2</v>
      </c>
      <c r="S81" s="37">
        <f>(1-AMD!J$43)*Yard!S$69</f>
        <v>0</v>
      </c>
      <c r="T81" s="17"/>
    </row>
    <row r="82" spans="1:20" x14ac:dyDescent="0.25">
      <c r="A82" s="4" t="s">
        <v>184</v>
      </c>
      <c r="B82" s="37">
        <f>(1-AMD!B$44)*Yard!B$70</f>
        <v>0</v>
      </c>
      <c r="C82" s="37">
        <f>(1-AMD!C$44)*Yard!C$70</f>
        <v>0.24723878685871525</v>
      </c>
      <c r="D82" s="37">
        <f>(1-AMD!D$44)*Yard!D$70</f>
        <v>3.8130727010038508E-2</v>
      </c>
      <c r="E82" s="37">
        <f>(1-AMD!E$44)*Yard!E$70</f>
        <v>9.0585046551459519E-2</v>
      </c>
      <c r="F82" s="37">
        <f>(1-AMD!F$44)*Yard!F$70</f>
        <v>1.7081866184280266E-2</v>
      </c>
      <c r="G82" s="37">
        <f>(1-AMD!G$44)*Yard!G$70</f>
        <v>0</v>
      </c>
      <c r="H82" s="37">
        <f>(1-AMD!H$44)*Yard!H$70</f>
        <v>6.6004545106222404E-2</v>
      </c>
      <c r="I82" s="37">
        <f>(1-AMD!I$44)*Yard!I$70</f>
        <v>7.2343175312310059E-3</v>
      </c>
      <c r="J82" s="37">
        <f>(1-AMD!J$44)*Yard!J$70</f>
        <v>0</v>
      </c>
      <c r="K82" s="37">
        <f>(1-AMD!B$44)*Yard!K$70</f>
        <v>7.560122174243758E-2</v>
      </c>
      <c r="L82" s="37">
        <f>(1-AMD!C$44)*Yard!L$70</f>
        <v>0.17262562930814654</v>
      </c>
      <c r="M82" s="37">
        <f>(1-AMD!D$44)*Yard!M$70</f>
        <v>2.6623414674197224E-2</v>
      </c>
      <c r="N82" s="37">
        <f>(1-AMD!E$44)*Yard!N$70</f>
        <v>6.3247764905873749E-2</v>
      </c>
      <c r="O82" s="37">
        <f>(1-AMD!F$44)*Yard!O$70</f>
        <v>6.2772638746797421E-2</v>
      </c>
      <c r="P82" s="37">
        <f>(1-AMD!G$44)*Yard!P$70</f>
        <v>0</v>
      </c>
      <c r="Q82" s="37">
        <f>(1-AMD!H$44)*Yard!Q$70</f>
        <v>0.24255426315261047</v>
      </c>
      <c r="R82" s="37">
        <f>(1-AMD!I$44)*Yard!R$70</f>
        <v>0.10102206310835458</v>
      </c>
      <c r="S82" s="37">
        <f>(1-AMD!J$44)*Yard!S$70</f>
        <v>0</v>
      </c>
      <c r="T82" s="17"/>
    </row>
    <row r="83" spans="1:20" x14ac:dyDescent="0.25">
      <c r="A83" s="4" t="s">
        <v>185</v>
      </c>
      <c r="B83" s="37">
        <f>(1-AMD!B$45)*Yard!B$71</f>
        <v>0</v>
      </c>
      <c r="C83" s="37">
        <f>(1-AMD!C$45)*Yard!C$71</f>
        <v>0.28973332131242335</v>
      </c>
      <c r="D83" s="37">
        <f>(1-AMD!D$45)*Yard!D$71</f>
        <v>4.4684502464368697E-2</v>
      </c>
      <c r="E83" s="37">
        <f>(1-AMD!E$45)*Yard!E$71</f>
        <v>0.1007513728518955</v>
      </c>
      <c r="F83" s="37">
        <f>(1-AMD!F$45)*Yard!F$71</f>
        <v>1.8998957713853234E-2</v>
      </c>
      <c r="G83" s="37">
        <f>(1-AMD!G$45)*Yard!G$71</f>
        <v>0</v>
      </c>
      <c r="H83" s="37">
        <f>(1-AMD!H$45)*Yard!H$71</f>
        <v>7.3412210812730666E-2</v>
      </c>
      <c r="I83" s="37">
        <f>(1-AMD!I$45)*Yard!I$71</f>
        <v>8.0462223144523587E-3</v>
      </c>
      <c r="J83" s="37">
        <f>(1-AMD!J$45)*Yard!J$71</f>
        <v>0</v>
      </c>
      <c r="K83" s="37">
        <f>(1-AMD!B$45)*Yard!K$71</f>
        <v>9.0836667849616137E-2</v>
      </c>
      <c r="L83" s="37">
        <f>(1-AMD!C$45)*Yard!L$71</f>
        <v>0.20229591626202989</v>
      </c>
      <c r="M83" s="37">
        <f>(1-AMD!D$45)*Yard!M$71</f>
        <v>3.1199353694616957E-2</v>
      </c>
      <c r="N83" s="37">
        <f>(1-AMD!E$45)*Yard!N$71</f>
        <v>7.0346038189214199E-2</v>
      </c>
      <c r="O83" s="37">
        <f>(1-AMD!F$45)*Yard!O$71</f>
        <v>6.9817588796878854E-2</v>
      </c>
      <c r="P83" s="37">
        <f>(1-AMD!G$45)*Yard!P$71</f>
        <v>0</v>
      </c>
      <c r="Q83" s="37">
        <f>(1-AMD!H$45)*Yard!Q$71</f>
        <v>0.26977603847477072</v>
      </c>
      <c r="R83" s="37">
        <f>(1-AMD!I$45)*Yard!R$71</f>
        <v>0.11235973192016378</v>
      </c>
      <c r="S83" s="37">
        <f>(1-AMD!J$45)*Yard!S$71</f>
        <v>0</v>
      </c>
      <c r="T83" s="17"/>
    </row>
    <row r="84" spans="1:20" x14ac:dyDescent="0.25">
      <c r="A84" s="4" t="s">
        <v>229</v>
      </c>
      <c r="B84" s="37">
        <f>(1-AMD!B$46)*Yard!B$72</f>
        <v>0</v>
      </c>
      <c r="C84" s="37">
        <f>(1-AMD!C$46)*Yard!C$72</f>
        <v>1.5912490937114734E-2</v>
      </c>
      <c r="D84" s="37">
        <f>(1-AMD!D$46)*Yard!D$72</f>
        <v>2.4541248389135812E-3</v>
      </c>
      <c r="E84" s="37">
        <f>(1-AMD!E$46)*Yard!E$72</f>
        <v>1.1383734919636413E-2</v>
      </c>
      <c r="F84" s="37">
        <f>(1-AMD!F$46)*Yard!F$72</f>
        <v>2.1466615515186764E-3</v>
      </c>
      <c r="G84" s="37">
        <f>(1-AMD!G$46)*Yard!G$72</f>
        <v>0</v>
      </c>
      <c r="H84" s="37">
        <f>(1-AMD!H$46)*Yard!H$72</f>
        <v>8.2947271496248316E-3</v>
      </c>
      <c r="I84" s="37">
        <f>(1-AMD!I$46)*Yard!I$72</f>
        <v>9.0912966582435773E-4</v>
      </c>
      <c r="J84" s="37">
        <f>(1-AMD!J$46)*Yard!J$72</f>
        <v>0</v>
      </c>
      <c r="K84" s="37">
        <f>(1-AMD!B$46)*Yard!K$72</f>
        <v>1.6283111626838145E-3</v>
      </c>
      <c r="L84" s="37">
        <f>(1-AMD!C$46)*Yard!L$72</f>
        <v>1.1110326970862098E-2</v>
      </c>
      <c r="M84" s="37">
        <f>(1-AMD!D$46)*Yard!M$72</f>
        <v>1.7135047866106169E-3</v>
      </c>
      <c r="N84" s="37">
        <f>(1-AMD!E$46)*Yard!N$72</f>
        <v>7.9482852563191476E-3</v>
      </c>
      <c r="O84" s="37">
        <f>(1-AMD!F$46)*Yard!O$72</f>
        <v>7.8885766128485354E-3</v>
      </c>
      <c r="P84" s="37">
        <f>(1-AMD!G$46)*Yard!P$72</f>
        <v>0</v>
      </c>
      <c r="Q84" s="37">
        <f>(1-AMD!H$46)*Yard!Q$72</f>
        <v>3.0481558937969805E-2</v>
      </c>
      <c r="R84" s="37">
        <f>(1-AMD!I$46)*Yard!R$72</f>
        <v>1.2695344664938636E-2</v>
      </c>
      <c r="S84" s="37">
        <f>(1-AMD!J$46)*Yard!S$72</f>
        <v>0</v>
      </c>
      <c r="T84" s="17"/>
    </row>
    <row r="85" spans="1:20" x14ac:dyDescent="0.25">
      <c r="A85" s="4" t="s">
        <v>186</v>
      </c>
      <c r="B85" s="37">
        <f>(1-AMD!B$47)*Yard!B$73</f>
        <v>0</v>
      </c>
      <c r="C85" s="37">
        <f>(1-AMD!C$47)*Yard!C$73</f>
        <v>0.26169945395769456</v>
      </c>
      <c r="D85" s="37">
        <f>(1-AMD!D$47)*Yard!D$73</f>
        <v>4.0360942408439252E-2</v>
      </c>
      <c r="E85" s="37">
        <f>(1-AMD!E$47)*Yard!E$73</f>
        <v>9.0568423187629463E-2</v>
      </c>
      <c r="F85" s="37">
        <f>(1-AMD!F$47)*Yard!F$73</f>
        <v>1.7078731471794176E-2</v>
      </c>
      <c r="G85" s="37">
        <f>(1-AMD!G$47)*Yard!G$73</f>
        <v>0</v>
      </c>
      <c r="H85" s="37">
        <f>(1-AMD!H$47)*Yard!H$73</f>
        <v>6.5992432537873555E-2</v>
      </c>
      <c r="I85" s="37">
        <f>(1-AMD!I$47)*Yard!I$73</f>
        <v>7.2329899534799092E-3</v>
      </c>
      <c r="J85" s="37">
        <f>(1-AMD!J$47)*Yard!J$73</f>
        <v>0</v>
      </c>
      <c r="K85" s="37">
        <f>(1-AMD!B$47)*Yard!K$73</f>
        <v>8.2183314217517303E-2</v>
      </c>
      <c r="L85" s="37">
        <f>(1-AMD!C$47)*Yard!L$73</f>
        <v>0.1827222722738128</v>
      </c>
      <c r="M85" s="37">
        <f>(1-AMD!D$47)*Yard!M$73</f>
        <v>2.818058271216228E-2</v>
      </c>
      <c r="N85" s="37">
        <f>(1-AMD!E$47)*Yard!N$73</f>
        <v>6.3236158237361742E-2</v>
      </c>
      <c r="O85" s="37">
        <f>(1-AMD!F$47)*Yard!O$73</f>
        <v>6.2761119269221538E-2</v>
      </c>
      <c r="P85" s="37">
        <f>(1-AMD!G$47)*Yard!P$73</f>
        <v>0</v>
      </c>
      <c r="Q85" s="37">
        <f>(1-AMD!H$47)*Yard!Q$73</f>
        <v>0.24250975174682757</v>
      </c>
      <c r="R85" s="37">
        <f>(1-AMD!I$47)*Yard!R$73</f>
        <v>0.10100352443587117</v>
      </c>
      <c r="S85" s="37">
        <f>(1-AMD!J$47)*Yard!S$73</f>
        <v>0</v>
      </c>
      <c r="T85" s="17"/>
    </row>
    <row r="86" spans="1:20" x14ac:dyDescent="0.25">
      <c r="A86" s="4" t="s">
        <v>187</v>
      </c>
      <c r="B86" s="37">
        <f>(1-AMD!B$48)*Yard!B$74</f>
        <v>0</v>
      </c>
      <c r="C86" s="37">
        <f>(1-AMD!C$48)*Yard!C$74</f>
        <v>0.25171409984599269</v>
      </c>
      <c r="D86" s="37">
        <f>(1-AMD!D$48)*Yard!D$74</f>
        <v>3.882093804031618E-2</v>
      </c>
      <c r="E86" s="37">
        <f>(1-AMD!E$48)*Yard!E$74</f>
        <v>8.7244326964689978E-2</v>
      </c>
      <c r="F86" s="37">
        <f>(1-AMD!F$48)*Yard!F$74</f>
        <v>1.645189769485653E-2</v>
      </c>
      <c r="G86" s="37">
        <f>(1-AMD!G$48)*Yard!G$74</f>
        <v>0</v>
      </c>
      <c r="H86" s="37">
        <f>(1-AMD!H$48)*Yard!H$74</f>
        <v>6.3570338964628062E-2</v>
      </c>
      <c r="I86" s="37">
        <f>(1-AMD!I$48)*Yard!I$74</f>
        <v>0</v>
      </c>
      <c r="J86" s="37">
        <f>(1-AMD!J$48)*Yard!J$74</f>
        <v>0</v>
      </c>
      <c r="K86" s="37">
        <f>(1-AMD!B$48)*Yard!K$74</f>
        <v>7.8995016091689851E-2</v>
      </c>
      <c r="L86" s="37">
        <f>(1-AMD!C$48)*Yard!L$74</f>
        <v>0.17575035634064554</v>
      </c>
      <c r="M86" s="37">
        <f>(1-AMD!D$48)*Yard!M$74</f>
        <v>2.7105329809645581E-2</v>
      </c>
      <c r="N86" s="37">
        <f>(1-AMD!E$48)*Yard!N$74</f>
        <v>6.0915227085512676E-2</v>
      </c>
      <c r="O86" s="37">
        <f>(1-AMD!F$48)*Yard!O$74</f>
        <v>6.0457623280580186E-2</v>
      </c>
      <c r="P86" s="37">
        <f>(1-AMD!G$48)*Yard!P$74</f>
        <v>0</v>
      </c>
      <c r="Q86" s="37">
        <f>(1-AMD!H$48)*Yard!Q$74</f>
        <v>0.23360901436579154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207</v>
      </c>
      <c r="B87" s="37">
        <f>(1-AMD!B$49)*Yard!B$75</f>
        <v>0</v>
      </c>
      <c r="C87" s="37">
        <f>(1-AMD!C$49)*Yard!C$75</f>
        <v>0.28806955778232585</v>
      </c>
      <c r="D87" s="37">
        <f>(1-AMD!D$49)*Yard!D$75</f>
        <v>1.4661209094237024E-2</v>
      </c>
      <c r="E87" s="37">
        <f>(1-AMD!E$49)*Yard!E$75</f>
        <v>2.680762949452356E-2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8.9894109063946945E-2</v>
      </c>
      <c r="L87" s="37">
        <f>(1-AMD!C$49)*Yard!L$75</f>
        <v>0.2011342529564776</v>
      </c>
      <c r="M87" s="37">
        <f>(1-AMD!D$49)*Yard!M$75</f>
        <v>3.1020194643788468E-2</v>
      </c>
      <c r="N87" s="37">
        <f>(1-AMD!E$49)*Yard!N$75</f>
        <v>5.6719597920853564E-2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188</v>
      </c>
      <c r="B88" s="37">
        <f>(1-AMD!B$50)*Yard!B$76</f>
        <v>0</v>
      </c>
      <c r="C88" s="37">
        <f>(1-AMD!C$50)*Yard!C$76</f>
        <v>3.2226242218785006</v>
      </c>
      <c r="D88" s="37">
        <f>(1-AMD!D$50)*Yard!D$76</f>
        <v>0.49701345821037085</v>
      </c>
      <c r="E88" s="37">
        <f>(1-AMD!E$50)*Yard!E$76</f>
        <v>0.7883447941571351</v>
      </c>
      <c r="F88" s="37">
        <f>(1-AMD!F$50)*Yard!F$76</f>
        <v>0.14866030093847957</v>
      </c>
      <c r="G88" s="37">
        <f>(1-AMD!G$50)*Yard!G$76</f>
        <v>0</v>
      </c>
      <c r="H88" s="37">
        <f>(1-AMD!H$50)*Yard!H$76</f>
        <v>0.57442526670934135</v>
      </c>
      <c r="I88" s="37">
        <f>(1-AMD!I$50)*Yard!I$76</f>
        <v>6.2958918520683499E-2</v>
      </c>
      <c r="J88" s="37">
        <f>(1-AMD!J$50)*Yard!J$76</f>
        <v>0</v>
      </c>
      <c r="K88" s="37">
        <f>(1-AMD!B$50)*Yard!K$76</f>
        <v>1.1278988857721326</v>
      </c>
      <c r="L88" s="37">
        <f>(1-AMD!C$50)*Yard!L$76</f>
        <v>2.2500819608185281</v>
      </c>
      <c r="M88" s="37">
        <f>(1-AMD!D$50)*Yard!M$76</f>
        <v>0.34702184915351642</v>
      </c>
      <c r="N88" s="37">
        <f>(1-AMD!E$50)*Yard!N$76</f>
        <v>0.550433521909103</v>
      </c>
      <c r="O88" s="37">
        <f>(1-AMD!F$50)*Yard!O$76</f>
        <v>0.54629858741014115</v>
      </c>
      <c r="P88" s="37">
        <f>(1-AMD!G$50)*Yard!P$76</f>
        <v>0</v>
      </c>
      <c r="Q88" s="37">
        <f>(1-AMD!H$50)*Yard!Q$76</f>
        <v>2.1109045911717246</v>
      </c>
      <c r="R88" s="37">
        <f>(1-AMD!I$50)*Yard!R$76</f>
        <v>0.87917620598939505</v>
      </c>
      <c r="S88" s="37">
        <f>(1-AMD!J$50)*Yard!S$76</f>
        <v>0</v>
      </c>
      <c r="T88" s="17"/>
    </row>
    <row r="89" spans="1:20" x14ac:dyDescent="0.25">
      <c r="A89" s="4" t="s">
        <v>189</v>
      </c>
      <c r="B89" s="37">
        <f>(1-AMD!B$51)*Yard!B$77</f>
        <v>0</v>
      </c>
      <c r="C89" s="37">
        <f>(1-AMD!C$51)*Yard!C$77</f>
        <v>3.3481295358974248</v>
      </c>
      <c r="D89" s="37">
        <f>(1-AMD!D$51)*Yard!D$77</f>
        <v>0.51636968029820818</v>
      </c>
      <c r="E89" s="37">
        <f>(1-AMD!E$51)*Yard!E$77</f>
        <v>0.81980317628743893</v>
      </c>
      <c r="F89" s="37">
        <f>(1-AMD!F$51)*Yard!F$77</f>
        <v>0.15459249277787473</v>
      </c>
      <c r="G89" s="37">
        <f>(1-AMD!G$51)*Yard!G$77</f>
        <v>0</v>
      </c>
      <c r="H89" s="37">
        <f>(1-AMD!H$51)*Yard!H$77</f>
        <v>0.59734733035379572</v>
      </c>
      <c r="I89" s="37">
        <f>(1-AMD!I$51)*Yard!I$77</f>
        <v>6.5471252885054967E-2</v>
      </c>
      <c r="J89" s="37">
        <f>(1-AMD!J$51)*Yard!J$77</f>
        <v>0</v>
      </c>
      <c r="K89" s="37">
        <f>(1-AMD!B$51)*Yard!K$77</f>
        <v>1.1715330584212538</v>
      </c>
      <c r="L89" s="37">
        <f>(1-AMD!C$51)*Yard!L$77</f>
        <v>2.3377115519894884</v>
      </c>
      <c r="M89" s="37">
        <f>(1-AMD!D$51)*Yard!M$77</f>
        <v>0.36053663808042774</v>
      </c>
      <c r="N89" s="37">
        <f>(1-AMD!E$51)*Yard!N$77</f>
        <v>0.57239821070756058</v>
      </c>
      <c r="O89" s="37">
        <f>(1-AMD!F$51)*Yard!O$77</f>
        <v>0.56809827435849924</v>
      </c>
      <c r="P89" s="37">
        <f>(1-AMD!G$51)*Yard!P$77</f>
        <v>0</v>
      </c>
      <c r="Q89" s="37">
        <f>(1-AMD!H$51)*Yard!Q$77</f>
        <v>2.1951388548617525</v>
      </c>
      <c r="R89" s="37">
        <f>(1-AMD!I$51)*Yard!R$77</f>
        <v>0.91425915605498809</v>
      </c>
      <c r="S89" s="37">
        <f>(1-AMD!J$51)*Yard!S$77</f>
        <v>0</v>
      </c>
      <c r="T89" s="17"/>
    </row>
    <row r="90" spans="1:20" x14ac:dyDescent="0.25">
      <c r="A90" s="4" t="s">
        <v>190</v>
      </c>
      <c r="B90" s="37">
        <f>(1-AMD!B$52)*Yard!B$78</f>
        <v>0</v>
      </c>
      <c r="C90" s="37">
        <f>(1-AMD!C$52)*Yard!C$78</f>
        <v>2.5293681216061734</v>
      </c>
      <c r="D90" s="37">
        <f>(1-AMD!D$52)*Yard!D$78</f>
        <v>0.39009512454845274</v>
      </c>
      <c r="E90" s="37">
        <f>(1-AMD!E$52)*Yard!E$78</f>
        <v>0.61895258065830272</v>
      </c>
      <c r="F90" s="37">
        <f>(1-AMD!F$52)*Yard!F$78</f>
        <v>0.11671755504606199</v>
      </c>
      <c r="G90" s="37">
        <f>(1-AMD!G$52)*Yard!G$78</f>
        <v>0</v>
      </c>
      <c r="H90" s="37">
        <f>(1-AMD!H$52)*Yard!H$78</f>
        <v>0.36079847686971656</v>
      </c>
      <c r="I90" s="37">
        <f>(1-AMD!I$52)*Yard!I$78</f>
        <v>0</v>
      </c>
      <c r="J90" s="37">
        <f>(1-AMD!J$52)*Yard!J$78</f>
        <v>0</v>
      </c>
      <c r="K90" s="37">
        <f>(1-AMD!B$52)*Yard!K$78</f>
        <v>0.88509521040756756</v>
      </c>
      <c r="L90" s="37">
        <f>(1-AMD!C$52)*Yard!L$78</f>
        <v>1.7660407142902896</v>
      </c>
      <c r="M90" s="37">
        <f>(1-AMD!D$52)*Yard!M$78</f>
        <v>0.27236995141744558</v>
      </c>
      <c r="N90" s="37">
        <f>(1-AMD!E$52)*Yard!N$78</f>
        <v>0.43216147476527905</v>
      </c>
      <c r="O90" s="37">
        <f>(1-AMD!F$52)*Yard!O$78</f>
        <v>0.42891501661910475</v>
      </c>
      <c r="P90" s="37">
        <f>(1-AMD!G$52)*Yard!P$78</f>
        <v>0</v>
      </c>
      <c r="Q90" s="37">
        <f>(1-AMD!H$52)*Yard!Q$78</f>
        <v>1.3258664015164647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191</v>
      </c>
      <c r="B91" s="37">
        <f>(1-AMD!B$53)*Yard!B$79</f>
        <v>0</v>
      </c>
      <c r="C91" s="37">
        <f>(1-AMD!C$53)*Yard!C$79</f>
        <v>2.4238075723610191</v>
      </c>
      <c r="D91" s="37">
        <f>(1-AMD!D$53)*Yard!D$79</f>
        <v>0.3738149100342274</v>
      </c>
      <c r="E91" s="37">
        <f>(1-AMD!E$53)*Yard!E$79</f>
        <v>0.59312123811354645</v>
      </c>
      <c r="F91" s="37">
        <f>(1-AMD!F$53)*Yard!F$79</f>
        <v>0.11184646921558587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0.84815668186884752</v>
      </c>
      <c r="L91" s="37">
        <f>(1-AMD!C$53)*Yard!L$79</f>
        <v>1.692336840900992</v>
      </c>
      <c r="M91" s="37">
        <f>(1-AMD!D$53)*Yard!M$79</f>
        <v>0.26100287462703992</v>
      </c>
      <c r="N91" s="37">
        <f>(1-AMD!E$53)*Yard!N$79</f>
        <v>0.4141256648532563</v>
      </c>
      <c r="O91" s="37">
        <f>(1-AMD!F$53)*Yard!O$79</f>
        <v>0.41101469426307846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208</v>
      </c>
      <c r="B92" s="37">
        <f>(1-AMD!B$54)*Yard!B$80</f>
        <v>0</v>
      </c>
      <c r="C92" s="37">
        <f>(1-AMD!C$54)*Yard!C$80</f>
        <v>2.2450361463288027</v>
      </c>
      <c r="D92" s="37">
        <f>(1-AMD!D$54)*Yard!D$80</f>
        <v>0.11426040508701799</v>
      </c>
      <c r="E92" s="37">
        <f>(1-AMD!E$54)*Yard!E$80</f>
        <v>0.14503492742194204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0.78559966156514882</v>
      </c>
      <c r="L92" s="37">
        <f>(1-AMD!C$54)*Yard!L$80</f>
        <v>1.5675160944751436</v>
      </c>
      <c r="M92" s="37">
        <f>(1-AMD!D$54)*Yard!M$80</f>
        <v>0.24175223087641717</v>
      </c>
      <c r="N92" s="37">
        <f>(1-AMD!E$54)*Yard!N$80</f>
        <v>0.30686498295320219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230</v>
      </c>
      <c r="B93" s="37">
        <f>(1-AMD!B$55)*Yard!B$81</f>
        <v>0</v>
      </c>
      <c r="C93" s="37">
        <f>(1-AMD!C$55)*Yard!C$81</f>
        <v>0.16020622074974469</v>
      </c>
      <c r="D93" s="37">
        <f>(1-AMD!D$55)*Yard!D$81</f>
        <v>2.4708015058370874E-2</v>
      </c>
      <c r="E93" s="37">
        <f>(1-AMD!E$55)*Yard!E$81</f>
        <v>5.5174200109268587E-2</v>
      </c>
      <c r="F93" s="37">
        <f>(1-AMD!F$55)*Yard!F$81</f>
        <v>1.0404347505146171E-2</v>
      </c>
      <c r="G93" s="37">
        <f>(1-AMD!G$55)*Yard!G$81</f>
        <v>0</v>
      </c>
      <c r="H93" s="37">
        <f>(1-AMD!H$55)*Yard!H$81</f>
        <v>4.0202529208208306E-2</v>
      </c>
      <c r="I93" s="37">
        <f>(1-AMD!I$55)*Yard!I$81</f>
        <v>4.4063308274107016E-3</v>
      </c>
      <c r="J93" s="37">
        <f>(1-AMD!J$55)*Yard!J$81</f>
        <v>1.0328767280373789E-2</v>
      </c>
      <c r="K93" s="37">
        <f>(1-AMD!B$55)*Yard!K$81</f>
        <v>4.9781986881323244E-2</v>
      </c>
      <c r="L93" s="37">
        <f>(1-AMD!C$55)*Yard!L$81</f>
        <v>0.11185825665698801</v>
      </c>
      <c r="M93" s="37">
        <f>(1-AMD!D$55)*Yard!M$81</f>
        <v>1.7251486720988505E-2</v>
      </c>
      <c r="N93" s="37">
        <f>(1-AMD!E$55)*Yard!N$81</f>
        <v>3.8523409439308036E-2</v>
      </c>
      <c r="O93" s="37">
        <f>(1-AMD!F$55)*Yard!O$81</f>
        <v>3.8234016136814861E-2</v>
      </c>
      <c r="P93" s="37">
        <f>(1-AMD!G$55)*Yard!P$81</f>
        <v>0</v>
      </c>
      <c r="Q93" s="37">
        <f>(1-AMD!H$55)*Yard!Q$81</f>
        <v>0.14773671772565536</v>
      </c>
      <c r="R93" s="37">
        <f>(1-AMD!I$55)*Yard!R$81</f>
        <v>6.1531254192436144E-2</v>
      </c>
      <c r="S93" s="37">
        <f>(1-AMD!J$55)*Yard!S$81</f>
        <v>0.14423383761147635</v>
      </c>
      <c r="T93" s="17"/>
    </row>
    <row r="94" spans="1:20" x14ac:dyDescent="0.25">
      <c r="A94" s="4" t="s">
        <v>231</v>
      </c>
      <c r="B94" s="37">
        <f>(1-AMD!B$56)*Yard!B$82</f>
        <v>0</v>
      </c>
      <c r="C94" s="37">
        <f>(1-AMD!C$56)*Yard!C$82</f>
        <v>0.25320940789596513</v>
      </c>
      <c r="D94" s="37">
        <f>(1-AMD!D$56)*Yard!D$82</f>
        <v>3.9051553890579169E-2</v>
      </c>
      <c r="E94" s="37">
        <f>(1-AMD!E$56)*Yard!E$82</f>
        <v>6.7552825881054573E-2</v>
      </c>
      <c r="F94" s="37">
        <f>(1-AMD!F$56)*Yard!F$82</f>
        <v>1.2738618304011528E-2</v>
      </c>
      <c r="G94" s="37">
        <f>(1-AMD!G$56)*Yard!G$82</f>
        <v>0</v>
      </c>
      <c r="H94" s="37">
        <f>(1-AMD!H$56)*Yard!H$82</f>
        <v>4.922218084180046E-2</v>
      </c>
      <c r="I94" s="37">
        <f>(1-AMD!I$56)*Yard!I$82</f>
        <v>5.3949146262003509E-3</v>
      </c>
      <c r="J94" s="37">
        <f>(1-AMD!J$56)*Yard!J$82</f>
        <v>1.2646081253107516E-2</v>
      </c>
      <c r="K94" s="37">
        <f>(1-AMD!B$56)*Yard!K$82</f>
        <v>8.2436513773937986E-2</v>
      </c>
      <c r="L94" s="37">
        <f>(1-AMD!C$56)*Yard!L$82</f>
        <v>0.17679440163958782</v>
      </c>
      <c r="M94" s="37">
        <f>(1-AMD!D$56)*Yard!M$82</f>
        <v>2.7266349068742788E-2</v>
      </c>
      <c r="N94" s="37">
        <f>(1-AMD!E$56)*Yard!N$82</f>
        <v>4.7166341606119336E-2</v>
      </c>
      <c r="O94" s="37">
        <f>(1-AMD!F$56)*Yard!O$82</f>
        <v>4.681202137427639E-2</v>
      </c>
      <c r="P94" s="37">
        <f>(1-AMD!G$56)*Yard!P$82</f>
        <v>0</v>
      </c>
      <c r="Q94" s="37">
        <f>(1-AMD!H$56)*Yard!Q$82</f>
        <v>0.18088223751309407</v>
      </c>
      <c r="R94" s="37">
        <f>(1-AMD!I$56)*Yard!R$82</f>
        <v>7.5336118919217224E-2</v>
      </c>
      <c r="S94" s="37">
        <f>(1-AMD!J$56)*Yard!S$82</f>
        <v>0.1765934675813739</v>
      </c>
      <c r="T94" s="17"/>
    </row>
    <row r="95" spans="1:20" x14ac:dyDescent="0.25">
      <c r="A95" s="4" t="s">
        <v>232</v>
      </c>
      <c r="B95" s="37">
        <f>(1-AMD!B$57)*Yard!B$83</f>
        <v>0</v>
      </c>
      <c r="C95" s="37">
        <f>(1-AMD!C$57)*Yard!C$83</f>
        <v>0.44434519963343955</v>
      </c>
      <c r="D95" s="37">
        <f>(1-AMD!D$57)*Yard!D$83</f>
        <v>6.852972270538582E-2</v>
      </c>
      <c r="E95" s="37">
        <f>(1-AMD!E$57)*Yard!E$83</f>
        <v>0.11438856727377475</v>
      </c>
      <c r="F95" s="37">
        <f>(1-AMD!F$57)*Yard!F$83</f>
        <v>2.1570560192538508E-2</v>
      </c>
      <c r="G95" s="37">
        <f>(1-AMD!G$57)*Yard!G$83</f>
        <v>0</v>
      </c>
      <c r="H95" s="37">
        <f>(1-AMD!H$57)*Yard!H$83</f>
        <v>8.3348915032779997E-2</v>
      </c>
      <c r="I95" s="37">
        <f>(1-AMD!I$57)*Yard!I$83</f>
        <v>9.1353181248404695E-3</v>
      </c>
      <c r="J95" s="37">
        <f>(1-AMD!J$57)*Yard!J$83</f>
        <v>2.1413865331374765E-2</v>
      </c>
      <c r="K95" s="37">
        <f>(1-AMD!B$57)*Yard!K$83</f>
        <v>0.14726367977397933</v>
      </c>
      <c r="L95" s="37">
        <f>(1-AMD!C$57)*Yard!L$83</f>
        <v>0.31024812365144727</v>
      </c>
      <c r="M95" s="37">
        <f>(1-AMD!D$57)*Yard!M$83</f>
        <v>4.784842483105315E-2</v>
      </c>
      <c r="N95" s="37">
        <f>(1-AMD!E$57)*Yard!N$83</f>
        <v>7.9867720846635251E-2</v>
      </c>
      <c r="O95" s="37">
        <f>(1-AMD!F$57)*Yard!O$83</f>
        <v>7.9267743226927811E-2</v>
      </c>
      <c r="P95" s="37">
        <f>(1-AMD!G$57)*Yard!P$83</f>
        <v>0</v>
      </c>
      <c r="Q95" s="37">
        <f>(1-AMD!H$57)*Yard!Q$83</f>
        <v>0.30629155367725769</v>
      </c>
      <c r="R95" s="37">
        <f>(1-AMD!I$57)*Yard!R$83</f>
        <v>0.12756817490225542</v>
      </c>
      <c r="S95" s="37">
        <f>(1-AMD!J$57)*Yard!S$83</f>
        <v>0.29902929275096973</v>
      </c>
      <c r="T95" s="17"/>
    </row>
    <row r="96" spans="1:20" x14ac:dyDescent="0.25">
      <c r="A96" s="4" t="s">
        <v>233</v>
      </c>
      <c r="B96" s="37">
        <f>(1-AMD!B$58)*Yard!B$84</f>
        <v>0</v>
      </c>
      <c r="C96" s="37">
        <f>(1-AMD!C$58)*Yard!C$84</f>
        <v>7.1041529338310108E-2</v>
      </c>
      <c r="D96" s="37">
        <f>(1-AMD!D$58)*Yard!D$84</f>
        <v>1.0956473278291592E-2</v>
      </c>
      <c r="E96" s="37">
        <f>(1-AMD!E$58)*Yard!E$84</f>
        <v>4.3052680966917223E-2</v>
      </c>
      <c r="F96" s="37">
        <f>(1-AMD!F$58)*Yard!F$84</f>
        <v>8.11855999581137E-3</v>
      </c>
      <c r="G96" s="37">
        <f>(1-AMD!G$58)*Yard!G$84</f>
        <v>0</v>
      </c>
      <c r="H96" s="37">
        <f>(1-AMD!H$58)*Yard!H$84</f>
        <v>3.1370217613239222E-2</v>
      </c>
      <c r="I96" s="37">
        <f>(1-AMD!I$58)*Yard!I$84</f>
        <v>3.4382801195397355E-3</v>
      </c>
      <c r="J96" s="37">
        <f>(1-AMD!J$58)*Yard!J$84</f>
        <v>8.0595844003684084E-3</v>
      </c>
      <c r="K96" s="37">
        <f>(1-AMD!B$58)*Yard!K$84</f>
        <v>1.8502280799643306E-2</v>
      </c>
      <c r="L96" s="37">
        <f>(1-AMD!C$58)*Yard!L$84</f>
        <v>4.9602203864747861E-2</v>
      </c>
      <c r="M96" s="37">
        <f>(1-AMD!D$58)*Yard!M$84</f>
        <v>7.6499651154808522E-3</v>
      </c>
      <c r="N96" s="37">
        <f>(1-AMD!E$58)*Yard!N$84</f>
        <v>3.005999276951625E-2</v>
      </c>
      <c r="O96" s="37">
        <f>(1-AMD!F$58)*Yard!O$84</f>
        <v>2.9834177850559074E-2</v>
      </c>
      <c r="P96" s="37">
        <f>(1-AMD!G$58)*Yard!P$84</f>
        <v>0</v>
      </c>
      <c r="Q96" s="37">
        <f>(1-AMD!H$58)*Yard!Q$84</f>
        <v>0.11527963727150918</v>
      </c>
      <c r="R96" s="37">
        <f>(1-AMD!I$58)*Yard!R$84</f>
        <v>4.8013119374543084E-2</v>
      </c>
      <c r="S96" s="37">
        <f>(1-AMD!J$58)*Yard!S$84</f>
        <v>0.11254632388006093</v>
      </c>
      <c r="T96" s="17"/>
    </row>
    <row r="97" spans="1:20" x14ac:dyDescent="0.25">
      <c r="A97" s="4" t="s">
        <v>234</v>
      </c>
      <c r="B97" s="37">
        <f>(1-AMD!B$59)*Yard!B$85</f>
        <v>0</v>
      </c>
      <c r="C97" s="37">
        <f>(1-AMD!C$59)*Yard!C$85</f>
        <v>7.1414164481732314</v>
      </c>
      <c r="D97" s="37">
        <f>(1-AMD!D$59)*Yard!D$85</f>
        <v>1.1013943423282633</v>
      </c>
      <c r="E97" s="37">
        <f>(1-AMD!E$59)*Yard!E$85</f>
        <v>1.6338924845200495</v>
      </c>
      <c r="F97" s="37">
        <f>(1-AMD!F$59)*Yard!F$85</f>
        <v>0.30810750606853887</v>
      </c>
      <c r="G97" s="37">
        <f>(1-AMD!G$59)*Yard!G$85</f>
        <v>0</v>
      </c>
      <c r="H97" s="37">
        <f>(1-AMD!H$59)*Yard!H$85</f>
        <v>1.1905312664597152</v>
      </c>
      <c r="I97" s="37">
        <f>(1-AMD!I$59)*Yard!I$85</f>
        <v>0.13048618392214681</v>
      </c>
      <c r="J97" s="37">
        <f>(1-AMD!J$59)*Yard!J$85</f>
        <v>0.30586932298678399</v>
      </c>
      <c r="K97" s="37">
        <f>(1-AMD!B$59)*Yard!K$85</f>
        <v>2.4316648262296847</v>
      </c>
      <c r="L97" s="37">
        <f>(1-AMD!C$59)*Yard!L$85</f>
        <v>4.9862383009585471</v>
      </c>
      <c r="M97" s="37">
        <f>(1-AMD!D$59)*Yard!M$85</f>
        <v>0.76900915862161179</v>
      </c>
      <c r="N97" s="37">
        <f>(1-AMD!E$59)*Yard!N$85</f>
        <v>1.1408069176593365</v>
      </c>
      <c r="O97" s="37">
        <f>(1-AMD!F$59)*Yard!O$85</f>
        <v>1.1322370146779135</v>
      </c>
      <c r="P97" s="37">
        <f>(1-AMD!G$59)*Yard!P$85</f>
        <v>0</v>
      </c>
      <c r="Q97" s="37">
        <f>(1-AMD!H$59)*Yard!Q$85</f>
        <v>4.3749780205523692</v>
      </c>
      <c r="R97" s="37">
        <f>(1-AMD!I$59)*Yard!R$85</f>
        <v>1.8221461043206941</v>
      </c>
      <c r="S97" s="37">
        <f>(1-AMD!J$59)*Yard!S$85</f>
        <v>4.2712460320251742</v>
      </c>
      <c r="T97" s="17"/>
    </row>
    <row r="99" spans="1:20" ht="21" customHeight="1" x14ac:dyDescent="0.3">
      <c r="A99" s="1" t="s">
        <v>1035</v>
      </c>
    </row>
    <row r="100" spans="1:20" x14ac:dyDescent="0.25">
      <c r="A100" s="2" t="s">
        <v>381</v>
      </c>
    </row>
    <row r="101" spans="1:20" x14ac:dyDescent="0.25">
      <c r="A101" s="32" t="s">
        <v>1024</v>
      </c>
    </row>
    <row r="102" spans="1:20" x14ac:dyDescent="0.25">
      <c r="A102" s="32" t="s">
        <v>1036</v>
      </c>
    </row>
    <row r="103" spans="1:20" x14ac:dyDescent="0.25">
      <c r="A103" s="2" t="s">
        <v>1032</v>
      </c>
    </row>
    <row r="105" spans="1:20" ht="30" x14ac:dyDescent="0.25">
      <c r="B105" s="15" t="s">
        <v>150</v>
      </c>
      <c r="C105" s="15" t="s">
        <v>335</v>
      </c>
      <c r="D105" s="15" t="s">
        <v>336</v>
      </c>
      <c r="E105" s="15" t="s">
        <v>337</v>
      </c>
      <c r="F105" s="15" t="s">
        <v>338</v>
      </c>
      <c r="G105" s="15" t="s">
        <v>339</v>
      </c>
      <c r="H105" s="15" t="s">
        <v>340</v>
      </c>
      <c r="I105" s="15" t="s">
        <v>341</v>
      </c>
      <c r="J105" s="15" t="s">
        <v>342</v>
      </c>
      <c r="K105" s="15" t="s">
        <v>323</v>
      </c>
      <c r="L105" s="15" t="s">
        <v>911</v>
      </c>
      <c r="M105" s="15" t="s">
        <v>912</v>
      </c>
      <c r="N105" s="15" t="s">
        <v>913</v>
      </c>
      <c r="O105" s="15" t="s">
        <v>914</v>
      </c>
      <c r="P105" s="15" t="s">
        <v>915</v>
      </c>
      <c r="Q105" s="15" t="s">
        <v>916</v>
      </c>
      <c r="R105" s="15" t="s">
        <v>917</v>
      </c>
      <c r="S105" s="15" t="s">
        <v>918</v>
      </c>
    </row>
    <row r="106" spans="1:20" x14ac:dyDescent="0.25">
      <c r="A106" s="4" t="s">
        <v>183</v>
      </c>
      <c r="B106" s="37">
        <f>(1-AMD!B$42)*Yard!B$103</f>
        <v>0</v>
      </c>
      <c r="C106" s="37">
        <f>(1-AMD!C$42)*Yard!C$103</f>
        <v>1.3965423724658241E-2</v>
      </c>
      <c r="D106" s="37">
        <f>(1-AMD!D$42)*Yard!D$103</f>
        <v>2.1538358377755783E-3</v>
      </c>
      <c r="E106" s="37">
        <f>(1-AMD!E$42)*Yard!E$103</f>
        <v>1.0814084288328155E-2</v>
      </c>
      <c r="F106" s="37">
        <f>(1-AMD!F$42)*Yard!F$103</f>
        <v>2.0392409978374397E-3</v>
      </c>
      <c r="G106" s="37">
        <f>(1-AMD!G$42)*Yard!G$103</f>
        <v>0</v>
      </c>
      <c r="H106" s="37">
        <f>(1-AMD!H$42)*Yard!H$103</f>
        <v>7.8796527833759344E-3</v>
      </c>
      <c r="I106" s="37">
        <f>(1-AMD!I$42)*Yard!I$103</f>
        <v>8.636361356487226E-4</v>
      </c>
      <c r="J106" s="37">
        <f>(1-AMD!J$42)*Yard!J$103</f>
        <v>0</v>
      </c>
      <c r="K106" s="37">
        <f>(1-AMD!B$42)*Yard!K$103</f>
        <v>0</v>
      </c>
      <c r="L106" s="37">
        <f>(1-AMD!C$42)*Yard!L$103</f>
        <v>9.7508570142018063E-3</v>
      </c>
      <c r="M106" s="37">
        <f>(1-AMD!D$42)*Yard!M$103</f>
        <v>1.5038387449090571E-3</v>
      </c>
      <c r="N106" s="37">
        <f>(1-AMD!E$42)*Yard!N$103</f>
        <v>7.5505471021857298E-3</v>
      </c>
      <c r="O106" s="37">
        <f>(1-AMD!F$42)*Yard!O$103</f>
        <v>7.4938263240060549E-3</v>
      </c>
      <c r="P106" s="37">
        <f>(1-AMD!G$42)*Yard!P$103</f>
        <v>0</v>
      </c>
      <c r="Q106" s="37">
        <f>(1-AMD!H$42)*Yard!Q$103</f>
        <v>2.8956238872555898E-2</v>
      </c>
      <c r="R106" s="37">
        <f>(1-AMD!I$42)*Yard!R$103</f>
        <v>1.2060060098483783E-2</v>
      </c>
      <c r="S106" s="37">
        <f>(1-AMD!J$42)*Yard!S$103</f>
        <v>0</v>
      </c>
      <c r="T106" s="17"/>
    </row>
    <row r="107" spans="1:20" x14ac:dyDescent="0.25">
      <c r="A107" s="4" t="s">
        <v>185</v>
      </c>
      <c r="B107" s="37">
        <f>(1-AMD!B$45)*Yard!B$104</f>
        <v>0</v>
      </c>
      <c r="C107" s="37">
        <f>(1-AMD!C$45)*Yard!C$104</f>
        <v>1.3915744569823228E-2</v>
      </c>
      <c r="D107" s="37">
        <f>(1-AMD!D$45)*Yard!D$104</f>
        <v>2.1461740047955219E-3</v>
      </c>
      <c r="E107" s="37">
        <f>(1-AMD!E$45)*Yard!E$104</f>
        <v>1.0922940619834978E-2</v>
      </c>
      <c r="F107" s="37">
        <f>(1-AMD!F$45)*Yard!F$104</f>
        <v>2.0597683294324492E-3</v>
      </c>
      <c r="G107" s="37">
        <f>(1-AMD!G$45)*Yard!G$104</f>
        <v>0</v>
      </c>
      <c r="H107" s="37">
        <f>(1-AMD!H$45)*Yard!H$104</f>
        <v>7.9589706500280029E-3</v>
      </c>
      <c r="I107" s="37">
        <f>(1-AMD!I$45)*Yard!I$104</f>
        <v>8.7232963747253551E-4</v>
      </c>
      <c r="J107" s="37">
        <f>(1-AMD!J$45)*Yard!J$104</f>
        <v>0</v>
      </c>
      <c r="K107" s="37">
        <f>(1-AMD!B$45)*Yard!K$104</f>
        <v>0</v>
      </c>
      <c r="L107" s="37">
        <f>(1-AMD!C$45)*Yard!L$104</f>
        <v>9.716170323347784E-3</v>
      </c>
      <c r="M107" s="37">
        <f>(1-AMD!D$45)*Yard!M$104</f>
        <v>1.4984891444008164E-3</v>
      </c>
      <c r="N107" s="37">
        <f>(1-AMD!E$45)*Yard!N$104</f>
        <v>7.6265521375173412E-3</v>
      </c>
      <c r="O107" s="37">
        <f>(1-AMD!F$45)*Yard!O$104</f>
        <v>7.5692603987580903E-3</v>
      </c>
      <c r="P107" s="37">
        <f>(1-AMD!G$45)*Yard!P$104</f>
        <v>0</v>
      </c>
      <c r="Q107" s="37">
        <f>(1-AMD!H$45)*Yard!Q$104</f>
        <v>2.9247717083180146E-2</v>
      </c>
      <c r="R107" s="37">
        <f>(1-AMD!I$45)*Yard!R$104</f>
        <v>1.2181458625170841E-2</v>
      </c>
      <c r="S107" s="37">
        <f>(1-AMD!J$45)*Yard!S$104</f>
        <v>0</v>
      </c>
      <c r="T107" s="17"/>
    </row>
    <row r="108" spans="1:20" x14ac:dyDescent="0.25">
      <c r="A108" s="4" t="s">
        <v>186</v>
      </c>
      <c r="B108" s="37">
        <f>(1-AMD!B$47)*Yard!B$105</f>
        <v>0</v>
      </c>
      <c r="C108" s="37">
        <f>(1-AMD!C$47)*Yard!C$105</f>
        <v>1.179848258184844E-2</v>
      </c>
      <c r="D108" s="37">
        <f>(1-AMD!D$47)*Yard!D$105</f>
        <v>1.8196364906055136E-3</v>
      </c>
      <c r="E108" s="37">
        <f>(1-AMD!E$47)*Yard!E$105</f>
        <v>8.7025608238194118E-3</v>
      </c>
      <c r="F108" s="37">
        <f>(1-AMD!F$47)*Yard!F$105</f>
        <v>1.6410653315566224E-3</v>
      </c>
      <c r="G108" s="37">
        <f>(1-AMD!G$47)*Yard!G$105</f>
        <v>0</v>
      </c>
      <c r="H108" s="37">
        <f>(1-AMD!H$47)*Yard!H$105</f>
        <v>6.3410970165933781E-3</v>
      </c>
      <c r="I108" s="37">
        <f>(1-AMD!I$47)*Yard!I$105</f>
        <v>6.9500530971848941E-4</v>
      </c>
      <c r="J108" s="37">
        <f>(1-AMD!J$47)*Yard!J$105</f>
        <v>0</v>
      </c>
      <c r="K108" s="37">
        <f>(1-AMD!B$47)*Yard!K$105</f>
        <v>0</v>
      </c>
      <c r="L108" s="37">
        <f>(1-AMD!C$47)*Yard!L$105</f>
        <v>8.2378679593533097E-3</v>
      </c>
      <c r="M108" s="37">
        <f>(1-AMD!D$47)*Yard!M$105</f>
        <v>1.2704960184194147E-3</v>
      </c>
      <c r="N108" s="37">
        <f>(1-AMD!E$47)*Yard!N$105</f>
        <v>6.0762514567050101E-3</v>
      </c>
      <c r="O108" s="37">
        <f>(1-AMD!F$47)*Yard!O$105</f>
        <v>6.0306057960164061E-3</v>
      </c>
      <c r="P108" s="37">
        <f>(1-AMD!G$47)*Yard!P$105</f>
        <v>0</v>
      </c>
      <c r="Q108" s="37">
        <f>(1-AMD!H$47)*Yard!Q$105</f>
        <v>2.330233640673977E-2</v>
      </c>
      <c r="R108" s="37">
        <f>(1-AMD!I$47)*Yard!R$105</f>
        <v>9.7052513876973202E-3</v>
      </c>
      <c r="S108" s="37">
        <f>(1-AMD!J$47)*Yard!S$105</f>
        <v>0</v>
      </c>
      <c r="T108" s="17"/>
    </row>
    <row r="109" spans="1:20" x14ac:dyDescent="0.25">
      <c r="A109" s="4" t="s">
        <v>187</v>
      </c>
      <c r="B109" s="37">
        <f>(1-AMD!B$48)*Yard!B$106</f>
        <v>0</v>
      </c>
      <c r="C109" s="37">
        <f>(1-AMD!C$48)*Yard!C$106</f>
        <v>1.1428358491838299E-2</v>
      </c>
      <c r="D109" s="37">
        <f>(1-AMD!D$48)*Yard!D$106</f>
        <v>1.7625536161288622E-3</v>
      </c>
      <c r="E109" s="37">
        <f>(1-AMD!E$48)*Yard!E$106</f>
        <v>8.42955729278657E-3</v>
      </c>
      <c r="F109" s="37">
        <f>(1-AMD!F$48)*Yard!F$106</f>
        <v>1.5895843204794819E-3</v>
      </c>
      <c r="G109" s="37">
        <f>(1-AMD!G$48)*Yard!G$106</f>
        <v>0</v>
      </c>
      <c r="H109" s="37">
        <f>(1-AMD!H$48)*Yard!H$106</f>
        <v>6.1421737443292448E-3</v>
      </c>
      <c r="I109" s="37">
        <f>(1-AMD!I$48)*Yard!I$106</f>
        <v>0</v>
      </c>
      <c r="J109" s="37">
        <f>(1-AMD!J$48)*Yard!J$106</f>
        <v>0</v>
      </c>
      <c r="K109" s="37">
        <f>(1-AMD!B$48)*Yard!K$106</f>
        <v>0</v>
      </c>
      <c r="L109" s="37">
        <f>(1-AMD!C$48)*Yard!L$106</f>
        <v>7.9794420676398987E-3</v>
      </c>
      <c r="M109" s="37">
        <f>(1-AMD!D$48)*Yard!M$106</f>
        <v>1.2306399454526723E-3</v>
      </c>
      <c r="N109" s="37">
        <f>(1-AMD!E$48)*Yard!N$106</f>
        <v>5.885636517412249E-3</v>
      </c>
      <c r="O109" s="37">
        <f>(1-AMD!F$48)*Yard!O$106</f>
        <v>5.8414227831182523E-3</v>
      </c>
      <c r="P109" s="37">
        <f>(1-AMD!G$48)*Yard!P$106</f>
        <v>0</v>
      </c>
      <c r="Q109" s="37">
        <f>(1-AMD!H$48)*Yard!Q$106</f>
        <v>2.257133087294989E-2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207</v>
      </c>
      <c r="B110" s="37">
        <f>(1-AMD!B$49)*Yard!B$107</f>
        <v>0</v>
      </c>
      <c r="C110" s="37">
        <f>(1-AMD!C$49)*Yard!C$107</f>
        <v>1.3350316680537022E-2</v>
      </c>
      <c r="D110" s="37">
        <f>(1-AMD!D$49)*Yard!D$107</f>
        <v>6.7946014787003111E-4</v>
      </c>
      <c r="E110" s="37">
        <f>(1-AMD!E$49)*Yard!E$107</f>
        <v>2.5996591274041192E-3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0</v>
      </c>
      <c r="L110" s="37">
        <f>(1-AMD!C$49)*Yard!L$107</f>
        <v>9.3213805476149592E-3</v>
      </c>
      <c r="M110" s="37">
        <f>(1-AMD!D$49)*Yard!M$107</f>
        <v>1.437602172109429E-3</v>
      </c>
      <c r="N110" s="37">
        <f>(1-AMD!E$49)*Yard!N$107</f>
        <v>5.5003602786945806E-3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188</v>
      </c>
      <c r="B111" s="37">
        <f>(1-AMD!B$50)*Yard!B$108</f>
        <v>0</v>
      </c>
      <c r="C111" s="37">
        <f>(1-AMD!C$50)*Yard!C$108</f>
        <v>4.2843165521816572E-2</v>
      </c>
      <c r="D111" s="37">
        <f>(1-AMD!D$50)*Yard!D$108</f>
        <v>6.6075435392417888E-3</v>
      </c>
      <c r="E111" s="37">
        <f>(1-AMD!E$50)*Yard!E$108</f>
        <v>5.5991128028616062E-2</v>
      </c>
      <c r="F111" s="37">
        <f>(1-AMD!F$50)*Yard!F$108</f>
        <v>1.0558397802979473E-2</v>
      </c>
      <c r="G111" s="37">
        <f>(1-AMD!G$50)*Yard!G$108</f>
        <v>0</v>
      </c>
      <c r="H111" s="37">
        <f>(1-AMD!H$50)*Yard!H$108</f>
        <v>4.0797781490498293E-2</v>
      </c>
      <c r="I111" s="37">
        <f>(1-AMD!I$50)*Yard!I$108</f>
        <v>4.4715724560643894E-3</v>
      </c>
      <c r="J111" s="37">
        <f>(1-AMD!J$50)*Yard!J$108</f>
        <v>0</v>
      </c>
      <c r="K111" s="37">
        <f>(1-AMD!B$50)*Yard!K$108</f>
        <v>0</v>
      </c>
      <c r="L111" s="37">
        <f>(1-AMD!C$50)*Yard!L$108</f>
        <v>2.9913706112718569E-2</v>
      </c>
      <c r="M111" s="37">
        <f>(1-AMD!D$50)*Yard!M$108</f>
        <v>4.6134806602752274E-3</v>
      </c>
      <c r="N111" s="37">
        <f>(1-AMD!E$50)*Yard!N$108</f>
        <v>3.9093800104820157E-2</v>
      </c>
      <c r="O111" s="37">
        <f>(1-AMD!F$50)*Yard!O$108</f>
        <v>3.880012194694147E-2</v>
      </c>
      <c r="P111" s="37">
        <f>(1-AMD!G$50)*Yard!P$108</f>
        <v>0</v>
      </c>
      <c r="Q111" s="37">
        <f>(1-AMD!H$50)*Yard!Q$108</f>
        <v>0.14992415767374387</v>
      </c>
      <c r="R111" s="37">
        <f>(1-AMD!I$50)*Yard!R$108</f>
        <v>6.2442306810556875E-2</v>
      </c>
      <c r="S111" s="37">
        <f>(1-AMD!J$50)*Yard!S$108</f>
        <v>0</v>
      </c>
      <c r="T111" s="17"/>
    </row>
    <row r="112" spans="1:20" x14ac:dyDescent="0.25">
      <c r="A112" s="4" t="s">
        <v>189</v>
      </c>
      <c r="B112" s="37">
        <f>(1-AMD!B$51)*Yard!B$109</f>
        <v>0</v>
      </c>
      <c r="C112" s="37">
        <f>(1-AMD!C$51)*Yard!C$109</f>
        <v>4.4511695444069181E-2</v>
      </c>
      <c r="D112" s="37">
        <f>(1-AMD!D$51)*Yard!D$109</f>
        <v>6.8648747605353638E-3</v>
      </c>
      <c r="E112" s="37">
        <f>(1-AMD!E$51)*Yard!E$109</f>
        <v>5.8225417281853493E-2</v>
      </c>
      <c r="F112" s="37">
        <f>(1-AMD!F$51)*Yard!F$109</f>
        <v>1.0979723744663415E-2</v>
      </c>
      <c r="G112" s="37">
        <f>(1-AMD!G$51)*Yard!G$109</f>
        <v>0</v>
      </c>
      <c r="H112" s="37">
        <f>(1-AMD!H$51)*Yard!H$109</f>
        <v>4.2425790211693598E-2</v>
      </c>
      <c r="I112" s="37">
        <f>(1-AMD!I$51)*Yard!I$109</f>
        <v>4.6500076231242677E-3</v>
      </c>
      <c r="J112" s="37">
        <f>(1-AMD!J$51)*Yard!J$109</f>
        <v>0</v>
      </c>
      <c r="K112" s="37">
        <f>(1-AMD!B$51)*Yard!K$109</f>
        <v>0</v>
      </c>
      <c r="L112" s="37">
        <f>(1-AMD!C$51)*Yard!L$109</f>
        <v>3.1078697380908717E-2</v>
      </c>
      <c r="M112" s="37">
        <f>(1-AMD!D$51)*Yard!M$109</f>
        <v>4.7931529705176421E-3</v>
      </c>
      <c r="N112" s="37">
        <f>(1-AMD!E$51)*Yard!N$109</f>
        <v>4.0653812566040275E-2</v>
      </c>
      <c r="O112" s="37">
        <f>(1-AMD!F$51)*Yard!O$109</f>
        <v>4.0348415373822374E-2</v>
      </c>
      <c r="P112" s="37">
        <f>(1-AMD!G$51)*Yard!P$109</f>
        <v>0</v>
      </c>
      <c r="Q112" s="37">
        <f>(1-AMD!H$51)*Yard!Q$109</f>
        <v>0.1559067828875085</v>
      </c>
      <c r="R112" s="37">
        <f>(1-AMD!I$51)*Yard!R$109</f>
        <v>6.4934026123353694E-2</v>
      </c>
      <c r="S112" s="37">
        <f>(1-AMD!J$51)*Yard!S$109</f>
        <v>0</v>
      </c>
      <c r="T112" s="17"/>
    </row>
    <row r="113" spans="1:20" x14ac:dyDescent="0.25">
      <c r="A113" s="4" t="s">
        <v>190</v>
      </c>
      <c r="B113" s="37">
        <f>(1-AMD!B$52)*Yard!B$110</f>
        <v>0</v>
      </c>
      <c r="C113" s="37">
        <f>(1-AMD!C$52)*Yard!C$110</f>
        <v>3.3626674920357855E-2</v>
      </c>
      <c r="D113" s="37">
        <f>(1-AMD!D$52)*Yard!D$110</f>
        <v>5.1861181570033877E-3</v>
      </c>
      <c r="E113" s="37">
        <f>(1-AMD!E$52)*Yard!E$110</f>
        <v>4.3960274037623225E-2</v>
      </c>
      <c r="F113" s="37">
        <f>(1-AMD!F$52)*Yard!F$110</f>
        <v>8.2897072654081524E-3</v>
      </c>
      <c r="G113" s="37">
        <f>(1-AMD!G$52)*Yard!G$110</f>
        <v>0</v>
      </c>
      <c r="H113" s="37">
        <f>(1-AMD!H$52)*Yard!H$110</f>
        <v>2.5625226247026296E-2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0</v>
      </c>
      <c r="L113" s="37">
        <f>(1-AMD!C$52)*Yard!L$110</f>
        <v>2.3478621592591838E-2</v>
      </c>
      <c r="M113" s="37">
        <f>(1-AMD!D$52)*Yard!M$110</f>
        <v>3.6210212883414205E-3</v>
      </c>
      <c r="N113" s="37">
        <f>(1-AMD!E$52)*Yard!N$110</f>
        <v>3.0693687130247223E-2</v>
      </c>
      <c r="O113" s="37">
        <f>(1-AMD!F$52)*Yard!O$110</f>
        <v>3.046311180958905E-2</v>
      </c>
      <c r="P113" s="37">
        <f>(1-AMD!G$52)*Yard!P$110</f>
        <v>0</v>
      </c>
      <c r="Q113" s="37">
        <f>(1-AMD!H$52)*Yard!Q$110</f>
        <v>9.4167876779752968E-2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191</v>
      </c>
      <c r="B114" s="37">
        <f>(1-AMD!B$53)*Yard!B$111</f>
        <v>0</v>
      </c>
      <c r="C114" s="37">
        <f>(1-AMD!C$53)*Yard!C$111</f>
        <v>3.2223300597909614E-2</v>
      </c>
      <c r="D114" s="37">
        <f>(1-AMD!D$53)*Yard!D$111</f>
        <v>4.9696809067561161E-3</v>
      </c>
      <c r="E114" s="37">
        <f>(1-AMD!E$53)*Yard!E$111</f>
        <v>4.2125637697922595E-2</v>
      </c>
      <c r="F114" s="37">
        <f>(1-AMD!F$53)*Yard!F$111</f>
        <v>7.9437449499416488E-3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0</v>
      </c>
      <c r="L114" s="37">
        <f>(1-AMD!C$53)*Yard!L$111</f>
        <v>2.2498765726748429E-2</v>
      </c>
      <c r="M114" s="37">
        <f>(1-AMD!D$53)*Yard!M$111</f>
        <v>3.4699017289698125E-3</v>
      </c>
      <c r="N114" s="37">
        <f>(1-AMD!E$53)*Yard!N$111</f>
        <v>2.9412718004341438E-2</v>
      </c>
      <c r="O114" s="37">
        <f>(1-AMD!F$53)*Yard!O$111</f>
        <v>2.9191765505004966E-2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208</v>
      </c>
      <c r="B115" s="37">
        <f>(1-AMD!B$54)*Yard!B$112</f>
        <v>0</v>
      </c>
      <c r="C115" s="37">
        <f>(1-AMD!C$54)*Yard!C$112</f>
        <v>2.9846624551080659E-2</v>
      </c>
      <c r="D115" s="37">
        <f>(1-AMD!D$54)*Yard!D$112</f>
        <v>1.5190345230134883E-3</v>
      </c>
      <c r="E115" s="37">
        <f>(1-AMD!E$54)*Yard!E$112</f>
        <v>1.0300910528096107E-2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0</v>
      </c>
      <c r="L115" s="37">
        <f>(1-AMD!C$54)*Yard!L$112</f>
        <v>2.0839336785771222E-2</v>
      </c>
      <c r="M115" s="37">
        <f>(1-AMD!D$54)*Yard!M$112</f>
        <v>3.2139741184807765E-3</v>
      </c>
      <c r="N115" s="37">
        <f>(1-AMD!E$54)*Yard!N$112</f>
        <v>2.1794672426805058E-2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234</v>
      </c>
      <c r="B116" s="37">
        <f>(1-AMD!B$59)*Yard!B$113</f>
        <v>0</v>
      </c>
      <c r="C116" s="37">
        <f>(1-AMD!C$59)*Yard!C$113</f>
        <v>7.2301698052638155E-2</v>
      </c>
      <c r="D116" s="37">
        <f>(1-AMD!D$59)*Yard!D$113</f>
        <v>1.115082445531825E-2</v>
      </c>
      <c r="E116" s="37">
        <f>(1-AMD!E$59)*Yard!E$113</f>
        <v>5.268966841644903E-2</v>
      </c>
      <c r="F116" s="37">
        <f>(1-AMD!F$59)*Yard!F$113</f>
        <v>9.9358326726982187E-3</v>
      </c>
      <c r="G116" s="37">
        <f>(1-AMD!G$59)*Yard!G$113</f>
        <v>0</v>
      </c>
      <c r="H116" s="37">
        <f>(1-AMD!H$59)*Yard!H$113</f>
        <v>3.8392182021452829E-2</v>
      </c>
      <c r="I116" s="37">
        <f>(1-AMD!I$59)*Yard!I$113</f>
        <v>4.2079107584641886E-3</v>
      </c>
      <c r="J116" s="37">
        <f>(1-AMD!J$59)*Yard!J$113</f>
        <v>9.8636558767644152E-3</v>
      </c>
      <c r="K116" s="37">
        <f>(1-AMD!B$59)*Yard!K$113</f>
        <v>1.7934389242022904E-2</v>
      </c>
      <c r="L116" s="37">
        <f>(1-AMD!C$59)*Yard!L$113</f>
        <v>5.0482071542911275E-2</v>
      </c>
      <c r="M116" s="37">
        <f>(1-AMD!D$59)*Yard!M$113</f>
        <v>7.785663865128003E-3</v>
      </c>
      <c r="N116" s="37">
        <f>(1-AMD!E$59)*Yard!N$113</f>
        <v>3.6788674155826394E-2</v>
      </c>
      <c r="O116" s="37">
        <f>(1-AMD!F$59)*Yard!O$113</f>
        <v>3.6512312430235276E-2</v>
      </c>
      <c r="P116" s="37">
        <f>(1-AMD!G$59)*Yard!P$113</f>
        <v>0</v>
      </c>
      <c r="Q116" s="37">
        <f>(1-AMD!H$59)*Yard!Q$113</f>
        <v>0.14108403301694006</v>
      </c>
      <c r="R116" s="37">
        <f>(1-AMD!I$59)*Yard!R$113</f>
        <v>5.8760460037971127E-2</v>
      </c>
      <c r="S116" s="37">
        <f>(1-AMD!J$59)*Yard!S$113</f>
        <v>0.13773888997267034</v>
      </c>
      <c r="T116" s="17"/>
    </row>
    <row r="118" spans="1:20" ht="21" customHeight="1" x14ac:dyDescent="0.3">
      <c r="A118" s="1" t="s">
        <v>1037</v>
      </c>
    </row>
    <row r="119" spans="1:20" x14ac:dyDescent="0.25">
      <c r="A119" s="2" t="s">
        <v>381</v>
      </c>
    </row>
    <row r="120" spans="1:20" x14ac:dyDescent="0.25">
      <c r="A120" s="32" t="s">
        <v>1024</v>
      </c>
    </row>
    <row r="121" spans="1:20" x14ac:dyDescent="0.25">
      <c r="A121" s="32" t="s">
        <v>1038</v>
      </c>
    </row>
    <row r="122" spans="1:20" x14ac:dyDescent="0.25">
      <c r="A122" s="2" t="s">
        <v>1032</v>
      </c>
    </row>
    <row r="124" spans="1:20" ht="30" x14ac:dyDescent="0.25">
      <c r="B124" s="15" t="s">
        <v>150</v>
      </c>
      <c r="C124" s="15" t="s">
        <v>335</v>
      </c>
      <c r="D124" s="15" t="s">
        <v>336</v>
      </c>
      <c r="E124" s="15" t="s">
        <v>337</v>
      </c>
      <c r="F124" s="15" t="s">
        <v>338</v>
      </c>
      <c r="G124" s="15" t="s">
        <v>339</v>
      </c>
      <c r="H124" s="15" t="s">
        <v>340</v>
      </c>
      <c r="I124" s="15" t="s">
        <v>341</v>
      </c>
      <c r="J124" s="15" t="s">
        <v>342</v>
      </c>
      <c r="K124" s="15" t="s">
        <v>323</v>
      </c>
      <c r="L124" s="15" t="s">
        <v>911</v>
      </c>
      <c r="M124" s="15" t="s">
        <v>912</v>
      </c>
      <c r="N124" s="15" t="s">
        <v>913</v>
      </c>
      <c r="O124" s="15" t="s">
        <v>914</v>
      </c>
      <c r="P124" s="15" t="s">
        <v>915</v>
      </c>
      <c r="Q124" s="15" t="s">
        <v>916</v>
      </c>
      <c r="R124" s="15" t="s">
        <v>917</v>
      </c>
      <c r="S124" s="15" t="s">
        <v>918</v>
      </c>
    </row>
    <row r="125" spans="1:20" x14ac:dyDescent="0.25">
      <c r="A125" s="4" t="s">
        <v>188</v>
      </c>
      <c r="B125" s="37">
        <f>(1-AMD!B$50)*Yard!B$131</f>
        <v>0</v>
      </c>
      <c r="C125" s="37">
        <f>(1-AMD!C$50)*Yard!C$131</f>
        <v>1.3437531346544853E-2</v>
      </c>
      <c r="D125" s="37">
        <f>(1-AMD!D$50)*Yard!D$131</f>
        <v>2.072420941608723E-3</v>
      </c>
      <c r="E125" s="37">
        <f>(1-AMD!E$50)*Yard!E$131</f>
        <v>9.9083559925561525E-3</v>
      </c>
      <c r="F125" s="37">
        <f>(1-AMD!F$50)*Yard!F$131</f>
        <v>1.8684453738720152E-3</v>
      </c>
      <c r="G125" s="37">
        <f>(1-AMD!G$50)*Yard!G$131</f>
        <v>0</v>
      </c>
      <c r="H125" s="37">
        <f>(1-AMD!H$50)*Yard!H$131</f>
        <v>7.219696350960746E-3</v>
      </c>
      <c r="I125" s="37">
        <f>(1-AMD!I$50)*Yard!I$131</f>
        <v>7.9130271707601014E-4</v>
      </c>
      <c r="J125" s="37">
        <f>(1-AMD!J$50)*Yard!J$131</f>
        <v>0</v>
      </c>
      <c r="K125" s="37">
        <f>(1-AMD!B$50)*Yard!K$131</f>
        <v>0</v>
      </c>
      <c r="L125" s="37">
        <f>(1-AMD!C$50)*Yard!L$131</f>
        <v>9.3822750649995065E-3</v>
      </c>
      <c r="M125" s="37">
        <f>(1-AMD!D$50)*Yard!M$131</f>
        <v>1.4469937091263335E-3</v>
      </c>
      <c r="N125" s="37">
        <f>(1-AMD!E$50)*Yard!N$131</f>
        <v>6.9181547537748621E-3</v>
      </c>
      <c r="O125" s="37">
        <f>(1-AMD!F$50)*Yard!O$131</f>
        <v>6.866184596395414E-3</v>
      </c>
      <c r="P125" s="37">
        <f>(1-AMD!G$50)*Yard!P$131</f>
        <v>0</v>
      </c>
      <c r="Q125" s="37">
        <f>(1-AMD!H$50)*Yard!Q$131</f>
        <v>2.6531023367779988E-2</v>
      </c>
      <c r="R125" s="37">
        <f>(1-AMD!I$50)*Yard!R$131</f>
        <v>1.1049975713280941E-2</v>
      </c>
      <c r="S125" s="37">
        <f>(1-AMD!J$50)*Yard!S$131</f>
        <v>0</v>
      </c>
      <c r="T125" s="17"/>
    </row>
    <row r="126" spans="1:20" x14ac:dyDescent="0.25">
      <c r="A126" s="4" t="s">
        <v>189</v>
      </c>
      <c r="B126" s="37">
        <f>(1-AMD!B$51)*Yard!B$132</f>
        <v>0</v>
      </c>
      <c r="C126" s="37">
        <f>(1-AMD!C$51)*Yard!C$132</f>
        <v>1.3960856895902322E-2</v>
      </c>
      <c r="D126" s="37">
        <f>(1-AMD!D$51)*Yard!D$132</f>
        <v>2.1531315126055431E-3</v>
      </c>
      <c r="E126" s="37">
        <f>(1-AMD!E$51)*Yard!E$132</f>
        <v>1.0303742441996937E-2</v>
      </c>
      <c r="F126" s="37">
        <f>(1-AMD!F$51)*Yard!F$132</f>
        <v>1.9430044614647821E-3</v>
      </c>
      <c r="G126" s="37">
        <f>(1-AMD!G$51)*Yard!G$132</f>
        <v>0</v>
      </c>
      <c r="H126" s="37">
        <f>(1-AMD!H$51)*Yard!H$132</f>
        <v>7.5077936002311092E-3</v>
      </c>
      <c r="I126" s="37">
        <f>(1-AMD!I$51)*Yard!I$132</f>
        <v>8.2287913318102046E-4</v>
      </c>
      <c r="J126" s="37">
        <f>(1-AMD!J$51)*Yard!J$132</f>
        <v>0</v>
      </c>
      <c r="K126" s="37">
        <f>(1-AMD!B$51)*Yard!K$132</f>
        <v>0</v>
      </c>
      <c r="L126" s="37">
        <f>(1-AMD!C$51)*Yard!L$132</f>
        <v>9.7476683895610303E-3</v>
      </c>
      <c r="M126" s="37">
        <f>(1-AMD!D$51)*Yard!M$132</f>
        <v>1.5033469750809503E-3</v>
      </c>
      <c r="N126" s="37">
        <f>(1-AMD!E$51)*Yard!N$132</f>
        <v>7.19421918331614E-3</v>
      </c>
      <c r="O126" s="37">
        <f>(1-AMD!F$51)*Yard!O$132</f>
        <v>7.1401751908808488E-3</v>
      </c>
      <c r="P126" s="37">
        <f>(1-AMD!G$51)*Yard!P$132</f>
        <v>0</v>
      </c>
      <c r="Q126" s="37">
        <f>(1-AMD!H$51)*Yard!Q$132</f>
        <v>2.7589726460129287E-2</v>
      </c>
      <c r="R126" s="37">
        <f>(1-AMD!I$51)*Yard!R$132</f>
        <v>1.1490917749170984E-2</v>
      </c>
      <c r="S126" s="37">
        <f>(1-AMD!J$51)*Yard!S$132</f>
        <v>0</v>
      </c>
      <c r="T126" s="17"/>
    </row>
    <row r="127" spans="1:20" x14ac:dyDescent="0.25">
      <c r="A127" s="4" t="s">
        <v>190</v>
      </c>
      <c r="B127" s="37">
        <f>(1-AMD!B$52)*Yard!B$133</f>
        <v>0</v>
      </c>
      <c r="C127" s="37">
        <f>(1-AMD!C$52)*Yard!C$133</f>
        <v>1.0546828013730376E-2</v>
      </c>
      <c r="D127" s="37">
        <f>(1-AMD!D$52)*Yard!D$133</f>
        <v>1.6265984189737723E-3</v>
      </c>
      <c r="E127" s="37">
        <f>(1-AMD!E$52)*Yard!E$133</f>
        <v>7.7793404067958887E-3</v>
      </c>
      <c r="F127" s="37">
        <f>(1-AMD!F$52)*Yard!F$133</f>
        <v>1.4669711711784812E-3</v>
      </c>
      <c r="G127" s="37">
        <f>(1-AMD!G$52)*Yard!G$133</f>
        <v>0</v>
      </c>
      <c r="H127" s="37">
        <f>(1-AMD!H$52)*Yard!H$133</f>
        <v>4.5347159984982718E-3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0</v>
      </c>
      <c r="L127" s="37">
        <f>(1-AMD!C$52)*Yard!L$133</f>
        <v>7.3639449788896142E-3</v>
      </c>
      <c r="M127" s="37">
        <f>(1-AMD!D$52)*Yard!M$133</f>
        <v>1.135714097591988E-3</v>
      </c>
      <c r="N127" s="37">
        <f>(1-AMD!E$52)*Yard!N$133</f>
        <v>5.4316458610227771E-3</v>
      </c>
      <c r="O127" s="37">
        <f>(1-AMD!F$52)*Yard!O$133</f>
        <v>5.390842568775988E-3</v>
      </c>
      <c r="P127" s="37">
        <f>(1-AMD!G$52)*Yard!P$133</f>
        <v>0</v>
      </c>
      <c r="Q127" s="37">
        <f>(1-AMD!H$52)*Yard!Q$133</f>
        <v>1.6664226620333324E-2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191</v>
      </c>
      <c r="B128" s="37">
        <f>(1-AMD!B$53)*Yard!B$134</f>
        <v>0</v>
      </c>
      <c r="C128" s="37">
        <f>(1-AMD!C$53)*Yard!C$134</f>
        <v>1.0106667110138143E-2</v>
      </c>
      <c r="D128" s="37">
        <f>(1-AMD!D$53)*Yard!D$134</f>
        <v>1.5587140248274833E-3</v>
      </c>
      <c r="E128" s="37">
        <f>(1-AMD!E$53)*Yard!E$134</f>
        <v>7.4546777216407782E-3</v>
      </c>
      <c r="F128" s="37">
        <f>(1-AMD!F$53)*Yard!F$134</f>
        <v>1.4057486542843898E-3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0</v>
      </c>
      <c r="L128" s="37">
        <f>(1-AMD!C$53)*Yard!L$134</f>
        <v>7.056618390109382E-3</v>
      </c>
      <c r="M128" s="37">
        <f>(1-AMD!D$53)*Yard!M$134</f>
        <v>1.0883162503181217E-3</v>
      </c>
      <c r="N128" s="37">
        <f>(1-AMD!E$53)*Yard!N$134</f>
        <v>5.2049617672774023E-3</v>
      </c>
      <c r="O128" s="37">
        <f>(1-AMD!F$53)*Yard!O$134</f>
        <v>5.1658613580169961E-3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208</v>
      </c>
      <c r="B129" s="37">
        <f>(1-AMD!B$54)*Yard!B$135</f>
        <v>0</v>
      </c>
      <c r="C129" s="37">
        <f>(1-AMD!C$54)*Yard!C$135</f>
        <v>9.3612352894295731E-3</v>
      </c>
      <c r="D129" s="37">
        <f>(1-AMD!D$54)*Yard!D$135</f>
        <v>4.7643711128402357E-4</v>
      </c>
      <c r="E129" s="37">
        <f>(1-AMD!E$54)*Yard!E$135</f>
        <v>1.8228796624294161E-3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0</v>
      </c>
      <c r="L129" s="37">
        <f>(1-AMD!C$54)*Yard!L$135</f>
        <v>6.5361473151980291E-3</v>
      </c>
      <c r="M129" s="37">
        <f>(1-AMD!D$54)*Yard!M$135</f>
        <v>1.0080459143962457E-3</v>
      </c>
      <c r="N129" s="37">
        <f>(1-AMD!E$54)*Yard!N$135</f>
        <v>3.8568498394167799E-3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234</v>
      </c>
      <c r="B130" s="37">
        <f>(1-AMD!B$59)*Yard!B$136</f>
        <v>0</v>
      </c>
      <c r="C130" s="37">
        <f>(1-AMD!C$59)*Yard!C$136</f>
        <v>9.9663988421702637E-3</v>
      </c>
      <c r="D130" s="37">
        <f>(1-AMD!D$59)*Yard!D$136</f>
        <v>1.5370809667543161E-3</v>
      </c>
      <c r="E130" s="37">
        <f>(1-AMD!E$59)*Yard!E$136</f>
        <v>7.3512158463382516E-3</v>
      </c>
      <c r="F130" s="37">
        <f>(1-AMD!F$59)*Yard!F$136</f>
        <v>1.3862385698237229E-3</v>
      </c>
      <c r="G130" s="37">
        <f>(1-AMD!G$59)*Yard!G$136</f>
        <v>0</v>
      </c>
      <c r="H130" s="37">
        <f>(1-AMD!H$59)*Yard!H$136</f>
        <v>5.3564432142734495E-3</v>
      </c>
      <c r="I130" s="37">
        <f>(1-AMD!I$59)*Yard!I$136</f>
        <v>5.8708398016682505E-4</v>
      </c>
      <c r="J130" s="37">
        <f>(1-AMD!J$59)*Yard!J$136</f>
        <v>1.3761685272147461E-3</v>
      </c>
      <c r="K130" s="37">
        <f>(1-AMD!B$59)*Yard!K$136</f>
        <v>0</v>
      </c>
      <c r="L130" s="37">
        <f>(1-AMD!C$59)*Yard!L$136</f>
        <v>6.9586810950046478E-3</v>
      </c>
      <c r="M130" s="37">
        <f>(1-AMD!D$59)*Yard!M$136</f>
        <v>1.073211742197904E-3</v>
      </c>
      <c r="N130" s="37">
        <f>(1-AMD!E$59)*Yard!N$136</f>
        <v>5.132723217815072E-3</v>
      </c>
      <c r="O130" s="37">
        <f>(1-AMD!F$59)*Yard!O$136</f>
        <v>5.0941654747594612E-3</v>
      </c>
      <c r="P130" s="37">
        <f>(1-AMD!G$59)*Yard!P$136</f>
        <v>0</v>
      </c>
      <c r="Q130" s="37">
        <f>(1-AMD!H$59)*Yard!Q$136</f>
        <v>1.9683919264438899E-2</v>
      </c>
      <c r="R130" s="37">
        <f>(1-AMD!I$59)*Yard!R$136</f>
        <v>8.1982073137208504E-3</v>
      </c>
      <c r="S130" s="37">
        <f>(1-AMD!J$59)*Yard!S$136</f>
        <v>1.9217207871212009E-2</v>
      </c>
      <c r="T130" s="17"/>
    </row>
    <row r="132" spans="1:20" ht="21" customHeight="1" x14ac:dyDescent="0.3">
      <c r="A132" s="1" t="s">
        <v>1039</v>
      </c>
    </row>
    <row r="133" spans="1:20" x14ac:dyDescent="0.25">
      <c r="A133" s="2" t="s">
        <v>381</v>
      </c>
    </row>
    <row r="134" spans="1:20" x14ac:dyDescent="0.25">
      <c r="A134" s="32" t="s">
        <v>1024</v>
      </c>
    </row>
    <row r="135" spans="1:20" x14ac:dyDescent="0.25">
      <c r="A135" s="32" t="s">
        <v>1025</v>
      </c>
    </row>
    <row r="136" spans="1:20" x14ac:dyDescent="0.25">
      <c r="A136" s="32" t="s">
        <v>1026</v>
      </c>
    </row>
    <row r="137" spans="1:20" x14ac:dyDescent="0.25">
      <c r="A137" s="32" t="s">
        <v>1027</v>
      </c>
    </row>
    <row r="138" spans="1:20" x14ac:dyDescent="0.25">
      <c r="A138" s="32" t="s">
        <v>775</v>
      </c>
    </row>
    <row r="139" spans="1:20" x14ac:dyDescent="0.25">
      <c r="A139" s="2" t="s">
        <v>1040</v>
      </c>
    </row>
    <row r="141" spans="1:20" ht="30" x14ac:dyDescent="0.25">
      <c r="B141" s="15" t="s">
        <v>150</v>
      </c>
      <c r="C141" s="15" t="s">
        <v>335</v>
      </c>
      <c r="D141" s="15" t="s">
        <v>336</v>
      </c>
      <c r="E141" s="15" t="s">
        <v>337</v>
      </c>
      <c r="F141" s="15" t="s">
        <v>338</v>
      </c>
      <c r="G141" s="15" t="s">
        <v>339</v>
      </c>
      <c r="H141" s="15" t="s">
        <v>340</v>
      </c>
      <c r="I141" s="15" t="s">
        <v>341</v>
      </c>
      <c r="J141" s="15" t="s">
        <v>342</v>
      </c>
      <c r="K141" s="15" t="s">
        <v>323</v>
      </c>
      <c r="L141" s="15" t="s">
        <v>911</v>
      </c>
      <c r="M141" s="15" t="s">
        <v>912</v>
      </c>
      <c r="N141" s="15" t="s">
        <v>913</v>
      </c>
      <c r="O141" s="15" t="s">
        <v>914</v>
      </c>
      <c r="P141" s="15" t="s">
        <v>915</v>
      </c>
      <c r="Q141" s="15" t="s">
        <v>916</v>
      </c>
      <c r="R141" s="15" t="s">
        <v>917</v>
      </c>
      <c r="S141" s="15" t="s">
        <v>918</v>
      </c>
    </row>
    <row r="142" spans="1:20" x14ac:dyDescent="0.25">
      <c r="A142" s="4" t="s">
        <v>182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2.5383231928625798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1.7722932721141553</v>
      </c>
      <c r="T142" s="17"/>
    </row>
    <row r="143" spans="1:20" x14ac:dyDescent="0.25">
      <c r="A143" s="4" t="s">
        <v>183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2.5383231928625798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1.7722932721141553</v>
      </c>
      <c r="T143" s="17"/>
    </row>
    <row r="144" spans="1:20" x14ac:dyDescent="0.25">
      <c r="A144" s="4" t="s">
        <v>228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2.5383231928625798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1.7722932721141553</v>
      </c>
      <c r="T144" s="17"/>
    </row>
    <row r="145" spans="1:20" x14ac:dyDescent="0.25">
      <c r="A145" s="4" t="s">
        <v>184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2.5383231928625798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1.7722932721141553</v>
      </c>
      <c r="T145" s="17"/>
    </row>
    <row r="146" spans="1:20" x14ac:dyDescent="0.25">
      <c r="A146" s="4" t="s">
        <v>185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2.5383231928625798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1.7722932721141553</v>
      </c>
      <c r="T146" s="17"/>
    </row>
    <row r="147" spans="1:20" x14ac:dyDescent="0.25">
      <c r="A147" s="4" t="s">
        <v>229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2.5383231928625798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1.7722932721141553</v>
      </c>
      <c r="T147" s="17"/>
    </row>
    <row r="148" spans="1:20" x14ac:dyDescent="0.25">
      <c r="A148" s="4" t="s">
        <v>186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2.5383231928625798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1.7722932721141553</v>
      </c>
      <c r="T148" s="17"/>
    </row>
    <row r="149" spans="1:20" x14ac:dyDescent="0.25">
      <c r="A149" s="4" t="s">
        <v>187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1.1652764310994332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0.81361253948977552</v>
      </c>
      <c r="S149" s="37">
        <f>100*AMD!J48*LAFs!J$268*S$11*Input!$E$60/Input!$F$60</f>
        <v>0</v>
      </c>
      <c r="T149" s="17"/>
    </row>
    <row r="150" spans="1:20" x14ac:dyDescent="0.25">
      <c r="A150" s="4" t="s">
        <v>207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0.19780184572748222</v>
      </c>
      <c r="F150" s="37">
        <f>100*AMD!F49*LAFs!F$269*F$11*Input!$E$60/Input!$F$60</f>
        <v>0.98157965137420078</v>
      </c>
      <c r="G150" s="37">
        <f>100*AMD!G49*LAFs!G$269*G$11*Input!$E$60/Input!$F$60</f>
        <v>0</v>
      </c>
      <c r="H150" s="37">
        <f>100*AMD!H49*LAFs!H$269*H$11*Input!$E$60/Input!$F$60</f>
        <v>2.7684934889232591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0.138108055499124</v>
      </c>
      <c r="O150" s="37">
        <f>100*AMD!F49*LAFs!F$269*O$11*Input!$E$60/Input!$F$60</f>
        <v>0.68535284122459494</v>
      </c>
      <c r="P150" s="37">
        <f>100*AMD!G49*LAFs!G$269*P$11*Input!$E$60/Input!$F$60</f>
        <v>0</v>
      </c>
      <c r="Q150" s="37">
        <f>100*AMD!H49*LAFs!H$269*Q$11*Input!$E$60/Input!$F$60</f>
        <v>1.9330014389448833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188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2.5383231928625798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1.7722932721141553</v>
      </c>
      <c r="T151" s="17"/>
    </row>
    <row r="152" spans="1:20" x14ac:dyDescent="0.25">
      <c r="A152" s="4" t="s">
        <v>189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2.5383231928625798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1.7722932721141553</v>
      </c>
      <c r="T152" s="17"/>
    </row>
    <row r="153" spans="1:20" x14ac:dyDescent="0.25">
      <c r="A153" s="4" t="s">
        <v>190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0.56650097981435477</v>
      </c>
      <c r="I153" s="37">
        <f>100*AMD!I52*LAFs!I$272*I$11*Input!$E$60/Input!$F$60</f>
        <v>1.1797174164228772</v>
      </c>
      <c r="J153" s="37">
        <f>100*AMD!J52*LAFs!J$272*J$11*Input!$E$60/Input!$F$60</f>
        <v>2.5383231928625798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0.39553902276675651</v>
      </c>
      <c r="R153" s="37">
        <f>100*AMD!I52*LAFs!I$272*R$11*Input!$E$60/Input!$F$60</f>
        <v>0.82369544036047837</v>
      </c>
      <c r="S153" s="37">
        <f>100*AMD!J52*LAFs!J$272*S$11*Input!$E$60/Input!$F$60</f>
        <v>1.7722932721141553</v>
      </c>
      <c r="T153" s="17"/>
    </row>
    <row r="154" spans="1:20" x14ac:dyDescent="0.25">
      <c r="A154" s="4" t="s">
        <v>191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2.7978320519079953</v>
      </c>
      <c r="I154" s="37">
        <f>100*AMD!I53*LAFs!I$273*I$11*Input!$E$60/Input!$F$60</f>
        <v>1.1652764310994332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1.9534860399356286</v>
      </c>
      <c r="R154" s="37">
        <f>100*AMD!I53*LAFs!I$273*R$11*Input!$E$60/Input!$F$60</f>
        <v>0.81361253948977552</v>
      </c>
      <c r="S154" s="37">
        <f>100*AMD!J53*LAFs!J$273*S$11*Input!$E$60/Input!$F$60</f>
        <v>0</v>
      </c>
      <c r="T154" s="17"/>
    </row>
    <row r="155" spans="1:20" x14ac:dyDescent="0.25">
      <c r="A155" s="4" t="s">
        <v>208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0.19780184572748222</v>
      </c>
      <c r="F155" s="37">
        <f>100*AMD!F54*LAFs!F$274*F$11*Input!$E$60/Input!$F$60</f>
        <v>0.98157965137420078</v>
      </c>
      <c r="G155" s="37">
        <f>100*AMD!G54*LAFs!G$274*G$11*Input!$E$60/Input!$F$60</f>
        <v>0</v>
      </c>
      <c r="H155" s="37">
        <f>100*AMD!H54*LAFs!H$274*H$11*Input!$E$60/Input!$F$60</f>
        <v>2.7684934889232591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0.138108055499124</v>
      </c>
      <c r="O155" s="37">
        <f>100*AMD!F54*LAFs!F$274*O$11*Input!$E$60/Input!$F$60</f>
        <v>0.68535284122459494</v>
      </c>
      <c r="P155" s="37">
        <f>100*AMD!G54*LAFs!G$274*P$11*Input!$E$60/Input!$F$60</f>
        <v>0</v>
      </c>
      <c r="Q155" s="37">
        <f>100*AMD!H54*LAFs!H$274*Q$11*Input!$E$60/Input!$F$60</f>
        <v>1.9330014389448833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230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231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232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233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234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South West in April 19 (no data version)</v>
      </c>
    </row>
    <row r="2" spans="1:6" x14ac:dyDescent="0.25">
      <c r="A2" s="2" t="s">
        <v>1041</v>
      </c>
    </row>
    <row r="4" spans="1:6" ht="21" customHeight="1" x14ac:dyDescent="0.3">
      <c r="A4" s="1" t="s">
        <v>1042</v>
      </c>
    </row>
    <row r="6" spans="1:6" ht="45" x14ac:dyDescent="0.25">
      <c r="B6" s="15" t="s">
        <v>1043</v>
      </c>
      <c r="C6" s="15" t="s">
        <v>1044</v>
      </c>
      <c r="D6" s="15" t="s">
        <v>1045</v>
      </c>
      <c r="E6" s="15" t="s">
        <v>1046</v>
      </c>
    </row>
    <row r="7" spans="1:6" x14ac:dyDescent="0.25">
      <c r="A7" s="4" t="s">
        <v>182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183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184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185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186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187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207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188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189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1047</v>
      </c>
    </row>
    <row r="18" spans="1:4" x14ac:dyDescent="0.25">
      <c r="A18" s="2" t="s">
        <v>381</v>
      </c>
    </row>
    <row r="19" spans="1:4" x14ac:dyDescent="0.25">
      <c r="A19" s="32" t="s">
        <v>608</v>
      </c>
    </row>
    <row r="20" spans="1:4" x14ac:dyDescent="0.25">
      <c r="A20" s="32" t="s">
        <v>529</v>
      </c>
    </row>
    <row r="21" spans="1:4" x14ac:dyDescent="0.25">
      <c r="A21" s="32" t="s">
        <v>434</v>
      </c>
    </row>
    <row r="22" spans="1:4" x14ac:dyDescent="0.25">
      <c r="A22" s="32" t="s">
        <v>1048</v>
      </c>
    </row>
    <row r="23" spans="1:4" x14ac:dyDescent="0.25">
      <c r="A23" s="33" t="s">
        <v>384</v>
      </c>
      <c r="B23" s="33" t="s">
        <v>514</v>
      </c>
      <c r="C23" s="33" t="s">
        <v>443</v>
      </c>
    </row>
    <row r="24" spans="1:4" ht="30" x14ac:dyDescent="0.25">
      <c r="A24" s="33" t="s">
        <v>387</v>
      </c>
      <c r="B24" s="33" t="s">
        <v>1049</v>
      </c>
      <c r="C24" s="33" t="s">
        <v>1050</v>
      </c>
    </row>
    <row r="26" spans="1:4" ht="75" x14ac:dyDescent="0.25">
      <c r="B26" s="15" t="s">
        <v>1051</v>
      </c>
      <c r="C26" s="15" t="s">
        <v>242</v>
      </c>
    </row>
    <row r="27" spans="1:4" x14ac:dyDescent="0.25">
      <c r="A27" s="4" t="s">
        <v>182</v>
      </c>
      <c r="B27" s="42">
        <f>Multi!B$128/Input!C$168/(24*Input!F$60)*1000</f>
        <v>1211078.8137347742</v>
      </c>
      <c r="C27" s="44">
        <f>Loads!E$334</f>
        <v>1280825.3420757684</v>
      </c>
      <c r="D27" s="17"/>
    </row>
    <row r="28" spans="1:4" x14ac:dyDescent="0.25">
      <c r="A28" s="4" t="s">
        <v>183</v>
      </c>
      <c r="B28" s="42">
        <f>Multi!B$129/Input!C$169/(24*Input!F$60)*1000</f>
        <v>548794.64689321583</v>
      </c>
      <c r="C28" s="44">
        <f>Loads!E$335</f>
        <v>204830.32022446717</v>
      </c>
      <c r="D28" s="17"/>
    </row>
    <row r="29" spans="1:4" x14ac:dyDescent="0.25">
      <c r="A29" s="4" t="s">
        <v>184</v>
      </c>
      <c r="B29" s="42">
        <f>Multi!B$131/Input!C$171/(24*Input!F$60)*1000</f>
        <v>349040.15327295871</v>
      </c>
      <c r="C29" s="44">
        <f>Loads!E$337</f>
        <v>110012.44210425091</v>
      </c>
      <c r="D29" s="17"/>
    </row>
    <row r="30" spans="1:4" x14ac:dyDescent="0.25">
      <c r="A30" s="4" t="s">
        <v>185</v>
      </c>
      <c r="B30" s="42">
        <f>Multi!B$132/Input!C$172/(24*Input!F$60)*1000</f>
        <v>149821.60809846799</v>
      </c>
      <c r="C30" s="44">
        <f>Loads!E$338</f>
        <v>30195.010748389152</v>
      </c>
      <c r="D30" s="17"/>
    </row>
    <row r="31" spans="1:4" x14ac:dyDescent="0.25">
      <c r="A31" s="4" t="s">
        <v>186</v>
      </c>
      <c r="B31" s="42">
        <f>Multi!B$134/Input!C$174/(24*Input!F$60)*1000</f>
        <v>14648.510493842741</v>
      </c>
      <c r="C31" s="44">
        <f>Loads!E$340</f>
        <v>1833.471677508197</v>
      </c>
      <c r="D31" s="17"/>
    </row>
    <row r="32" spans="1:4" x14ac:dyDescent="0.25">
      <c r="A32" s="4" t="s">
        <v>187</v>
      </c>
      <c r="B32" s="42">
        <f>Multi!B$135/Input!C$175/(24*Input!F$60)*1000</f>
        <v>2634.855575562427</v>
      </c>
      <c r="C32" s="44">
        <f>Loads!E$341</f>
        <v>151.42512767842624</v>
      </c>
      <c r="D32" s="17"/>
    </row>
    <row r="33" spans="1:6" x14ac:dyDescent="0.25">
      <c r="A33" s="4" t="s">
        <v>207</v>
      </c>
      <c r="B33" s="42">
        <f>Multi!B$136/Input!C$176/(24*Input!F$60)*1000</f>
        <v>165.25434091586465</v>
      </c>
      <c r="C33" s="44">
        <f>Loads!E$342</f>
        <v>11.577605311475409</v>
      </c>
      <c r="D33" s="17"/>
    </row>
    <row r="34" spans="1:6" x14ac:dyDescent="0.25">
      <c r="A34" s="4" t="s">
        <v>188</v>
      </c>
      <c r="B34" s="42">
        <f>Multi!B$137/Input!C$177/(24*Input!F$60)*1000</f>
        <v>88.748898320426846</v>
      </c>
      <c r="C34" s="44">
        <f>Loads!E$343</f>
        <v>90.262264219672147</v>
      </c>
      <c r="D34" s="17"/>
    </row>
    <row r="35" spans="1:6" x14ac:dyDescent="0.25">
      <c r="A35" s="4" t="s">
        <v>189</v>
      </c>
      <c r="B35" s="42">
        <f>Multi!B$138/Input!C$178/(24*Input!F$60)*1000</f>
        <v>106793.82502419238</v>
      </c>
      <c r="C35" s="44">
        <f>Loads!E$344</f>
        <v>5033.9473724132749</v>
      </c>
      <c r="D35" s="17"/>
    </row>
    <row r="37" spans="1:6" ht="21" customHeight="1" x14ac:dyDescent="0.3">
      <c r="A37" s="1" t="s">
        <v>1052</v>
      </c>
    </row>
    <row r="38" spans="1:6" x14ac:dyDescent="0.25">
      <c r="A38" s="2" t="s">
        <v>381</v>
      </c>
    </row>
    <row r="39" spans="1:6" x14ac:dyDescent="0.25">
      <c r="A39" s="32" t="s">
        <v>1053</v>
      </c>
    </row>
    <row r="40" spans="1:6" x14ac:dyDescent="0.25">
      <c r="A40" s="32" t="s">
        <v>1054</v>
      </c>
    </row>
    <row r="41" spans="1:6" x14ac:dyDescent="0.25">
      <c r="A41" s="2" t="s">
        <v>394</v>
      </c>
    </row>
    <row r="43" spans="1:6" ht="45" x14ac:dyDescent="0.25">
      <c r="B43" s="15" t="s">
        <v>1043</v>
      </c>
      <c r="C43" s="15" t="s">
        <v>1044</v>
      </c>
      <c r="D43" s="15" t="s">
        <v>1045</v>
      </c>
      <c r="E43" s="15" t="s">
        <v>1046</v>
      </c>
    </row>
    <row r="44" spans="1:6" x14ac:dyDescent="0.25">
      <c r="A44" s="4" t="s">
        <v>1055</v>
      </c>
      <c r="B44" s="42">
        <f>SUMPRODUCT(B$7:B$15,$B$27:$B$35)</f>
        <v>2365617.7959219292</v>
      </c>
      <c r="C44" s="42">
        <f>SUMPRODUCT(C$7:C$15,$B$27:$B$35)</f>
        <v>14648.510493842741</v>
      </c>
      <c r="D44" s="42">
        <f>SUMPRODUCT(D$7:D$15,$B$27:$B$35)</f>
        <v>2634.855575562427</v>
      </c>
      <c r="E44" s="42">
        <f>SUMPRODUCT(E$7:E$15,$B$27:$B$35)</f>
        <v>165.25434091586465</v>
      </c>
      <c r="F44" s="17"/>
    </row>
    <row r="46" spans="1:6" ht="21" customHeight="1" x14ac:dyDescent="0.3">
      <c r="A46" s="1" t="s">
        <v>1056</v>
      </c>
    </row>
    <row r="47" spans="1:6" x14ac:dyDescent="0.25">
      <c r="A47" s="2" t="s">
        <v>381</v>
      </c>
    </row>
    <row r="48" spans="1:6" x14ac:dyDescent="0.25">
      <c r="A48" s="32" t="s">
        <v>1053</v>
      </c>
    </row>
    <row r="49" spans="1:6" x14ac:dyDescent="0.25">
      <c r="A49" s="32" t="s">
        <v>1057</v>
      </c>
    </row>
    <row r="50" spans="1:6" x14ac:dyDescent="0.25">
      <c r="A50" s="2" t="s">
        <v>394</v>
      </c>
    </row>
    <row r="52" spans="1:6" ht="45" x14ac:dyDescent="0.25">
      <c r="B52" s="15" t="s">
        <v>1043</v>
      </c>
      <c r="C52" s="15" t="s">
        <v>1044</v>
      </c>
      <c r="D52" s="15" t="s">
        <v>1045</v>
      </c>
      <c r="E52" s="15" t="s">
        <v>1046</v>
      </c>
    </row>
    <row r="53" spans="1:6" ht="30" x14ac:dyDescent="0.25">
      <c r="A53" s="4" t="s">
        <v>1058</v>
      </c>
      <c r="B53" s="42">
        <f>SUMPRODUCT(B$7:B$15,$C$27:$C$35)</f>
        <v>1630987.3247895085</v>
      </c>
      <c r="C53" s="42">
        <f>SUMPRODUCT(C$7:C$15,$C$27:$C$35)</f>
        <v>1833.471677508197</v>
      </c>
      <c r="D53" s="42">
        <f>SUMPRODUCT(D$7:D$15,$C$27:$C$35)</f>
        <v>151.42512767842624</v>
      </c>
      <c r="E53" s="42">
        <f>SUMPRODUCT(E$7:E$15,$C$27:$C$35)</f>
        <v>11.577605311475409</v>
      </c>
      <c r="F53" s="17"/>
    </row>
    <row r="55" spans="1:6" ht="21" customHeight="1" x14ac:dyDescent="0.3">
      <c r="A55" s="1" t="s">
        <v>1059</v>
      </c>
    </row>
    <row r="56" spans="1:6" x14ac:dyDescent="0.25">
      <c r="A56" s="2" t="s">
        <v>381</v>
      </c>
    </row>
    <row r="57" spans="1:6" x14ac:dyDescent="0.25">
      <c r="A57" s="32" t="s">
        <v>1060</v>
      </c>
    </row>
    <row r="58" spans="1:6" x14ac:dyDescent="0.25">
      <c r="A58" s="32" t="s">
        <v>1061</v>
      </c>
    </row>
    <row r="59" spans="1:6" x14ac:dyDescent="0.25">
      <c r="A59" s="32" t="s">
        <v>870</v>
      </c>
    </row>
    <row r="60" spans="1:6" x14ac:dyDescent="0.25">
      <c r="A60" s="2" t="s">
        <v>1062</v>
      </c>
    </row>
    <row r="62" spans="1:6" ht="45" x14ac:dyDescent="0.25">
      <c r="B62" s="15" t="s">
        <v>1043</v>
      </c>
      <c r="C62" s="15" t="s">
        <v>1044</v>
      </c>
      <c r="D62" s="15" t="s">
        <v>1045</v>
      </c>
      <c r="E62" s="15" t="s">
        <v>1046</v>
      </c>
    </row>
    <row r="63" spans="1:6" x14ac:dyDescent="0.25">
      <c r="A63" s="4" t="s">
        <v>1063</v>
      </c>
      <c r="B63" s="37">
        <f>IF(B53,B44/B53/Input!$E60,0)</f>
        <v>1.526758643589498</v>
      </c>
      <c r="C63" s="37">
        <f>IF(C53,C44/C53/Input!$E60,0)</f>
        <v>8.4099934127789897</v>
      </c>
      <c r="D63" s="37">
        <f>IF(D53,D44/D53/Input!$E60,0)</f>
        <v>18.316195121146357</v>
      </c>
      <c r="E63" s="37">
        <f>IF(E53,E44/E53/Input!$E60,0)</f>
        <v>15.02486335699809</v>
      </c>
      <c r="F63" s="17"/>
    </row>
    <row r="65" spans="1:3" ht="21" customHeight="1" x14ac:dyDescent="0.3">
      <c r="A65" s="1" t="s">
        <v>1064</v>
      </c>
    </row>
    <row r="66" spans="1:3" x14ac:dyDescent="0.25">
      <c r="A66" s="2" t="s">
        <v>381</v>
      </c>
    </row>
    <row r="67" spans="1:3" x14ac:dyDescent="0.25">
      <c r="A67" s="32" t="s">
        <v>1053</v>
      </c>
    </row>
    <row r="68" spans="1:3" x14ac:dyDescent="0.25">
      <c r="A68" s="32" t="s">
        <v>1065</v>
      </c>
    </row>
    <row r="69" spans="1:3" x14ac:dyDescent="0.25">
      <c r="A69" s="2" t="s">
        <v>394</v>
      </c>
    </row>
    <row r="71" spans="1:3" ht="45" x14ac:dyDescent="0.25">
      <c r="B71" s="15" t="s">
        <v>1066</v>
      </c>
    </row>
    <row r="72" spans="1:3" x14ac:dyDescent="0.25">
      <c r="A72" s="4" t="s">
        <v>182</v>
      </c>
      <c r="B72" s="37">
        <f t="shared" ref="B72:B80" si="0">SUMPRODUCT($B7:$E7,$B$63:$E$63)</f>
        <v>1.526758643589498</v>
      </c>
      <c r="C72" s="17"/>
    </row>
    <row r="73" spans="1:3" x14ac:dyDescent="0.25">
      <c r="A73" s="4" t="s">
        <v>183</v>
      </c>
      <c r="B73" s="37">
        <f t="shared" si="0"/>
        <v>1.526758643589498</v>
      </c>
      <c r="C73" s="17"/>
    </row>
    <row r="74" spans="1:3" x14ac:dyDescent="0.25">
      <c r="A74" s="4" t="s">
        <v>184</v>
      </c>
      <c r="B74" s="37">
        <f t="shared" si="0"/>
        <v>1.526758643589498</v>
      </c>
      <c r="C74" s="17"/>
    </row>
    <row r="75" spans="1:3" x14ac:dyDescent="0.25">
      <c r="A75" s="4" t="s">
        <v>185</v>
      </c>
      <c r="B75" s="37">
        <f t="shared" si="0"/>
        <v>1.526758643589498</v>
      </c>
      <c r="C75" s="17"/>
    </row>
    <row r="76" spans="1:3" x14ac:dyDescent="0.25">
      <c r="A76" s="4" t="s">
        <v>186</v>
      </c>
      <c r="B76" s="37">
        <f t="shared" si="0"/>
        <v>8.4099934127789897</v>
      </c>
      <c r="C76" s="17"/>
    </row>
    <row r="77" spans="1:3" x14ac:dyDescent="0.25">
      <c r="A77" s="4" t="s">
        <v>187</v>
      </c>
      <c r="B77" s="37">
        <f t="shared" si="0"/>
        <v>18.316195121146357</v>
      </c>
      <c r="C77" s="17"/>
    </row>
    <row r="78" spans="1:3" x14ac:dyDescent="0.25">
      <c r="A78" s="4" t="s">
        <v>207</v>
      </c>
      <c r="B78" s="37">
        <f t="shared" si="0"/>
        <v>15.02486335699809</v>
      </c>
      <c r="C78" s="17"/>
    </row>
    <row r="79" spans="1:3" x14ac:dyDescent="0.25">
      <c r="A79" s="4" t="s">
        <v>188</v>
      </c>
      <c r="B79" s="37">
        <f t="shared" si="0"/>
        <v>1.526758643589498</v>
      </c>
      <c r="C79" s="17"/>
    </row>
    <row r="80" spans="1:3" x14ac:dyDescent="0.25">
      <c r="A80" s="4" t="s">
        <v>189</v>
      </c>
      <c r="B80" s="37">
        <f t="shared" si="0"/>
        <v>1.526758643589498</v>
      </c>
      <c r="C80" s="17"/>
    </row>
    <row r="82" spans="1:20" ht="21" customHeight="1" x14ac:dyDescent="0.3">
      <c r="A82" s="1" t="s">
        <v>1067</v>
      </c>
    </row>
    <row r="83" spans="1:20" x14ac:dyDescent="0.25">
      <c r="A83" s="2" t="s">
        <v>381</v>
      </c>
    </row>
    <row r="84" spans="1:20" x14ac:dyDescent="0.25">
      <c r="A84" s="32" t="s">
        <v>1068</v>
      </c>
    </row>
    <row r="85" spans="1:20" x14ac:dyDescent="0.25">
      <c r="A85" s="32" t="s">
        <v>1069</v>
      </c>
    </row>
    <row r="86" spans="1:20" x14ac:dyDescent="0.25">
      <c r="A86" s="2" t="s">
        <v>723</v>
      </c>
    </row>
    <row r="88" spans="1:20" ht="30" x14ac:dyDescent="0.25">
      <c r="B88" s="15" t="s">
        <v>150</v>
      </c>
      <c r="C88" s="15" t="s">
        <v>335</v>
      </c>
      <c r="D88" s="15" t="s">
        <v>336</v>
      </c>
      <c r="E88" s="15" t="s">
        <v>337</v>
      </c>
      <c r="F88" s="15" t="s">
        <v>338</v>
      </c>
      <c r="G88" s="15" t="s">
        <v>339</v>
      </c>
      <c r="H88" s="15" t="s">
        <v>340</v>
      </c>
      <c r="I88" s="15" t="s">
        <v>341</v>
      </c>
      <c r="J88" s="15" t="s">
        <v>342</v>
      </c>
      <c r="K88" s="15" t="s">
        <v>323</v>
      </c>
      <c r="L88" s="15" t="s">
        <v>911</v>
      </c>
      <c r="M88" s="15" t="s">
        <v>912</v>
      </c>
      <c r="N88" s="15" t="s">
        <v>913</v>
      </c>
      <c r="O88" s="15" t="s">
        <v>914</v>
      </c>
      <c r="P88" s="15" t="s">
        <v>915</v>
      </c>
      <c r="Q88" s="15" t="s">
        <v>916</v>
      </c>
      <c r="R88" s="15" t="s">
        <v>917</v>
      </c>
      <c r="S88" s="15" t="s">
        <v>918</v>
      </c>
    </row>
    <row r="89" spans="1:20" x14ac:dyDescent="0.25">
      <c r="A89" s="4" t="s">
        <v>182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0.19377034374633198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2.7058640721758009</v>
      </c>
      <c r="T89" s="17"/>
    </row>
    <row r="90" spans="1:20" x14ac:dyDescent="0.25">
      <c r="A90" s="4" t="s">
        <v>183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0.19377034374633198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2.7058640721758009</v>
      </c>
      <c r="T90" s="17"/>
    </row>
    <row r="91" spans="1:20" x14ac:dyDescent="0.25">
      <c r="A91" s="4" t="s">
        <v>184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0.19377034374633198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2.7058640721758009</v>
      </c>
      <c r="T91" s="17"/>
    </row>
    <row r="92" spans="1:20" x14ac:dyDescent="0.25">
      <c r="A92" s="4" t="s">
        <v>185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0.19377034374633198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2.7058640721758009</v>
      </c>
      <c r="T92" s="17"/>
    </row>
    <row r="93" spans="1:20" x14ac:dyDescent="0.25">
      <c r="A93" s="4" t="s">
        <v>186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1.0673640665739224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14.904974743992568</v>
      </c>
      <c r="T93" s="17"/>
    </row>
    <row r="94" spans="1:20" x14ac:dyDescent="0.25">
      <c r="A94" s="4" t="s">
        <v>187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1.067171524104515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14.902286026306124</v>
      </c>
      <c r="S94" s="37">
        <f>Standing!S$32*$B77</f>
        <v>0</v>
      </c>
      <c r="T94" s="17"/>
    </row>
    <row r="95" spans="1:20" x14ac:dyDescent="0.25">
      <c r="A95" s="4" t="s">
        <v>207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0.98074208225975412</v>
      </c>
      <c r="F95" s="37">
        <f>Standing!F$33*$B78</f>
        <v>0</v>
      </c>
      <c r="G95" s="37">
        <f>Standing!G$33*$B78</f>
        <v>0</v>
      </c>
      <c r="H95" s="37">
        <f>Standing!H$33*$B78</f>
        <v>0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2.0750546623750465</v>
      </c>
      <c r="O95" s="37">
        <f>Standing!O$33*$B78</f>
        <v>10.297332790729946</v>
      </c>
      <c r="P95" s="37">
        <f>Standing!P$33*$B78</f>
        <v>0</v>
      </c>
      <c r="Q95" s="37">
        <f>Standing!Q$33*$B78</f>
        <v>29.043082489027558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188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0.19377034374633198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2.7058640721758009</v>
      </c>
      <c r="T96" s="17"/>
    </row>
    <row r="97" spans="1:20" x14ac:dyDescent="0.25">
      <c r="A97" s="4" t="s">
        <v>189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0.19377034374633198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2.7058640721758009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South West in April 19 (no data version)</v>
      </c>
    </row>
    <row r="3" spans="1:11" ht="21" customHeight="1" x14ac:dyDescent="0.3">
      <c r="A3" s="1" t="s">
        <v>1070</v>
      </c>
    </row>
    <row r="4" spans="1:11" x14ac:dyDescent="0.25">
      <c r="A4" s="2" t="s">
        <v>1071</v>
      </c>
    </row>
    <row r="5" spans="1:11" x14ac:dyDescent="0.25">
      <c r="A5" s="2" t="s">
        <v>1072</v>
      </c>
    </row>
    <row r="7" spans="1:11" x14ac:dyDescent="0.25">
      <c r="B7" s="15" t="s">
        <v>150</v>
      </c>
      <c r="C7" s="15" t="s">
        <v>151</v>
      </c>
      <c r="D7" s="15" t="s">
        <v>152</v>
      </c>
      <c r="E7" s="15" t="s">
        <v>153</v>
      </c>
      <c r="F7" s="15" t="s">
        <v>154</v>
      </c>
      <c r="G7" s="15" t="s">
        <v>159</v>
      </c>
      <c r="H7" s="15" t="s">
        <v>155</v>
      </c>
      <c r="I7" s="15" t="s">
        <v>156</v>
      </c>
      <c r="J7" s="15" t="s">
        <v>157</v>
      </c>
    </row>
    <row r="8" spans="1:11" x14ac:dyDescent="0.25">
      <c r="A8" s="4" t="s">
        <v>194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196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198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200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209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211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1073</v>
      </c>
    </row>
    <row r="16" spans="1:11" x14ac:dyDescent="0.25">
      <c r="A16" s="2" t="s">
        <v>381</v>
      </c>
    </row>
    <row r="17" spans="1:20" x14ac:dyDescent="0.25">
      <c r="A17" s="32" t="s">
        <v>1074</v>
      </c>
    </row>
    <row r="18" spans="1:20" x14ac:dyDescent="0.25">
      <c r="A18" s="2" t="s">
        <v>1075</v>
      </c>
    </row>
    <row r="20" spans="1:20" ht="30" x14ac:dyDescent="0.25">
      <c r="B20" s="15" t="s">
        <v>150</v>
      </c>
      <c r="C20" s="15" t="s">
        <v>335</v>
      </c>
      <c r="D20" s="15" t="s">
        <v>336</v>
      </c>
      <c r="E20" s="15" t="s">
        <v>337</v>
      </c>
      <c r="F20" s="15" t="s">
        <v>338</v>
      </c>
      <c r="G20" s="15" t="s">
        <v>339</v>
      </c>
      <c r="H20" s="15" t="s">
        <v>340</v>
      </c>
      <c r="I20" s="15" t="s">
        <v>341</v>
      </c>
      <c r="J20" s="15" t="s">
        <v>342</v>
      </c>
      <c r="K20" s="15" t="s">
        <v>323</v>
      </c>
      <c r="L20" s="15" t="s">
        <v>911</v>
      </c>
      <c r="M20" s="15" t="s">
        <v>912</v>
      </c>
      <c r="N20" s="15" t="s">
        <v>913</v>
      </c>
      <c r="O20" s="15" t="s">
        <v>914</v>
      </c>
      <c r="P20" s="15" t="s">
        <v>915</v>
      </c>
      <c r="Q20" s="15" t="s">
        <v>916</v>
      </c>
      <c r="R20" s="15" t="s">
        <v>917</v>
      </c>
      <c r="S20" s="15" t="s">
        <v>918</v>
      </c>
    </row>
    <row r="21" spans="1:20" x14ac:dyDescent="0.25">
      <c r="A21" s="4" t="s">
        <v>190</v>
      </c>
      <c r="B21" s="37">
        <f>ABS(Standing!B$63)</f>
        <v>0</v>
      </c>
      <c r="C21" s="37">
        <f>ABS(Standing!C$63)</f>
        <v>0.19966950747384429</v>
      </c>
      <c r="D21" s="37">
        <f>ABS(Standing!D$63)</f>
        <v>3.0794292345661625E-2</v>
      </c>
      <c r="E21" s="37">
        <f>ABS(Standing!E$63)</f>
        <v>6.8724986526556689E-2</v>
      </c>
      <c r="F21" s="37">
        <f>ABS(Standing!F$63)</f>
        <v>1.2959655793698887E-2</v>
      </c>
      <c r="G21" s="37">
        <f>ABS(Standing!G$63)</f>
        <v>0</v>
      </c>
      <c r="H21" s="37">
        <f>ABS(Standing!H$63)</f>
        <v>4.0061017978632818E-2</v>
      </c>
      <c r="I21" s="37">
        <f>ABS(Standing!I$63)</f>
        <v>0</v>
      </c>
      <c r="J21" s="37">
        <f>ABS(Standing!J$63)</f>
        <v>0</v>
      </c>
      <c r="K21" s="37">
        <f>ABS(Standing!K$63)</f>
        <v>6.2056277298805633E-2</v>
      </c>
      <c r="L21" s="37">
        <f>ABS(Standing!L$63)</f>
        <v>0.13941208343259201</v>
      </c>
      <c r="M21" s="37">
        <f>ABS(Standing!M$63)</f>
        <v>2.1501011887372849E-2</v>
      </c>
      <c r="N21" s="37">
        <f>ABS(Standing!N$63)</f>
        <v>4.7984760801792224E-2</v>
      </c>
      <c r="O21" s="37">
        <f>ABS(Standing!O$63)</f>
        <v>4.7624292489150961E-2</v>
      </c>
      <c r="P21" s="37">
        <f>ABS(Standing!P$63)</f>
        <v>0</v>
      </c>
      <c r="Q21" s="37">
        <f>ABS(Standing!Q$63)</f>
        <v>0.14721669062809317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191</v>
      </c>
      <c r="B22" s="37">
        <f>ABS(Standing!B$64)</f>
        <v>0</v>
      </c>
      <c r="C22" s="37">
        <f>ABS(Standing!C$64)</f>
        <v>0.18066600270191507</v>
      </c>
      <c r="D22" s="37">
        <f>ABS(Standing!D$64)</f>
        <v>2.7863451833543756E-2</v>
      </c>
      <c r="E22" s="37">
        <f>ABS(Standing!E$64)</f>
        <v>6.2184099908807737E-2</v>
      </c>
      <c r="F22" s="37">
        <f>ABS(Standing!F$64)</f>
        <v>1.1726223188821154E-2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5.6150083725755931E-2</v>
      </c>
      <c r="L22" s="37">
        <f>ABS(Standing!L$64)</f>
        <v>0.12614356674071353</v>
      </c>
      <c r="M22" s="37">
        <f>ABS(Standing!M$64)</f>
        <v>1.945465745312594E-2</v>
      </c>
      <c r="N22" s="37">
        <f>ABS(Standing!N$64)</f>
        <v>4.3417820949966365E-2</v>
      </c>
      <c r="O22" s="37">
        <f>ABS(Standing!O$64)</f>
        <v>4.3091660135681123E-2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208</v>
      </c>
      <c r="B23" s="37">
        <f>ABS(Standing!B$65)</f>
        <v>0</v>
      </c>
      <c r="C23" s="37">
        <f>ABS(Standing!C$65)</f>
        <v>0.15977720665516454</v>
      </c>
      <c r="D23" s="37">
        <f>ABS(Standing!D$65)</f>
        <v>8.1318104325156463E-3</v>
      </c>
      <c r="E23" s="37">
        <f>ABS(Standing!E$65)</f>
        <v>1.4518497288732389E-2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4.9657951119653557E-2</v>
      </c>
      <c r="L23" s="37">
        <f>ABS(Standing!L$65)</f>
        <v>0.11155871292843345</v>
      </c>
      <c r="M23" s="37">
        <f>ABS(Standing!M$65)</f>
        <v>1.7205289195567013E-2</v>
      </c>
      <c r="N23" s="37">
        <f>ABS(Standing!N$65)</f>
        <v>3.0718244923525609E-2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1076</v>
      </c>
    </row>
    <row r="26" spans="1:20" x14ac:dyDescent="0.25">
      <c r="A26" s="2" t="s">
        <v>381</v>
      </c>
    </row>
    <row r="27" spans="1:20" x14ac:dyDescent="0.25">
      <c r="A27" s="32" t="s">
        <v>1077</v>
      </c>
    </row>
    <row r="28" spans="1:20" x14ac:dyDescent="0.25">
      <c r="A28" s="32" t="s">
        <v>1078</v>
      </c>
    </row>
    <row r="29" spans="1:20" x14ac:dyDescent="0.25">
      <c r="A29" s="32" t="s">
        <v>870</v>
      </c>
    </row>
    <row r="30" spans="1:20" x14ac:dyDescent="0.25">
      <c r="A30" s="2" t="s">
        <v>728</v>
      </c>
    </row>
    <row r="32" spans="1:20" ht="30" x14ac:dyDescent="0.25">
      <c r="B32" s="15" t="s">
        <v>150</v>
      </c>
      <c r="C32" s="15" t="s">
        <v>335</v>
      </c>
      <c r="D32" s="15" t="s">
        <v>336</v>
      </c>
      <c r="E32" s="15" t="s">
        <v>337</v>
      </c>
      <c r="F32" s="15" t="s">
        <v>338</v>
      </c>
      <c r="G32" s="15" t="s">
        <v>339</v>
      </c>
      <c r="H32" s="15" t="s">
        <v>340</v>
      </c>
      <c r="I32" s="15" t="s">
        <v>341</v>
      </c>
      <c r="J32" s="15" t="s">
        <v>342</v>
      </c>
      <c r="K32" s="15" t="s">
        <v>323</v>
      </c>
      <c r="L32" s="15" t="s">
        <v>911</v>
      </c>
      <c r="M32" s="15" t="s">
        <v>912</v>
      </c>
      <c r="N32" s="15" t="s">
        <v>913</v>
      </c>
      <c r="O32" s="15" t="s">
        <v>914</v>
      </c>
      <c r="P32" s="15" t="s">
        <v>915</v>
      </c>
      <c r="Q32" s="15" t="s">
        <v>916</v>
      </c>
      <c r="R32" s="15" t="s">
        <v>917</v>
      </c>
      <c r="S32" s="15" t="s">
        <v>918</v>
      </c>
    </row>
    <row r="33" spans="1:20" x14ac:dyDescent="0.25">
      <c r="A33" s="4" t="s">
        <v>190</v>
      </c>
      <c r="B33" s="37">
        <f>B21*Input!B$390*Input!$E$60</f>
        <v>0</v>
      </c>
      <c r="C33" s="37">
        <f>C21*Input!C$390*Input!$E$60</f>
        <v>3.6514093608459579E-2</v>
      </c>
      <c r="D33" s="37">
        <f>D21*Input!D$390*Input!$E$60</f>
        <v>5.6314341009883698E-3</v>
      </c>
      <c r="E33" s="37">
        <f>E21*Input!E$390*Input!$E$60</f>
        <v>1.2567920976113678E-2</v>
      </c>
      <c r="F33" s="37">
        <f>F21*Input!F$390*Input!$E$60</f>
        <v>2.369966705339446E-3</v>
      </c>
      <c r="G33" s="37">
        <f>G21*Input!G$390*Input!$E$60</f>
        <v>0</v>
      </c>
      <c r="H33" s="37">
        <f>H21*Input!H$390*Input!$E$60</f>
        <v>7.3260648510068537E-3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1.1348396392363212E-2</v>
      </c>
      <c r="L33" s="37">
        <f>L21*Input!C$390*Input!$E$60</f>
        <v>2.5494658293154115E-2</v>
      </c>
      <c r="M33" s="37">
        <f>M21*Input!D$390*Input!$E$60</f>
        <v>3.9319471994739971E-3</v>
      </c>
      <c r="N33" s="37">
        <f>N21*Input!E$390*Input!$E$60</f>
        <v>8.7751007645756954E-3</v>
      </c>
      <c r="O33" s="37">
        <f>O21*Input!F$390*Input!$E$60</f>
        <v>8.7091809660186162E-3</v>
      </c>
      <c r="P33" s="37">
        <f>P21*Input!G$390*Input!$E$60</f>
        <v>0</v>
      </c>
      <c r="Q33" s="37">
        <f>Q21*Input!H$390*Input!$E$60</f>
        <v>2.6921907557797678E-2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191</v>
      </c>
      <c r="B34" s="37">
        <f>B22*Input!B$390*Input!$E$60</f>
        <v>0</v>
      </c>
      <c r="C34" s="37">
        <f>C22*Input!C$390*Input!$E$60</f>
        <v>3.3038872174250715E-2</v>
      </c>
      <c r="D34" s="37">
        <f>D22*Input!D$390*Input!$E$60</f>
        <v>5.0954635055535302E-3</v>
      </c>
      <c r="E34" s="37">
        <f>E22*Input!E$390*Input!$E$60</f>
        <v>1.1371771652842111E-2</v>
      </c>
      <c r="F34" s="37">
        <f>F22*Input!F$390*Input!$E$60</f>
        <v>2.1444056060808056E-3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1.0268315073365271E-2</v>
      </c>
      <c r="L34" s="37">
        <f>L22*Input!C$390*Input!$E$60</f>
        <v>2.3068209374326965E-2</v>
      </c>
      <c r="M34" s="37">
        <f>M22*Input!D$390*Input!$E$60</f>
        <v>3.55772492430779E-3</v>
      </c>
      <c r="N34" s="37">
        <f>N22*Input!E$390*Input!$E$60</f>
        <v>7.9399323336843703E-3</v>
      </c>
      <c r="O34" s="37">
        <f>O22*Input!F$390*Input!$E$60</f>
        <v>7.8802864385504687E-3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208</v>
      </c>
      <c r="B35" s="37">
        <f>B23*Input!B$390*Input!$E$60</f>
        <v>0</v>
      </c>
      <c r="C35" s="37">
        <f>C23*Input!C$390*Input!$E$60</f>
        <v>2.9218882512990169E-2</v>
      </c>
      <c r="D35" s="37">
        <f>D23*Input!D$390*Input!$E$60</f>
        <v>1.4870857903930088E-3</v>
      </c>
      <c r="E35" s="37">
        <f>E23*Input!E$390*Input!$E$60</f>
        <v>2.6550361933676096E-3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9.0810815258051472E-3</v>
      </c>
      <c r="L35" s="37">
        <f>L23*Input!C$390*Input!$E$60</f>
        <v>2.0401038387104213E-2</v>
      </c>
      <c r="M35" s="37">
        <f>M23*Input!D$390*Input!$E$60</f>
        <v>3.1463769716056815E-3</v>
      </c>
      <c r="N35" s="37">
        <f>N23*Input!E$390*Input!$E$60</f>
        <v>5.6175271067472974E-3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1079</v>
      </c>
    </row>
    <row r="38" spans="1:20" x14ac:dyDescent="0.25">
      <c r="A38" s="2" t="s">
        <v>381</v>
      </c>
    </row>
    <row r="39" spans="1:20" x14ac:dyDescent="0.25">
      <c r="A39" s="32" t="s">
        <v>1080</v>
      </c>
    </row>
    <row r="40" spans="1:20" x14ac:dyDescent="0.25">
      <c r="A40" s="2" t="s">
        <v>1075</v>
      </c>
    </row>
    <row r="42" spans="1:20" ht="30" x14ac:dyDescent="0.25">
      <c r="B42" s="15" t="s">
        <v>1081</v>
      </c>
    </row>
    <row r="43" spans="1:20" x14ac:dyDescent="0.25">
      <c r="A43" s="4" t="s">
        <v>194</v>
      </c>
      <c r="B43" s="37">
        <f>ABS(Loads!B$67)</f>
        <v>1</v>
      </c>
      <c r="C43" s="17"/>
    </row>
    <row r="44" spans="1:20" x14ac:dyDescent="0.25">
      <c r="A44" s="4" t="s">
        <v>196</v>
      </c>
      <c r="B44" s="37">
        <f>ABS(Loads!B$69)</f>
        <v>1</v>
      </c>
      <c r="C44" s="17"/>
    </row>
    <row r="45" spans="1:20" x14ac:dyDescent="0.25">
      <c r="A45" s="4" t="s">
        <v>198</v>
      </c>
      <c r="B45" s="37">
        <f>ABS(Loads!B$71)</f>
        <v>1</v>
      </c>
      <c r="C45" s="17"/>
    </row>
    <row r="46" spans="1:20" x14ac:dyDescent="0.25">
      <c r="A46" s="4" t="s">
        <v>200</v>
      </c>
      <c r="B46" s="37">
        <f>ABS(Loads!B$73)</f>
        <v>1</v>
      </c>
      <c r="C46" s="17"/>
    </row>
    <row r="47" spans="1:20" x14ac:dyDescent="0.25">
      <c r="A47" s="4" t="s">
        <v>209</v>
      </c>
      <c r="B47" s="37">
        <f>ABS(Loads!B$75)</f>
        <v>1</v>
      </c>
      <c r="C47" s="17"/>
    </row>
    <row r="48" spans="1:20" x14ac:dyDescent="0.25">
      <c r="A48" s="4" t="s">
        <v>211</v>
      </c>
      <c r="B48" s="37">
        <f>ABS(Loads!B$77)</f>
        <v>1</v>
      </c>
      <c r="C48" s="17"/>
    </row>
    <row r="50" spans="1:20" ht="21" customHeight="1" x14ac:dyDescent="0.3">
      <c r="A50" s="1" t="s">
        <v>1082</v>
      </c>
    </row>
    <row r="51" spans="1:20" x14ac:dyDescent="0.25">
      <c r="A51" s="2" t="s">
        <v>381</v>
      </c>
    </row>
    <row r="52" spans="1:20" x14ac:dyDescent="0.25">
      <c r="A52" s="32" t="s">
        <v>1006</v>
      </c>
    </row>
    <row r="53" spans="1:20" x14ac:dyDescent="0.25">
      <c r="A53" s="32" t="s">
        <v>1083</v>
      </c>
    </row>
    <row r="54" spans="1:20" x14ac:dyDescent="0.25">
      <c r="A54" s="32" t="s">
        <v>428</v>
      </c>
    </row>
    <row r="55" spans="1:20" x14ac:dyDescent="0.25">
      <c r="A55" s="32" t="s">
        <v>1084</v>
      </c>
    </row>
    <row r="56" spans="1:20" x14ac:dyDescent="0.25">
      <c r="A56" s="32" t="s">
        <v>1085</v>
      </c>
    </row>
    <row r="57" spans="1:20" x14ac:dyDescent="0.25">
      <c r="A57" s="32" t="s">
        <v>1086</v>
      </c>
    </row>
    <row r="58" spans="1:20" x14ac:dyDescent="0.25">
      <c r="A58" s="32" t="s">
        <v>1087</v>
      </c>
    </row>
    <row r="59" spans="1:20" x14ac:dyDescent="0.25">
      <c r="A59" s="2" t="s">
        <v>1088</v>
      </c>
    </row>
    <row r="61" spans="1:20" ht="30" x14ac:dyDescent="0.25">
      <c r="B61" s="15" t="s">
        <v>150</v>
      </c>
      <c r="C61" s="15" t="s">
        <v>335</v>
      </c>
      <c r="D61" s="15" t="s">
        <v>336</v>
      </c>
      <c r="E61" s="15" t="s">
        <v>337</v>
      </c>
      <c r="F61" s="15" t="s">
        <v>338</v>
      </c>
      <c r="G61" s="15" t="s">
        <v>339</v>
      </c>
      <c r="H61" s="15" t="s">
        <v>340</v>
      </c>
      <c r="I61" s="15" t="s">
        <v>341</v>
      </c>
      <c r="J61" s="15" t="s">
        <v>342</v>
      </c>
      <c r="K61" s="15" t="s">
        <v>323</v>
      </c>
      <c r="L61" s="15" t="s">
        <v>911</v>
      </c>
      <c r="M61" s="15" t="s">
        <v>912</v>
      </c>
      <c r="N61" s="15" t="s">
        <v>913</v>
      </c>
      <c r="O61" s="15" t="s">
        <v>914</v>
      </c>
      <c r="P61" s="15" t="s">
        <v>915</v>
      </c>
      <c r="Q61" s="15" t="s">
        <v>916</v>
      </c>
      <c r="R61" s="15" t="s">
        <v>917</v>
      </c>
      <c r="S61" s="15" t="s">
        <v>918</v>
      </c>
    </row>
    <row r="62" spans="1:20" x14ac:dyDescent="0.25">
      <c r="A62" s="4" t="s">
        <v>194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0.1460520875997034</v>
      </c>
      <c r="D62" s="37">
        <f>Yard!D$11*$B$43*LAFs!$I$35/LAFs!D$83*(1-Contrib!D$127)*D8/(24*Input!$F$60)*100</f>
        <v>2.2525075261322042E-2</v>
      </c>
      <c r="E62" s="37">
        <f>Yard!E$11*$B$43*LAFs!$I$35/LAFs!E$83*(1-Contrib!E$127)*E8/(24*Input!$F$60)*100</f>
        <v>5.0270208403153112E-2</v>
      </c>
      <c r="F62" s="37">
        <f>Yard!F$11*$B$43*LAFs!$I$35/LAFs!F$83*(1-Contrib!F$127)*F8/(24*Input!$F$60)*100</f>
        <v>9.4795885821036419E-3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3.6629249135067751E-2</v>
      </c>
      <c r="I62" s="37">
        <f>Yard!I$11*$B$43*LAFs!$I$35/LAFs!I$83*(1-Contrib!I$127)*I8/(24*Input!$F$60)*100</f>
        <v>4.0146874544351304E-3</v>
      </c>
      <c r="J62" s="37">
        <f>Yard!J$11*$B$43*LAFs!$I$35/LAFs!J$83*(1-Contrib!J$127)*J8/(24*Input!$F$60)*100</f>
        <v>9.4107260767489626E-3</v>
      </c>
      <c r="K62" s="37">
        <f>Yard!K$11*$B$43*LAFs!$I$35/LAFs!B$83*(1-Contrib!K$127)*B8/(24*Input!$F$60)*100</f>
        <v>4.5392253242994098E-2</v>
      </c>
      <c r="L62" s="37">
        <f>Yard!L$11*$B$43*LAFs!$I$35/LAFs!C$83*(1-Contrib!L$127)*C8/(24*Input!$F$60)*100</f>
        <v>0.10197564004419317</v>
      </c>
      <c r="M62" s="37">
        <f>Yard!M$11*$B$43*LAFs!$I$35/LAFs!D$83*(1-Contrib!M$127)*D8/(24*Input!$F$60)*100</f>
        <v>1.572732717872909E-2</v>
      </c>
      <c r="N62" s="37">
        <f>Yard!N$11*$B$43*LAFs!$I$35/LAFs!E$83*(1-Contrib!N$127)*E8/(24*Input!$F$60)*100</f>
        <v>3.5099372842356612E-2</v>
      </c>
      <c r="O62" s="37">
        <f>Yard!O$11*$B$43*LAFs!$I$35/LAFs!F$83*(1-Contrib!O$127)*F8/(24*Input!$F$60)*100</f>
        <v>3.4835701387256252E-2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0.13460558692574312</v>
      </c>
      <c r="R62" s="37">
        <f>Yard!R$11*$B$43*LAFs!$I$35/LAFs!I$83*(1-Contrib!R$127)*I8/(24*Input!$F$60)*100</f>
        <v>5.6062234983657429E-2</v>
      </c>
      <c r="S62" s="37">
        <f>Yard!S$11*$B$43*LAFs!$I$35/LAFs!J$83*(1-Contrib!S$127)*J8/(24*Input!$F$60)*100</f>
        <v>0.13141404970359391</v>
      </c>
      <c r="T62" s="17"/>
    </row>
    <row r="63" spans="1:20" x14ac:dyDescent="0.25">
      <c r="A63" s="4" t="s">
        <v>196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0.1460520875997034</v>
      </c>
      <c r="D63" s="37">
        <f>Yard!D$11*$B$44*LAFs!$I$37/LAFs!D$83*(1-Contrib!D$129)*D9/(24*Input!$F$60)*100</f>
        <v>2.2525075261322042E-2</v>
      </c>
      <c r="E63" s="37">
        <f>Yard!E$11*$B$44*LAFs!$I$37/LAFs!E$83*(1-Contrib!E$129)*E9/(24*Input!$F$60)*100</f>
        <v>5.0270208403153112E-2</v>
      </c>
      <c r="F63" s="37">
        <f>Yard!F$11*$B$44*LAFs!$I$37/LAFs!F$83*(1-Contrib!F$129)*F9/(24*Input!$F$60)*100</f>
        <v>9.4795885821036419E-3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3.6629249135067751E-2</v>
      </c>
      <c r="I63" s="37">
        <f>Yard!I$11*$B$44*LAFs!$I$37/LAFs!I$83*(1-Contrib!I$129)*I9/(24*Input!$F$60)*100</f>
        <v>4.0146874544351304E-3</v>
      </c>
      <c r="J63" s="37">
        <f>Yard!J$11*$B$44*LAFs!$I$37/LAFs!J$83*(1-Contrib!J$129)*J9/(24*Input!$F$60)*100</f>
        <v>9.4107260767489626E-3</v>
      </c>
      <c r="K63" s="37">
        <f>Yard!K$11*$B$44*LAFs!$I$37/LAFs!B$83*(1-Contrib!K$129)*B9/(24*Input!$F$60)*100</f>
        <v>4.5392253242994098E-2</v>
      </c>
      <c r="L63" s="37">
        <f>Yard!L$11*$B$44*LAFs!$I$37/LAFs!C$83*(1-Contrib!L$129)*C9/(24*Input!$F$60)*100</f>
        <v>0.10197564004419317</v>
      </c>
      <c r="M63" s="37">
        <f>Yard!M$11*$B$44*LAFs!$I$37/LAFs!D$83*(1-Contrib!M$129)*D9/(24*Input!$F$60)*100</f>
        <v>1.572732717872909E-2</v>
      </c>
      <c r="N63" s="37">
        <f>Yard!N$11*$B$44*LAFs!$I$37/LAFs!E$83*(1-Contrib!N$129)*E9/(24*Input!$F$60)*100</f>
        <v>3.5099372842356612E-2</v>
      </c>
      <c r="O63" s="37">
        <f>Yard!O$11*$B$44*LAFs!$I$37/LAFs!F$83*(1-Contrib!O$129)*F9/(24*Input!$F$60)*100</f>
        <v>3.4835701387256252E-2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0.13460558692574312</v>
      </c>
      <c r="R63" s="37">
        <f>Yard!R$11*$B$44*LAFs!$I$37/LAFs!I$83*(1-Contrib!R$129)*I9/(24*Input!$F$60)*100</f>
        <v>5.6062234983657429E-2</v>
      </c>
      <c r="S63" s="37">
        <f>Yard!S$11*$B$44*LAFs!$I$37/LAFs!J$83*(1-Contrib!S$129)*J9/(24*Input!$F$60)*100</f>
        <v>0.13141404970359391</v>
      </c>
      <c r="T63" s="17"/>
    </row>
    <row r="64" spans="1:20" x14ac:dyDescent="0.25">
      <c r="A64" s="4" t="s">
        <v>198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0.14426425601891604</v>
      </c>
      <c r="D64" s="37">
        <f>Yard!D$11*$B$45*LAFs!$I$39/LAFs!D$83*(1-Contrib!D$131)*D10/(24*Input!$F$60)*100</f>
        <v>2.2249344584865178E-2</v>
      </c>
      <c r="E64" s="37">
        <f>Yard!E$11*$B$45*LAFs!$I$39/LAFs!E$83*(1-Contrib!E$131)*E10/(24*Input!$F$60)*100</f>
        <v>4.9654848036636182E-2</v>
      </c>
      <c r="F64" s="37">
        <f>Yard!F$11*$B$45*LAFs!$I$39/LAFs!F$83*(1-Contrib!F$131)*F10/(24*Input!$F$60)*100</f>
        <v>9.3635484205524689E-3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3.6180868495937914E-2</v>
      </c>
      <c r="I64" s="37">
        <f>Yard!I$11*$B$45*LAFs!$I$39/LAFs!I$83*(1-Contrib!I$131)*I10/(24*Input!$F$60)*100</f>
        <v>3.9655434460475055E-3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4.4836604191996983E-2</v>
      </c>
      <c r="L64" s="37">
        <f>Yard!L$11*$B$45*LAFs!$I$39/LAFs!C$83*(1-Contrib!L$131)*C10/(24*Input!$F$60)*100</f>
        <v>0.10072735066512112</v>
      </c>
      <c r="M64" s="37">
        <f>Yard!M$11*$B$45*LAFs!$I$39/LAFs!D$83*(1-Contrib!M$131)*D10/(24*Input!$F$60)*100</f>
        <v>1.5534808107803026E-2</v>
      </c>
      <c r="N64" s="37">
        <f>Yard!N$11*$B$45*LAFs!$I$39/LAFs!E$83*(1-Contrib!N$131)*E10/(24*Input!$F$60)*100</f>
        <v>3.4669719502478415E-2</v>
      </c>
      <c r="O64" s="37">
        <f>Yard!O$11*$B$45*LAFs!$I$39/LAFs!F$83*(1-Contrib!O$131)*F10/(24*Input!$F$60)*100</f>
        <v>3.4409275664060081E-2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0.13295787258484418</v>
      </c>
      <c r="R64" s="37">
        <f>Yard!R$11*$B$45*LAFs!$I$39/LAFs!I$83*(1-Contrib!R$131)*I10/(24*Input!$F$60)*100</f>
        <v>5.5375974103443165E-2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200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0.14426425601891604</v>
      </c>
      <c r="D65" s="37">
        <f>Yard!D$11*$B$46*LAFs!$I$41/LAFs!D$83*(1-Contrib!D$133)*D11/(24*Input!$F$60)*100</f>
        <v>2.2249344584865178E-2</v>
      </c>
      <c r="E65" s="37">
        <f>Yard!E$11*$B$46*LAFs!$I$41/LAFs!E$83*(1-Contrib!E$133)*E11/(24*Input!$F$60)*100</f>
        <v>4.9654848036636182E-2</v>
      </c>
      <c r="F65" s="37">
        <f>Yard!F$11*$B$46*LAFs!$I$41/LAFs!F$83*(1-Contrib!F$133)*F11/(24*Input!$F$60)*100</f>
        <v>9.3635484205524689E-3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3.6180868495937914E-2</v>
      </c>
      <c r="I65" s="37">
        <f>Yard!I$11*$B$46*LAFs!$I$41/LAFs!I$83*(1-Contrib!I$133)*I11/(24*Input!$F$60)*100</f>
        <v>3.9655434460475055E-3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4.4836604191996983E-2</v>
      </c>
      <c r="L65" s="37">
        <f>Yard!L$11*$B$46*LAFs!$I$41/LAFs!C$83*(1-Contrib!L$133)*C11/(24*Input!$F$60)*100</f>
        <v>0.10072735066512112</v>
      </c>
      <c r="M65" s="37">
        <f>Yard!M$11*$B$46*LAFs!$I$41/LAFs!D$83*(1-Contrib!M$133)*D11/(24*Input!$F$60)*100</f>
        <v>1.5534808107803026E-2</v>
      </c>
      <c r="N65" s="37">
        <f>Yard!N$11*$B$46*LAFs!$I$41/LAFs!E$83*(1-Contrib!N$133)*E11/(24*Input!$F$60)*100</f>
        <v>3.4669719502478415E-2</v>
      </c>
      <c r="O65" s="37">
        <f>Yard!O$11*$B$46*LAFs!$I$41/LAFs!F$83*(1-Contrib!O$133)*F11/(24*Input!$F$60)*100</f>
        <v>3.4409275664060081E-2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0.13295787258484418</v>
      </c>
      <c r="R65" s="37">
        <f>Yard!R$11*$B$46*LAFs!$I$41/LAFs!I$83*(1-Contrib!R$133)*I11/(24*Input!$F$60)*100</f>
        <v>5.5375974103443165E-2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209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0.14275147545055752</v>
      </c>
      <c r="D66" s="37">
        <f>Yard!D$11*$B$47*LAFs!$I$43/LAFs!D$83*(1-Contrib!D$135)*D12/(24*Input!$F$60)*100</f>
        <v>7.2652912241179405E-3</v>
      </c>
      <c r="E66" s="37">
        <f>Yard!E$11*$B$47*LAFs!$I$43/LAFs!E$83*(1-Contrib!E$135)*E12/(24*Input!$F$60)*100</f>
        <v>1.6214272303593284E-2</v>
      </c>
      <c r="F66" s="37">
        <f>Yard!F$11*$B$47*LAFs!$I$43/LAFs!F$83*(1-Contrib!F$135)*F12/(24*Input!$F$60)*100</f>
        <v>0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0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4.4366439610384056E-2</v>
      </c>
      <c r="L66" s="37">
        <f>Yard!L$11*$B$47*LAFs!$I$43/LAFs!C$83*(1-Contrib!L$135)*C12/(24*Input!$F$60)*100</f>
        <v>9.967110580590631E-2</v>
      </c>
      <c r="M66" s="37">
        <f>Yard!M$11*$B$47*LAFs!$I$43/LAFs!D$83*(1-Contrib!M$135)*D12/(24*Input!$F$60)*100</f>
        <v>1.5371907355480975E-2</v>
      </c>
      <c r="N66" s="37">
        <f>Yard!N$11*$B$47*LAFs!$I$43/LAFs!E$83*(1-Contrib!N$135)*E12/(24*Input!$F$60)*100</f>
        <v>3.4306166676427649E-2</v>
      </c>
      <c r="O66" s="37">
        <f>Yard!O$11*$B$47*LAFs!$I$43/LAFs!F$83*(1-Contrib!O$135)*F12/(24*Input!$F$60)*100</f>
        <v>3.4048453898278708E-2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0.13156365275792972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211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0.14275147545055752</v>
      </c>
      <c r="D67" s="37">
        <f>Yard!D$11*$B$48*LAFs!$I$45/LAFs!D$83*(1-Contrib!D$137)*D13/(24*Input!$F$60)*100</f>
        <v>7.2652912241179405E-3</v>
      </c>
      <c r="E67" s="37">
        <f>Yard!E$11*$B$48*LAFs!$I$45/LAFs!E$83*(1-Contrib!E$137)*E13/(24*Input!$F$60)*100</f>
        <v>1.6214272303593284E-2</v>
      </c>
      <c r="F67" s="37">
        <f>Yard!F$11*$B$48*LAFs!$I$45/LAFs!F$83*(1-Contrib!F$137)*F13/(24*Input!$F$60)*100</f>
        <v>0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0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4.4366439610384056E-2</v>
      </c>
      <c r="L67" s="37">
        <f>Yard!L$11*$B$48*LAFs!$I$45/LAFs!C$83*(1-Contrib!L$137)*C13/(24*Input!$F$60)*100</f>
        <v>9.967110580590631E-2</v>
      </c>
      <c r="M67" s="37">
        <f>Yard!M$11*$B$48*LAFs!$I$45/LAFs!D$83*(1-Contrib!M$137)*D13/(24*Input!$F$60)*100</f>
        <v>1.5371907355480975E-2</v>
      </c>
      <c r="N67" s="37">
        <f>Yard!N$11*$B$48*LAFs!$I$45/LAFs!E$83*(1-Contrib!N$137)*E13/(24*Input!$F$60)*100</f>
        <v>3.4306166676427649E-2</v>
      </c>
      <c r="O67" s="37">
        <f>Yard!O$11*$B$48*LAFs!$I$45/LAFs!F$83*(1-Contrib!O$137)*F13/(24*Input!$F$60)*100</f>
        <v>3.4048453898278708E-2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0.13156365275792972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1089</v>
      </c>
    </row>
    <row r="70" spans="1:20" x14ac:dyDescent="0.25">
      <c r="A70" s="2" t="s">
        <v>381</v>
      </c>
    </row>
    <row r="71" spans="1:20" x14ac:dyDescent="0.25">
      <c r="A71" s="32" t="s">
        <v>1090</v>
      </c>
    </row>
    <row r="72" spans="1:20" x14ac:dyDescent="0.25">
      <c r="A72" s="32" t="s">
        <v>1078</v>
      </c>
    </row>
    <row r="73" spans="1:20" x14ac:dyDescent="0.25">
      <c r="A73" s="32" t="s">
        <v>870</v>
      </c>
    </row>
    <row r="74" spans="1:20" x14ac:dyDescent="0.25">
      <c r="A74" s="2" t="s">
        <v>728</v>
      </c>
    </row>
    <row r="76" spans="1:20" ht="30" x14ac:dyDescent="0.25">
      <c r="B76" s="15" t="s">
        <v>150</v>
      </c>
      <c r="C76" s="15" t="s">
        <v>335</v>
      </c>
      <c r="D76" s="15" t="s">
        <v>336</v>
      </c>
      <c r="E76" s="15" t="s">
        <v>337</v>
      </c>
      <c r="F76" s="15" t="s">
        <v>338</v>
      </c>
      <c r="G76" s="15" t="s">
        <v>339</v>
      </c>
      <c r="H76" s="15" t="s">
        <v>340</v>
      </c>
      <c r="I76" s="15" t="s">
        <v>341</v>
      </c>
      <c r="J76" s="15" t="s">
        <v>342</v>
      </c>
      <c r="K76" s="15" t="s">
        <v>323</v>
      </c>
      <c r="L76" s="15" t="s">
        <v>911</v>
      </c>
      <c r="M76" s="15" t="s">
        <v>912</v>
      </c>
      <c r="N76" s="15" t="s">
        <v>913</v>
      </c>
      <c r="O76" s="15" t="s">
        <v>914</v>
      </c>
      <c r="P76" s="15" t="s">
        <v>915</v>
      </c>
      <c r="Q76" s="15" t="s">
        <v>916</v>
      </c>
      <c r="R76" s="15" t="s">
        <v>917</v>
      </c>
      <c r="S76" s="15" t="s">
        <v>918</v>
      </c>
    </row>
    <row r="77" spans="1:20" x14ac:dyDescent="0.25">
      <c r="A77" s="4" t="s">
        <v>194</v>
      </c>
      <c r="B77" s="37">
        <f>B62*Input!B$390*Input!$E$60</f>
        <v>0</v>
      </c>
      <c r="C77" s="37">
        <f>C62*Input!C$390*Input!$E$60</f>
        <v>2.6708933506159421E-2</v>
      </c>
      <c r="D77" s="37">
        <f>D62*Input!D$390*Input!$E$60</f>
        <v>4.1192203909114732E-3</v>
      </c>
      <c r="E77" s="37">
        <f>E62*Input!E$390*Input!$E$60</f>
        <v>9.1930466427877309E-3</v>
      </c>
      <c r="F77" s="37">
        <f>F62*Input!F$390*Input!$E$60</f>
        <v>1.7335575633748656E-3</v>
      </c>
      <c r="G77" s="37">
        <f>G62*Input!G$390*Input!$E$60</f>
        <v>0</v>
      </c>
      <c r="H77" s="37">
        <f>H62*Input!H$390*Input!$E$60</f>
        <v>6.6984881599943579E-3</v>
      </c>
      <c r="I77" s="37">
        <f>I62*Input!I$390*Input!$E$60</f>
        <v>7.3417656694102669E-4</v>
      </c>
      <c r="J77" s="37">
        <f>J62*Input!J$390*Input!$E$60</f>
        <v>1.7209644939650899E-3</v>
      </c>
      <c r="K77" s="37">
        <f>K62*Input!B$390*Input!$E$60</f>
        <v>8.3010020156969039E-3</v>
      </c>
      <c r="L77" s="37">
        <f>L62*Input!C$390*Input!$E$60</f>
        <v>1.8648556374307755E-2</v>
      </c>
      <c r="M77" s="37">
        <f>M62*Input!D$390*Input!$E$60</f>
        <v>2.8760981287551425E-3</v>
      </c>
      <c r="N77" s="37">
        <f>N62*Input!E$390*Input!$E$60</f>
        <v>6.4187156155123956E-3</v>
      </c>
      <c r="O77" s="37">
        <f>O62*Input!F$390*Input!$E$60</f>
        <v>6.3704973156066148E-3</v>
      </c>
      <c r="P77" s="37">
        <f>P62*Input!G$390*Input!$E$60</f>
        <v>0</v>
      </c>
      <c r="Q77" s="37">
        <f>Q62*Input!H$390*Input!$E$60</f>
        <v>2.4615681499950953E-2</v>
      </c>
      <c r="R77" s="37">
        <f>R62*Input!I$390*Input!$E$60</f>
        <v>1.0252249940371489E-2</v>
      </c>
      <c r="S77" s="37">
        <f>S62*Input!J$390*Input!$E$60</f>
        <v>2.40320366041488E-2</v>
      </c>
      <c r="T77" s="17"/>
    </row>
    <row r="78" spans="1:20" x14ac:dyDescent="0.25">
      <c r="A78" s="4" t="s">
        <v>196</v>
      </c>
      <c r="B78" s="37">
        <f>B63*Input!B$390*Input!$E$60</f>
        <v>0</v>
      </c>
      <c r="C78" s="37">
        <f>C63*Input!C$390*Input!$E$60</f>
        <v>2.6708933506159421E-2</v>
      </c>
      <c r="D78" s="37">
        <f>D63*Input!D$390*Input!$E$60</f>
        <v>4.1192203909114732E-3</v>
      </c>
      <c r="E78" s="37">
        <f>E63*Input!E$390*Input!$E$60</f>
        <v>9.1930466427877309E-3</v>
      </c>
      <c r="F78" s="37">
        <f>F63*Input!F$390*Input!$E$60</f>
        <v>1.7335575633748656E-3</v>
      </c>
      <c r="G78" s="37">
        <f>G63*Input!G$390*Input!$E$60</f>
        <v>0</v>
      </c>
      <c r="H78" s="37">
        <f>H63*Input!H$390*Input!$E$60</f>
        <v>6.6984881599943579E-3</v>
      </c>
      <c r="I78" s="37">
        <f>I63*Input!I$390*Input!$E$60</f>
        <v>7.3417656694102669E-4</v>
      </c>
      <c r="J78" s="37">
        <f>J63*Input!J$390*Input!$E$60</f>
        <v>1.7209644939650899E-3</v>
      </c>
      <c r="K78" s="37">
        <f>K63*Input!B$390*Input!$E$60</f>
        <v>8.3010020156969039E-3</v>
      </c>
      <c r="L78" s="37">
        <f>L63*Input!C$390*Input!$E$60</f>
        <v>1.8648556374307755E-2</v>
      </c>
      <c r="M78" s="37">
        <f>M63*Input!D$390*Input!$E$60</f>
        <v>2.8760981287551425E-3</v>
      </c>
      <c r="N78" s="37">
        <f>N63*Input!E$390*Input!$E$60</f>
        <v>6.4187156155123956E-3</v>
      </c>
      <c r="O78" s="37">
        <f>O63*Input!F$390*Input!$E$60</f>
        <v>6.3704973156066148E-3</v>
      </c>
      <c r="P78" s="37">
        <f>P63*Input!G$390*Input!$E$60</f>
        <v>0</v>
      </c>
      <c r="Q78" s="37">
        <f>Q63*Input!H$390*Input!$E$60</f>
        <v>2.4615681499950953E-2</v>
      </c>
      <c r="R78" s="37">
        <f>R63*Input!I$390*Input!$E$60</f>
        <v>1.0252249940371489E-2</v>
      </c>
      <c r="S78" s="37">
        <f>S63*Input!J$390*Input!$E$60</f>
        <v>2.40320366041488E-2</v>
      </c>
      <c r="T78" s="17"/>
    </row>
    <row r="79" spans="1:20" x14ac:dyDescent="0.25">
      <c r="A79" s="4" t="s">
        <v>198</v>
      </c>
      <c r="B79" s="37">
        <f>B64*Input!B$390*Input!$E$60</f>
        <v>0</v>
      </c>
      <c r="C79" s="37">
        <f>C64*Input!C$390*Input!$E$60</f>
        <v>2.6381987992430536E-2</v>
      </c>
      <c r="D79" s="37">
        <f>D64*Input!D$390*Input!$E$60</f>
        <v>4.0687967891394868E-3</v>
      </c>
      <c r="E79" s="37">
        <f>E64*Input!E$390*Input!$E$60</f>
        <v>9.0805140567649083E-3</v>
      </c>
      <c r="F79" s="37">
        <f>F64*Input!F$390*Input!$E$60</f>
        <v>1.7123369905651924E-3</v>
      </c>
      <c r="G79" s="37">
        <f>G64*Input!G$390*Input!$E$60</f>
        <v>0</v>
      </c>
      <c r="H79" s="37">
        <f>H64*Input!H$390*Input!$E$60</f>
        <v>6.6164916005970629E-3</v>
      </c>
      <c r="I79" s="37">
        <f>I64*Input!I$390*Input!$E$60</f>
        <v>7.2518947148882931E-4</v>
      </c>
      <c r="J79" s="37">
        <f>J64*Input!J$390*Input!$E$60</f>
        <v>0</v>
      </c>
      <c r="K79" s="37">
        <f>K64*Input!B$390*Input!$E$60</f>
        <v>8.1993889966723629E-3</v>
      </c>
      <c r="L79" s="37">
        <f>L64*Input!C$390*Input!$E$60</f>
        <v>1.8420278377258788E-2</v>
      </c>
      <c r="M79" s="37">
        <f>M64*Input!D$390*Input!$E$60</f>
        <v>2.8408916544860113E-3</v>
      </c>
      <c r="N79" s="37">
        <f>N64*Input!E$390*Input!$E$60</f>
        <v>6.3401437671115829E-3</v>
      </c>
      <c r="O79" s="37">
        <f>O64*Input!F$390*Input!$E$60</f>
        <v>6.2925157100483416E-3</v>
      </c>
      <c r="P79" s="37">
        <f>P64*Input!G$390*Input!$E$60</f>
        <v>0</v>
      </c>
      <c r="Q79" s="37">
        <f>Q64*Input!H$390*Input!$E$60</f>
        <v>2.4314359598350797E-2</v>
      </c>
      <c r="R79" s="37">
        <f>R64*Input!I$390*Input!$E$60</f>
        <v>1.012675158893568E-2</v>
      </c>
      <c r="S79" s="37">
        <f>S64*Input!J$390*Input!$E$60</f>
        <v>0</v>
      </c>
      <c r="T79" s="17"/>
    </row>
    <row r="80" spans="1:20" x14ac:dyDescent="0.25">
      <c r="A80" s="4" t="s">
        <v>200</v>
      </c>
      <c r="B80" s="37">
        <f>B65*Input!B$390*Input!$E$60</f>
        <v>0</v>
      </c>
      <c r="C80" s="37">
        <f>C65*Input!C$390*Input!$E$60</f>
        <v>2.6381987992430536E-2</v>
      </c>
      <c r="D80" s="37">
        <f>D65*Input!D$390*Input!$E$60</f>
        <v>4.0687967891394868E-3</v>
      </c>
      <c r="E80" s="37">
        <f>E65*Input!E$390*Input!$E$60</f>
        <v>9.0805140567649083E-3</v>
      </c>
      <c r="F80" s="37">
        <f>F65*Input!F$390*Input!$E$60</f>
        <v>1.7123369905651924E-3</v>
      </c>
      <c r="G80" s="37">
        <f>G65*Input!G$390*Input!$E$60</f>
        <v>0</v>
      </c>
      <c r="H80" s="37">
        <f>H65*Input!H$390*Input!$E$60</f>
        <v>6.6164916005970629E-3</v>
      </c>
      <c r="I80" s="37">
        <f>I65*Input!I$390*Input!$E$60</f>
        <v>7.2518947148882931E-4</v>
      </c>
      <c r="J80" s="37">
        <f>J65*Input!J$390*Input!$E$60</f>
        <v>0</v>
      </c>
      <c r="K80" s="37">
        <f>K65*Input!B$390*Input!$E$60</f>
        <v>8.1993889966723629E-3</v>
      </c>
      <c r="L80" s="37">
        <f>L65*Input!C$390*Input!$E$60</f>
        <v>1.8420278377258788E-2</v>
      </c>
      <c r="M80" s="37">
        <f>M65*Input!D$390*Input!$E$60</f>
        <v>2.8408916544860113E-3</v>
      </c>
      <c r="N80" s="37">
        <f>N65*Input!E$390*Input!$E$60</f>
        <v>6.3401437671115829E-3</v>
      </c>
      <c r="O80" s="37">
        <f>O65*Input!F$390*Input!$E$60</f>
        <v>6.2925157100483416E-3</v>
      </c>
      <c r="P80" s="37">
        <f>P65*Input!G$390*Input!$E$60</f>
        <v>0</v>
      </c>
      <c r="Q80" s="37">
        <f>Q65*Input!H$390*Input!$E$60</f>
        <v>2.4314359598350797E-2</v>
      </c>
      <c r="R80" s="37">
        <f>R65*Input!I$390*Input!$E$60</f>
        <v>1.012675158893568E-2</v>
      </c>
      <c r="S80" s="37">
        <f>S65*Input!J$390*Input!$E$60</f>
        <v>0</v>
      </c>
      <c r="T80" s="17"/>
    </row>
    <row r="81" spans="1:20" x14ac:dyDescent="0.25">
      <c r="A81" s="4" t="s">
        <v>209</v>
      </c>
      <c r="B81" s="37">
        <f>B66*Input!B$390*Input!$E$60</f>
        <v>0</v>
      </c>
      <c r="C81" s="37">
        <f>C66*Input!C$390*Input!$E$60</f>
        <v>2.6105341788506094E-2</v>
      </c>
      <c r="D81" s="37">
        <f>D66*Input!D$390*Input!$E$60</f>
        <v>1.3286231193058533E-3</v>
      </c>
      <c r="E81" s="37">
        <f>E66*Input!E$390*Input!$E$60</f>
        <v>2.9651470781737383E-3</v>
      </c>
      <c r="F81" s="37">
        <f>F66*Input!F$390*Input!$E$60</f>
        <v>0</v>
      </c>
      <c r="G81" s="37">
        <f>G66*Input!G$390*Input!$E$60</f>
        <v>0</v>
      </c>
      <c r="H81" s="37">
        <f>H66*Input!H$390*Input!$E$60</f>
        <v>0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8.1134087498054477E-3</v>
      </c>
      <c r="L81" s="37">
        <f>L66*Input!C$390*Input!$E$60</f>
        <v>1.8227120072063511E-2</v>
      </c>
      <c r="M81" s="37">
        <f>M66*Input!D$390*Input!$E$60</f>
        <v>2.8111015608736703E-3</v>
      </c>
      <c r="N81" s="37">
        <f>N66*Input!E$390*Input!$E$60</f>
        <v>6.2736598953878221E-3</v>
      </c>
      <c r="O81" s="37">
        <f>O66*Input!F$390*Input!$E$60</f>
        <v>6.226531274575957E-3</v>
      </c>
      <c r="P81" s="37">
        <f>P66*Input!G$390*Input!$E$60</f>
        <v>0</v>
      </c>
      <c r="Q81" s="37">
        <f>Q66*Input!H$390*Input!$E$60</f>
        <v>2.4059394912381443E-2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211</v>
      </c>
      <c r="B82" s="37">
        <f>B67*Input!B$390*Input!$E$60</f>
        <v>0</v>
      </c>
      <c r="C82" s="37">
        <f>C67*Input!C$390*Input!$E$60</f>
        <v>2.6105341788506094E-2</v>
      </c>
      <c r="D82" s="37">
        <f>D67*Input!D$390*Input!$E$60</f>
        <v>1.3286231193058533E-3</v>
      </c>
      <c r="E82" s="37">
        <f>E67*Input!E$390*Input!$E$60</f>
        <v>2.9651470781737383E-3</v>
      </c>
      <c r="F82" s="37">
        <f>F67*Input!F$390*Input!$E$60</f>
        <v>0</v>
      </c>
      <c r="G82" s="37">
        <f>G67*Input!G$390*Input!$E$60</f>
        <v>0</v>
      </c>
      <c r="H82" s="37">
        <f>H67*Input!H$390*Input!$E$60</f>
        <v>0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8.1134087498054477E-3</v>
      </c>
      <c r="L82" s="37">
        <f>L67*Input!C$390*Input!$E$60</f>
        <v>1.8227120072063511E-2</v>
      </c>
      <c r="M82" s="37">
        <f>M67*Input!D$390*Input!$E$60</f>
        <v>2.8111015608736703E-3</v>
      </c>
      <c r="N82" s="37">
        <f>N67*Input!E$390*Input!$E$60</f>
        <v>6.2736598953878221E-3</v>
      </c>
      <c r="O82" s="37">
        <f>O67*Input!F$390*Input!$E$60</f>
        <v>6.226531274575957E-3</v>
      </c>
      <c r="P82" s="37">
        <f>P67*Input!G$390*Input!$E$60</f>
        <v>0</v>
      </c>
      <c r="Q82" s="37">
        <f>Q67*Input!H$390*Input!$E$60</f>
        <v>2.4059394912381443E-2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South West in April 19 (no data version)</v>
      </c>
    </row>
    <row r="2" spans="1:24" x14ac:dyDescent="0.25">
      <c r="A2" s="2" t="s">
        <v>1091</v>
      </c>
    </row>
    <row r="4" spans="1:24" ht="21" customHeight="1" x14ac:dyDescent="0.3">
      <c r="A4" s="1" t="s">
        <v>1092</v>
      </c>
    </row>
    <row r="5" spans="1:24" x14ac:dyDescent="0.25">
      <c r="A5" s="2" t="s">
        <v>381</v>
      </c>
    </row>
    <row r="6" spans="1:24" x14ac:dyDescent="0.25">
      <c r="A6" s="32" t="s">
        <v>1093</v>
      </c>
    </row>
    <row r="7" spans="1:24" x14ac:dyDescent="0.25">
      <c r="A7" s="32" t="s">
        <v>1094</v>
      </c>
    </row>
    <row r="8" spans="1:24" x14ac:dyDescent="0.25">
      <c r="A8" s="32" t="s">
        <v>1095</v>
      </c>
    </row>
    <row r="9" spans="1:24" x14ac:dyDescent="0.25">
      <c r="A9" s="32" t="s">
        <v>1096</v>
      </c>
    </row>
    <row r="10" spans="1:24" x14ac:dyDescent="0.25">
      <c r="A10" s="32" t="s">
        <v>1097</v>
      </c>
    </row>
    <row r="11" spans="1:24" x14ac:dyDescent="0.25">
      <c r="A11" s="32" t="s">
        <v>1098</v>
      </c>
    </row>
    <row r="12" spans="1:24" x14ac:dyDescent="0.25">
      <c r="A12" s="2" t="s">
        <v>416</v>
      </c>
    </row>
    <row r="14" spans="1:24" ht="30" x14ac:dyDescent="0.25">
      <c r="B14" s="15" t="s">
        <v>150</v>
      </c>
      <c r="C14" s="15" t="s">
        <v>335</v>
      </c>
      <c r="D14" s="15" t="s">
        <v>336</v>
      </c>
      <c r="E14" s="15" t="s">
        <v>337</v>
      </c>
      <c r="F14" s="15" t="s">
        <v>338</v>
      </c>
      <c r="G14" s="15" t="s">
        <v>339</v>
      </c>
      <c r="H14" s="15" t="s">
        <v>340</v>
      </c>
      <c r="I14" s="15" t="s">
        <v>341</v>
      </c>
      <c r="J14" s="15" t="s">
        <v>342</v>
      </c>
      <c r="K14" s="15" t="s">
        <v>493</v>
      </c>
      <c r="L14" s="15" t="s">
        <v>505</v>
      </c>
      <c r="M14" s="15" t="s">
        <v>323</v>
      </c>
      <c r="N14" s="15" t="s">
        <v>911</v>
      </c>
      <c r="O14" s="15" t="s">
        <v>912</v>
      </c>
      <c r="P14" s="15" t="s">
        <v>913</v>
      </c>
      <c r="Q14" s="15" t="s">
        <v>914</v>
      </c>
      <c r="R14" s="15" t="s">
        <v>915</v>
      </c>
      <c r="S14" s="15" t="s">
        <v>916</v>
      </c>
      <c r="T14" s="15" t="s">
        <v>917</v>
      </c>
      <c r="U14" s="15" t="s">
        <v>918</v>
      </c>
      <c r="V14" s="15" t="s">
        <v>919</v>
      </c>
      <c r="W14" s="15" t="s">
        <v>920</v>
      </c>
    </row>
    <row r="15" spans="1:24" x14ac:dyDescent="0.25">
      <c r="A15" s="4" t="s">
        <v>182</v>
      </c>
      <c r="B15" s="38">
        <f>Standing!$B$79</f>
        <v>0</v>
      </c>
      <c r="C15" s="38">
        <f>Standing!$C$79</f>
        <v>0.31164758426320643</v>
      </c>
      <c r="D15" s="38">
        <f>Standing!$D$79</f>
        <v>4.8064258484123067E-2</v>
      </c>
      <c r="E15" s="38">
        <f>Standing!$E$79</f>
        <v>0.10027897427643628</v>
      </c>
      <c r="F15" s="38">
        <f>Standing!$F$79</f>
        <v>1.8909876242254552E-2</v>
      </c>
      <c r="G15" s="38">
        <f>Standing!$G$79</f>
        <v>0</v>
      </c>
      <c r="H15" s="38">
        <f>Standing!$H$79</f>
        <v>7.3067998889581737E-2</v>
      </c>
      <c r="I15" s="38">
        <f>Standing!$I$79</f>
        <v>8.0084955435748735E-3</v>
      </c>
      <c r="J15" s="38">
        <f>Standing!$J$79</f>
        <v>0</v>
      </c>
      <c r="K15" s="10"/>
      <c r="L15" s="10"/>
      <c r="M15" s="38">
        <f>Standing!$K$79</f>
        <v>0.10000843429932009</v>
      </c>
      <c r="N15" s="38">
        <f>Standing!$L$79</f>
        <v>0.2175967656181016</v>
      </c>
      <c r="O15" s="38">
        <f>Standing!$M$79</f>
        <v>3.3559147306415807E-2</v>
      </c>
      <c r="P15" s="38">
        <f>Standing!$N$79</f>
        <v>7.0016202800483221E-2</v>
      </c>
      <c r="Q15" s="38">
        <f>Standing!$O$79</f>
        <v>6.9490231178257353E-2</v>
      </c>
      <c r="R15" s="38">
        <f>Standing!$P$79</f>
        <v>0</v>
      </c>
      <c r="S15" s="38">
        <f>Standing!$Q$79</f>
        <v>0.268511124532051</v>
      </c>
      <c r="T15" s="38">
        <f>Standing!$R$79</f>
        <v>0.11183290458475775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183</v>
      </c>
      <c r="B16" s="38">
        <f>Standing!$B$80</f>
        <v>0</v>
      </c>
      <c r="C16" s="38">
        <f>Standing!$C$80</f>
        <v>0.37163931550563578</v>
      </c>
      <c r="D16" s="38">
        <f>Standing!$D$80</f>
        <v>5.7316562121140495E-2</v>
      </c>
      <c r="E16" s="38">
        <f>Standing!$E$80</f>
        <v>0.11773244254627918</v>
      </c>
      <c r="F16" s="38">
        <f>Standing!$F$80</f>
        <v>2.220112375811991E-2</v>
      </c>
      <c r="G16" s="38">
        <f>Standing!$G$80</f>
        <v>0</v>
      </c>
      <c r="H16" s="38">
        <f>Standing!$H$80</f>
        <v>8.5785420556108521E-2</v>
      </c>
      <c r="I16" s="38">
        <f>Standing!$I$80</f>
        <v>9.4023672287164243E-3</v>
      </c>
      <c r="J16" s="38">
        <f>Standing!$J$80</f>
        <v>0</v>
      </c>
      <c r="K16" s="10"/>
      <c r="L16" s="10"/>
      <c r="M16" s="38">
        <f>Standing!$K$80</f>
        <v>0.12034503342403396</v>
      </c>
      <c r="N16" s="38">
        <f>Standing!$L$80</f>
        <v>0.2594838436554468</v>
      </c>
      <c r="O16" s="38">
        <f>Standing!$M$80</f>
        <v>4.001923699615733E-2</v>
      </c>
      <c r="P16" s="38">
        <f>Standing!$N$80</f>
        <v>8.2202462011555677E-2</v>
      </c>
      <c r="Q16" s="38">
        <f>Standing!$O$80</f>
        <v>8.158494548586831E-2</v>
      </c>
      <c r="R16" s="38">
        <f>Standing!$P$80</f>
        <v>0</v>
      </c>
      <c r="S16" s="38">
        <f>Standing!$Q$80</f>
        <v>0.31524525225857702</v>
      </c>
      <c r="T16" s="38">
        <f>Standing!$R$80</f>
        <v>0.13129732437742303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228</v>
      </c>
      <c r="B17" s="38">
        <f>Standing!$B$81</f>
        <v>0</v>
      </c>
      <c r="C17" s="38">
        <f>Standing!$C$81</f>
        <v>1.4142086506262216E-2</v>
      </c>
      <c r="D17" s="38">
        <f>Standing!$D$81</f>
        <v>2.1810818875712549E-3</v>
      </c>
      <c r="E17" s="38">
        <f>Standing!$E$81</f>
        <v>1.0782010689689658E-2</v>
      </c>
      <c r="F17" s="38">
        <f>Standing!$F$81</f>
        <v>2.0331927929642443E-3</v>
      </c>
      <c r="G17" s="38">
        <f>Standing!$G$81</f>
        <v>0</v>
      </c>
      <c r="H17" s="38">
        <f>Standing!$H$81</f>
        <v>7.8562824439143211E-3</v>
      </c>
      <c r="I17" s="38">
        <f>Standing!$I$81</f>
        <v>8.6107466876480002E-4</v>
      </c>
      <c r="J17" s="38">
        <f>Standing!$J$81</f>
        <v>0</v>
      </c>
      <c r="K17" s="10"/>
      <c r="L17" s="10"/>
      <c r="M17" s="38">
        <f>Standing!$K$81</f>
        <v>1.0240571852856504E-3</v>
      </c>
      <c r="N17" s="38">
        <f>Standing!$L$81</f>
        <v>9.87420547516615E-3</v>
      </c>
      <c r="O17" s="38">
        <f>Standing!$M$81</f>
        <v>1.522862323498397E-3</v>
      </c>
      <c r="P17" s="38">
        <f>Standing!$N$81</f>
        <v>7.5281528604913177E-3</v>
      </c>
      <c r="Q17" s="38">
        <f>Standing!$O$81</f>
        <v>7.4716003110238752E-3</v>
      </c>
      <c r="R17" s="38">
        <f>Standing!$P$81</f>
        <v>0</v>
      </c>
      <c r="S17" s="38">
        <f>Standing!$Q$81</f>
        <v>2.887035727972596E-2</v>
      </c>
      <c r="T17" s="38">
        <f>Standing!$R$81</f>
        <v>1.2024291047971343E-2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184</v>
      </c>
      <c r="B18" s="38">
        <f>Standing!$B$82</f>
        <v>0</v>
      </c>
      <c r="C18" s="38">
        <f>Standing!$C$82</f>
        <v>0.24723878685871525</v>
      </c>
      <c r="D18" s="38">
        <f>Standing!$D$82</f>
        <v>3.8130727010038508E-2</v>
      </c>
      <c r="E18" s="38">
        <f>Standing!$E$82</f>
        <v>9.0585046551459519E-2</v>
      </c>
      <c r="F18" s="38">
        <f>Standing!$F$82</f>
        <v>1.7081866184280266E-2</v>
      </c>
      <c r="G18" s="38">
        <f>Standing!$G$82</f>
        <v>0</v>
      </c>
      <c r="H18" s="38">
        <f>Standing!$H$82</f>
        <v>6.6004545106222404E-2</v>
      </c>
      <c r="I18" s="38">
        <f>Standing!$I$82</f>
        <v>7.2343175312310059E-3</v>
      </c>
      <c r="J18" s="38">
        <f>Standing!$J$82</f>
        <v>0</v>
      </c>
      <c r="K18" s="10"/>
      <c r="L18" s="10"/>
      <c r="M18" s="38">
        <f>Standing!$K$82</f>
        <v>7.560122174243758E-2</v>
      </c>
      <c r="N18" s="38">
        <f>Standing!$L$82</f>
        <v>0.17262562930814654</v>
      </c>
      <c r="O18" s="38">
        <f>Standing!$M$82</f>
        <v>2.6623414674197224E-2</v>
      </c>
      <c r="P18" s="38">
        <f>Standing!$N$82</f>
        <v>6.3247764905873749E-2</v>
      </c>
      <c r="Q18" s="38">
        <f>Standing!$O$82</f>
        <v>6.2772638746797421E-2</v>
      </c>
      <c r="R18" s="38">
        <f>Standing!$P$82</f>
        <v>0</v>
      </c>
      <c r="S18" s="38">
        <f>Standing!$Q$82</f>
        <v>0.24255426315261047</v>
      </c>
      <c r="T18" s="38">
        <f>Standing!$R$82</f>
        <v>0.10102206310835458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185</v>
      </c>
      <c r="B19" s="38">
        <f>Standing!$B$83</f>
        <v>0</v>
      </c>
      <c r="C19" s="38">
        <f>Standing!$C$83</f>
        <v>0.28973332131242335</v>
      </c>
      <c r="D19" s="38">
        <f>Standing!$D$83</f>
        <v>4.4684502464368697E-2</v>
      </c>
      <c r="E19" s="38">
        <f>Standing!$E$83</f>
        <v>0.1007513728518955</v>
      </c>
      <c r="F19" s="38">
        <f>Standing!$F$83</f>
        <v>1.8998957713853234E-2</v>
      </c>
      <c r="G19" s="38">
        <f>Standing!$G$83</f>
        <v>0</v>
      </c>
      <c r="H19" s="38">
        <f>Standing!$H$83</f>
        <v>7.3412210812730666E-2</v>
      </c>
      <c r="I19" s="38">
        <f>Standing!$I$83</f>
        <v>8.0462223144523587E-3</v>
      </c>
      <c r="J19" s="38">
        <f>Standing!$J$83</f>
        <v>0</v>
      </c>
      <c r="K19" s="10"/>
      <c r="L19" s="10"/>
      <c r="M19" s="38">
        <f>Standing!$K$83</f>
        <v>9.0836667849616137E-2</v>
      </c>
      <c r="N19" s="38">
        <f>Standing!$L$83</f>
        <v>0.20229591626202989</v>
      </c>
      <c r="O19" s="38">
        <f>Standing!$M$83</f>
        <v>3.1199353694616957E-2</v>
      </c>
      <c r="P19" s="38">
        <f>Standing!$N$83</f>
        <v>7.0346038189214199E-2</v>
      </c>
      <c r="Q19" s="38">
        <f>Standing!$O$83</f>
        <v>6.9817588796878854E-2</v>
      </c>
      <c r="R19" s="38">
        <f>Standing!$P$83</f>
        <v>0</v>
      </c>
      <c r="S19" s="38">
        <f>Standing!$Q$83</f>
        <v>0.26977603847477072</v>
      </c>
      <c r="T19" s="38">
        <f>Standing!$R$83</f>
        <v>0.11235973192016378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229</v>
      </c>
      <c r="B20" s="38">
        <f>Standing!$B$84</f>
        <v>0</v>
      </c>
      <c r="C20" s="38">
        <f>Standing!$C$84</f>
        <v>1.5912490937114734E-2</v>
      </c>
      <c r="D20" s="38">
        <f>Standing!$D$84</f>
        <v>2.4541248389135812E-3</v>
      </c>
      <c r="E20" s="38">
        <f>Standing!$E$84</f>
        <v>1.1383734919636413E-2</v>
      </c>
      <c r="F20" s="38">
        <f>Standing!$F$84</f>
        <v>2.1466615515186764E-3</v>
      </c>
      <c r="G20" s="38">
        <f>Standing!$G$84</f>
        <v>0</v>
      </c>
      <c r="H20" s="38">
        <f>Standing!$H$84</f>
        <v>8.2947271496248316E-3</v>
      </c>
      <c r="I20" s="38">
        <f>Standing!$I$84</f>
        <v>9.0912966582435773E-4</v>
      </c>
      <c r="J20" s="38">
        <f>Standing!$J$84</f>
        <v>0</v>
      </c>
      <c r="K20" s="10"/>
      <c r="L20" s="10"/>
      <c r="M20" s="38">
        <f>Standing!$K$84</f>
        <v>1.6283111626838145E-3</v>
      </c>
      <c r="N20" s="38">
        <f>Standing!$L$84</f>
        <v>1.1110326970862098E-2</v>
      </c>
      <c r="O20" s="38">
        <f>Standing!$M$84</f>
        <v>1.7135047866106169E-3</v>
      </c>
      <c r="P20" s="38">
        <f>Standing!$N$84</f>
        <v>7.9482852563191476E-3</v>
      </c>
      <c r="Q20" s="38">
        <f>Standing!$O$84</f>
        <v>7.8885766128485354E-3</v>
      </c>
      <c r="R20" s="38">
        <f>Standing!$P$84</f>
        <v>0</v>
      </c>
      <c r="S20" s="38">
        <f>Standing!$Q$84</f>
        <v>3.0481558937969805E-2</v>
      </c>
      <c r="T20" s="38">
        <f>Standing!$R$84</f>
        <v>1.2695344664938636E-2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186</v>
      </c>
      <c r="B21" s="38">
        <f>Standing!$B$85</f>
        <v>0</v>
      </c>
      <c r="C21" s="38">
        <f>Standing!$C$85</f>
        <v>0.26169945395769456</v>
      </c>
      <c r="D21" s="38">
        <f>Standing!$D$85</f>
        <v>4.0360942408439252E-2</v>
      </c>
      <c r="E21" s="38">
        <f>Standing!$E$85</f>
        <v>9.0568423187629463E-2</v>
      </c>
      <c r="F21" s="38">
        <f>Standing!$F$85</f>
        <v>1.7078731471794176E-2</v>
      </c>
      <c r="G21" s="38">
        <f>Standing!$G$85</f>
        <v>0</v>
      </c>
      <c r="H21" s="38">
        <f>Standing!$H$85</f>
        <v>6.5992432537873555E-2</v>
      </c>
      <c r="I21" s="38">
        <f>Standing!$I$85</f>
        <v>7.2329899534799092E-3</v>
      </c>
      <c r="J21" s="38">
        <f>Standing!$J$85</f>
        <v>0</v>
      </c>
      <c r="K21" s="10"/>
      <c r="L21" s="10"/>
      <c r="M21" s="38">
        <f>Standing!$K$85</f>
        <v>8.2183314217517303E-2</v>
      </c>
      <c r="N21" s="38">
        <f>Standing!$L$85</f>
        <v>0.1827222722738128</v>
      </c>
      <c r="O21" s="38">
        <f>Standing!$M$85</f>
        <v>2.818058271216228E-2</v>
      </c>
      <c r="P21" s="38">
        <f>Standing!$N$85</f>
        <v>6.3236158237361742E-2</v>
      </c>
      <c r="Q21" s="38">
        <f>Standing!$O$85</f>
        <v>6.2761119269221538E-2</v>
      </c>
      <c r="R21" s="38">
        <f>Standing!$P$85</f>
        <v>0</v>
      </c>
      <c r="S21" s="38">
        <f>Standing!$Q$85</f>
        <v>0.24250975174682757</v>
      </c>
      <c r="T21" s="38">
        <f>Standing!$R$85</f>
        <v>0.10100352443587117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187</v>
      </c>
      <c r="B22" s="38">
        <f>Standing!$B$86</f>
        <v>0</v>
      </c>
      <c r="C22" s="38">
        <f>Standing!$C$86</f>
        <v>0.25171409984599269</v>
      </c>
      <c r="D22" s="38">
        <f>Standing!$D$86</f>
        <v>3.882093804031618E-2</v>
      </c>
      <c r="E22" s="38">
        <f>Standing!$E$86</f>
        <v>8.7244326964689978E-2</v>
      </c>
      <c r="F22" s="38">
        <f>Standing!$F$86</f>
        <v>1.645189769485653E-2</v>
      </c>
      <c r="G22" s="38">
        <f>Standing!$G$86</f>
        <v>0</v>
      </c>
      <c r="H22" s="38">
        <f>Standing!$H$86</f>
        <v>6.3570338964628062E-2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7.8995016091689851E-2</v>
      </c>
      <c r="N22" s="38">
        <f>Standing!$L$86</f>
        <v>0.17575035634064554</v>
      </c>
      <c r="O22" s="38">
        <f>Standing!$M$86</f>
        <v>2.7105329809645581E-2</v>
      </c>
      <c r="P22" s="38">
        <f>Standing!$N$86</f>
        <v>6.0915227085512676E-2</v>
      </c>
      <c r="Q22" s="38">
        <f>Standing!$O$86</f>
        <v>6.0457623280580186E-2</v>
      </c>
      <c r="R22" s="38">
        <f>Standing!$P$86</f>
        <v>0</v>
      </c>
      <c r="S22" s="38">
        <f>Standing!$Q$86</f>
        <v>0.23360901436579154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207</v>
      </c>
      <c r="B23" s="38">
        <f>Standing!$B$87</f>
        <v>0</v>
      </c>
      <c r="C23" s="38">
        <f>Standing!$C$87</f>
        <v>0.28806955778232585</v>
      </c>
      <c r="D23" s="38">
        <f>Standing!$D$87</f>
        <v>1.4661209094237024E-2</v>
      </c>
      <c r="E23" s="38">
        <f>Standing!$E$87</f>
        <v>2.680762949452356E-2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8.9894109063946945E-2</v>
      </c>
      <c r="N23" s="38">
        <f>Standing!$L$87</f>
        <v>0.2011342529564776</v>
      </c>
      <c r="O23" s="38">
        <f>Standing!$M$87</f>
        <v>3.1020194643788468E-2</v>
      </c>
      <c r="P23" s="38">
        <f>Standing!$N$87</f>
        <v>5.6719597920853564E-2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188</v>
      </c>
      <c r="B24" s="38">
        <f>Standing!$B$88</f>
        <v>0</v>
      </c>
      <c r="C24" s="38">
        <f>Standing!$C$88</f>
        <v>3.2226242218785006</v>
      </c>
      <c r="D24" s="38">
        <f>Standing!$D$88</f>
        <v>0.49701345821037085</v>
      </c>
      <c r="E24" s="38">
        <f>Standing!$E$88</f>
        <v>0.7883447941571351</v>
      </c>
      <c r="F24" s="38">
        <f>Standing!$F$88</f>
        <v>0.14866030093847957</v>
      </c>
      <c r="G24" s="38">
        <f>Standing!$G$88</f>
        <v>0</v>
      </c>
      <c r="H24" s="38">
        <f>Standing!$H$88</f>
        <v>0.57442526670934135</v>
      </c>
      <c r="I24" s="38">
        <f>Standing!$I$88</f>
        <v>6.2958918520683499E-2</v>
      </c>
      <c r="J24" s="38">
        <f>Standing!$J$88</f>
        <v>0</v>
      </c>
      <c r="K24" s="10"/>
      <c r="L24" s="10"/>
      <c r="M24" s="38">
        <f>Standing!$K$88</f>
        <v>1.1278988857721326</v>
      </c>
      <c r="N24" s="38">
        <f>Standing!$L$88</f>
        <v>2.2500819608185281</v>
      </c>
      <c r="O24" s="38">
        <f>Standing!$M$88</f>
        <v>0.34702184915351642</v>
      </c>
      <c r="P24" s="38">
        <f>Standing!$N$88</f>
        <v>0.550433521909103</v>
      </c>
      <c r="Q24" s="38">
        <f>Standing!$O$88</f>
        <v>0.54629858741014115</v>
      </c>
      <c r="R24" s="38">
        <f>Standing!$P$88</f>
        <v>0</v>
      </c>
      <c r="S24" s="38">
        <f>Standing!$Q$88</f>
        <v>2.1109045911717246</v>
      </c>
      <c r="T24" s="38">
        <f>Standing!$R$88</f>
        <v>0.87917620598939505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189</v>
      </c>
      <c r="B25" s="38">
        <f>Standing!$B$89</f>
        <v>0</v>
      </c>
      <c r="C25" s="38">
        <f>Standing!$C$89</f>
        <v>3.3481295358974248</v>
      </c>
      <c r="D25" s="38">
        <f>Standing!$D$89</f>
        <v>0.51636968029820818</v>
      </c>
      <c r="E25" s="38">
        <f>Standing!$E$89</f>
        <v>0.81980317628743893</v>
      </c>
      <c r="F25" s="38">
        <f>Standing!$F$89</f>
        <v>0.15459249277787473</v>
      </c>
      <c r="G25" s="38">
        <f>Standing!$G$89</f>
        <v>0</v>
      </c>
      <c r="H25" s="38">
        <f>Standing!$H$89</f>
        <v>0.59734733035379572</v>
      </c>
      <c r="I25" s="38">
        <f>Standing!$I$89</f>
        <v>6.5471252885054967E-2</v>
      </c>
      <c r="J25" s="38">
        <f>Standing!$J$89</f>
        <v>0</v>
      </c>
      <c r="K25" s="10"/>
      <c r="L25" s="10"/>
      <c r="M25" s="38">
        <f>Standing!$K$89</f>
        <v>1.1715330584212538</v>
      </c>
      <c r="N25" s="38">
        <f>Standing!$L$89</f>
        <v>2.3377115519894884</v>
      </c>
      <c r="O25" s="38">
        <f>Standing!$M$89</f>
        <v>0.36053663808042774</v>
      </c>
      <c r="P25" s="38">
        <f>Standing!$N$89</f>
        <v>0.57239821070756058</v>
      </c>
      <c r="Q25" s="38">
        <f>Standing!$O$89</f>
        <v>0.56809827435849924</v>
      </c>
      <c r="R25" s="38">
        <f>Standing!$P$89</f>
        <v>0</v>
      </c>
      <c r="S25" s="38">
        <f>Standing!$Q$89</f>
        <v>2.1951388548617525</v>
      </c>
      <c r="T25" s="38">
        <f>Standing!$R$89</f>
        <v>0.91425915605498809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190</v>
      </c>
      <c r="B26" s="38">
        <f>Standing!$B$90</f>
        <v>0</v>
      </c>
      <c r="C26" s="38">
        <f>Standing!$C$90</f>
        <v>2.5293681216061734</v>
      </c>
      <c r="D26" s="38">
        <f>Standing!$D$90</f>
        <v>0.39009512454845274</v>
      </c>
      <c r="E26" s="38">
        <f>Standing!$E$90</f>
        <v>0.61895258065830272</v>
      </c>
      <c r="F26" s="38">
        <f>Standing!$F$90</f>
        <v>0.11671755504606199</v>
      </c>
      <c r="G26" s="38">
        <f>Standing!$G$90</f>
        <v>0</v>
      </c>
      <c r="H26" s="38">
        <f>Standing!$H$90</f>
        <v>0.36079847686971656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0.88509521040756756</v>
      </c>
      <c r="N26" s="38">
        <f>Standing!$L$90</f>
        <v>1.7660407142902896</v>
      </c>
      <c r="O26" s="38">
        <f>Standing!$M$90</f>
        <v>0.27236995141744558</v>
      </c>
      <c r="P26" s="38">
        <f>Standing!$N$90</f>
        <v>0.43216147476527905</v>
      </c>
      <c r="Q26" s="38">
        <f>Standing!$O$90</f>
        <v>0.42891501661910475</v>
      </c>
      <c r="R26" s="38">
        <f>Standing!$P$90</f>
        <v>0</v>
      </c>
      <c r="S26" s="38">
        <f>Standing!$Q$90</f>
        <v>1.3258664015164647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191</v>
      </c>
      <c r="B27" s="38">
        <f>Standing!$B$91</f>
        <v>0</v>
      </c>
      <c r="C27" s="38">
        <f>Standing!$C$91</f>
        <v>2.4238075723610191</v>
      </c>
      <c r="D27" s="38">
        <f>Standing!$D$91</f>
        <v>0.3738149100342274</v>
      </c>
      <c r="E27" s="38">
        <f>Standing!$E$91</f>
        <v>0.59312123811354645</v>
      </c>
      <c r="F27" s="38">
        <f>Standing!$F$91</f>
        <v>0.11184646921558587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0.84815668186884752</v>
      </c>
      <c r="N27" s="38">
        <f>Standing!$L$91</f>
        <v>1.692336840900992</v>
      </c>
      <c r="O27" s="38">
        <f>Standing!$M$91</f>
        <v>0.26100287462703992</v>
      </c>
      <c r="P27" s="38">
        <f>Standing!$N$91</f>
        <v>0.4141256648532563</v>
      </c>
      <c r="Q27" s="38">
        <f>Standing!$O$91</f>
        <v>0.41101469426307846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208</v>
      </c>
      <c r="B28" s="38">
        <f>Standing!$B$92</f>
        <v>0</v>
      </c>
      <c r="C28" s="38">
        <f>Standing!$C$92</f>
        <v>2.2450361463288027</v>
      </c>
      <c r="D28" s="38">
        <f>Standing!$D$92</f>
        <v>0.11426040508701799</v>
      </c>
      <c r="E28" s="38">
        <f>Standing!$E$92</f>
        <v>0.14503492742194204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0.78559966156514882</v>
      </c>
      <c r="N28" s="38">
        <f>Standing!$L$92</f>
        <v>1.5675160944751436</v>
      </c>
      <c r="O28" s="38">
        <f>Standing!$M$92</f>
        <v>0.24175223087641717</v>
      </c>
      <c r="P28" s="38">
        <f>Standing!$N$92</f>
        <v>0.30686498295320219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230</v>
      </c>
      <c r="B29" s="38">
        <f>Yard!$B$81</f>
        <v>0</v>
      </c>
      <c r="C29" s="38">
        <f>Yard!$C$81</f>
        <v>0.16020622074974469</v>
      </c>
      <c r="D29" s="38">
        <f>Yard!$D$81</f>
        <v>2.4708015058370874E-2</v>
      </c>
      <c r="E29" s="38">
        <f>Yard!$E$81</f>
        <v>5.5174200109268587E-2</v>
      </c>
      <c r="F29" s="38">
        <f>Yard!$F$81</f>
        <v>1.0404347505146171E-2</v>
      </c>
      <c r="G29" s="38">
        <f>Yard!$G$81</f>
        <v>0</v>
      </c>
      <c r="H29" s="38">
        <f>Yard!$H$81</f>
        <v>4.0202529208208306E-2</v>
      </c>
      <c r="I29" s="38">
        <f>Yard!$I$81</f>
        <v>4.4063308274107016E-3</v>
      </c>
      <c r="J29" s="38">
        <f>Yard!$J$81</f>
        <v>1.0328767280373789E-2</v>
      </c>
      <c r="K29" s="10"/>
      <c r="L29" s="10"/>
      <c r="M29" s="38">
        <f>Yard!$K$81</f>
        <v>4.9781986881323244E-2</v>
      </c>
      <c r="N29" s="38">
        <f>Yard!$L$81</f>
        <v>0.11185825665698801</v>
      </c>
      <c r="O29" s="38">
        <f>Yard!$M$81</f>
        <v>1.7251486720988505E-2</v>
      </c>
      <c r="P29" s="38">
        <f>Yard!$N$81</f>
        <v>3.8523409439308036E-2</v>
      </c>
      <c r="Q29" s="38">
        <f>Yard!$O$81</f>
        <v>3.8234016136814861E-2</v>
      </c>
      <c r="R29" s="38">
        <f>Yard!$P$81</f>
        <v>0</v>
      </c>
      <c r="S29" s="38">
        <f>Yard!$Q$81</f>
        <v>0.14773671772565536</v>
      </c>
      <c r="T29" s="38">
        <f>Yard!$R$81</f>
        <v>6.1531254192436144E-2</v>
      </c>
      <c r="U29" s="38">
        <f>Yard!$S$81</f>
        <v>0.14423383761147635</v>
      </c>
      <c r="V29" s="38">
        <f>Otex!$B$162</f>
        <v>0.91563152661122216</v>
      </c>
      <c r="W29" s="10"/>
      <c r="X29" s="17"/>
    </row>
    <row r="30" spans="1:24" x14ac:dyDescent="0.25">
      <c r="A30" s="4" t="s">
        <v>231</v>
      </c>
      <c r="B30" s="38">
        <f>Yard!$B$82</f>
        <v>0</v>
      </c>
      <c r="C30" s="38">
        <f>Yard!$C$82</f>
        <v>0.25320940789596513</v>
      </c>
      <c r="D30" s="38">
        <f>Yard!$D$82</f>
        <v>3.9051553890579169E-2</v>
      </c>
      <c r="E30" s="38">
        <f>Yard!$E$82</f>
        <v>6.7552825881054573E-2</v>
      </c>
      <c r="F30" s="38">
        <f>Yard!$F$82</f>
        <v>1.2738618304011528E-2</v>
      </c>
      <c r="G30" s="38">
        <f>Yard!$G$82</f>
        <v>0</v>
      </c>
      <c r="H30" s="38">
        <f>Yard!$H$82</f>
        <v>4.922218084180046E-2</v>
      </c>
      <c r="I30" s="38">
        <f>Yard!$I$82</f>
        <v>5.3949146262003509E-3</v>
      </c>
      <c r="J30" s="38">
        <f>Yard!$J$82</f>
        <v>1.2646081253107516E-2</v>
      </c>
      <c r="K30" s="10"/>
      <c r="L30" s="10"/>
      <c r="M30" s="38">
        <f>Yard!$K$82</f>
        <v>8.2436513773937986E-2</v>
      </c>
      <c r="N30" s="38">
        <f>Yard!$L$82</f>
        <v>0.17679440163958782</v>
      </c>
      <c r="O30" s="38">
        <f>Yard!$M$82</f>
        <v>2.7266349068742788E-2</v>
      </c>
      <c r="P30" s="38">
        <f>Yard!$N$82</f>
        <v>4.7166341606119336E-2</v>
      </c>
      <c r="Q30" s="38">
        <f>Yard!$O$82</f>
        <v>4.681202137427639E-2</v>
      </c>
      <c r="R30" s="38">
        <f>Yard!$P$82</f>
        <v>0</v>
      </c>
      <c r="S30" s="38">
        <f>Yard!$Q$82</f>
        <v>0.18088223751309407</v>
      </c>
      <c r="T30" s="38">
        <f>Yard!$R$82</f>
        <v>7.5336118919217224E-2</v>
      </c>
      <c r="U30" s="38">
        <f>Yard!$S$82</f>
        <v>0.1765934675813739</v>
      </c>
      <c r="V30" s="38">
        <f>Otex!$B$163</f>
        <v>0.91563152661122216</v>
      </c>
      <c r="W30" s="10"/>
      <c r="X30" s="17"/>
    </row>
    <row r="31" spans="1:24" x14ac:dyDescent="0.25">
      <c r="A31" s="4" t="s">
        <v>232</v>
      </c>
      <c r="B31" s="38">
        <f>Yard!$B$83</f>
        <v>0</v>
      </c>
      <c r="C31" s="38">
        <f>Yard!$C$83</f>
        <v>0.44434519963343955</v>
      </c>
      <c r="D31" s="38">
        <f>Yard!$D$83</f>
        <v>6.852972270538582E-2</v>
      </c>
      <c r="E31" s="38">
        <f>Yard!$E$83</f>
        <v>0.11438856727377475</v>
      </c>
      <c r="F31" s="38">
        <f>Yard!$F$83</f>
        <v>2.1570560192538508E-2</v>
      </c>
      <c r="G31" s="38">
        <f>Yard!$G$83</f>
        <v>0</v>
      </c>
      <c r="H31" s="38">
        <f>Yard!$H$83</f>
        <v>8.3348915032779997E-2</v>
      </c>
      <c r="I31" s="38">
        <f>Yard!$I$83</f>
        <v>9.1353181248404695E-3</v>
      </c>
      <c r="J31" s="38">
        <f>Yard!$J$83</f>
        <v>2.1413865331374765E-2</v>
      </c>
      <c r="K31" s="10"/>
      <c r="L31" s="10"/>
      <c r="M31" s="38">
        <f>Yard!$K$83</f>
        <v>0.14726367977397933</v>
      </c>
      <c r="N31" s="38">
        <f>Yard!$L$83</f>
        <v>0.31024812365144727</v>
      </c>
      <c r="O31" s="38">
        <f>Yard!$M$83</f>
        <v>4.784842483105315E-2</v>
      </c>
      <c r="P31" s="38">
        <f>Yard!$N$83</f>
        <v>7.9867720846635251E-2</v>
      </c>
      <c r="Q31" s="38">
        <f>Yard!$O$83</f>
        <v>7.9267743226927811E-2</v>
      </c>
      <c r="R31" s="38">
        <f>Yard!$P$83</f>
        <v>0</v>
      </c>
      <c r="S31" s="38">
        <f>Yard!$Q$83</f>
        <v>0.30629155367725769</v>
      </c>
      <c r="T31" s="38">
        <f>Yard!$R$83</f>
        <v>0.12756817490225542</v>
      </c>
      <c r="U31" s="38">
        <f>Yard!$S$83</f>
        <v>0.29902929275096973</v>
      </c>
      <c r="V31" s="38">
        <f>Otex!$B$164</f>
        <v>0.91563152661122216</v>
      </c>
      <c r="W31" s="10"/>
      <c r="X31" s="17"/>
    </row>
    <row r="32" spans="1:24" x14ac:dyDescent="0.25">
      <c r="A32" s="4" t="s">
        <v>233</v>
      </c>
      <c r="B32" s="38">
        <f>Yard!$B$84</f>
        <v>0</v>
      </c>
      <c r="C32" s="38">
        <f>Yard!$C$84</f>
        <v>7.1041529338310108E-2</v>
      </c>
      <c r="D32" s="38">
        <f>Yard!$D$84</f>
        <v>1.0956473278291592E-2</v>
      </c>
      <c r="E32" s="38">
        <f>Yard!$E$84</f>
        <v>4.3052680966917223E-2</v>
      </c>
      <c r="F32" s="38">
        <f>Yard!$F$84</f>
        <v>8.11855999581137E-3</v>
      </c>
      <c r="G32" s="38">
        <f>Yard!$G$84</f>
        <v>0</v>
      </c>
      <c r="H32" s="38">
        <f>Yard!$H$84</f>
        <v>3.1370217613239222E-2</v>
      </c>
      <c r="I32" s="38">
        <f>Yard!$I$84</f>
        <v>3.4382801195397355E-3</v>
      </c>
      <c r="J32" s="38">
        <f>Yard!$J$84</f>
        <v>8.0595844003684084E-3</v>
      </c>
      <c r="K32" s="10"/>
      <c r="L32" s="10"/>
      <c r="M32" s="38">
        <f>Yard!$K$84</f>
        <v>1.8502280799643306E-2</v>
      </c>
      <c r="N32" s="38">
        <f>Yard!$L$84</f>
        <v>4.9602203864747861E-2</v>
      </c>
      <c r="O32" s="38">
        <f>Yard!$M$84</f>
        <v>7.6499651154808522E-3</v>
      </c>
      <c r="P32" s="38">
        <f>Yard!$N$84</f>
        <v>3.005999276951625E-2</v>
      </c>
      <c r="Q32" s="38">
        <f>Yard!$O$84</f>
        <v>2.9834177850559074E-2</v>
      </c>
      <c r="R32" s="38">
        <f>Yard!$P$84</f>
        <v>0</v>
      </c>
      <c r="S32" s="38">
        <f>Yard!$Q$84</f>
        <v>0.11527963727150918</v>
      </c>
      <c r="T32" s="38">
        <f>Yard!$R$84</f>
        <v>4.8013119374543084E-2</v>
      </c>
      <c r="U32" s="38">
        <f>Yard!$S$84</f>
        <v>0.11254632388006093</v>
      </c>
      <c r="V32" s="38">
        <f>Otex!$B$165</f>
        <v>0.91563152661122216</v>
      </c>
      <c r="W32" s="10"/>
      <c r="X32" s="17"/>
    </row>
    <row r="33" spans="1:24" x14ac:dyDescent="0.25">
      <c r="A33" s="4" t="s">
        <v>234</v>
      </c>
      <c r="B33" s="38">
        <f>Yard!$B$85</f>
        <v>0</v>
      </c>
      <c r="C33" s="38">
        <f>Yard!$C$85</f>
        <v>7.1414164481732314</v>
      </c>
      <c r="D33" s="38">
        <f>Yard!$D$85</f>
        <v>1.1013943423282633</v>
      </c>
      <c r="E33" s="38">
        <f>Yard!$E$85</f>
        <v>1.6338924845200495</v>
      </c>
      <c r="F33" s="38">
        <f>Yard!$F$85</f>
        <v>0.30810750606853887</v>
      </c>
      <c r="G33" s="38">
        <f>Yard!$G$85</f>
        <v>0</v>
      </c>
      <c r="H33" s="38">
        <f>Yard!$H$85</f>
        <v>1.1905312664597152</v>
      </c>
      <c r="I33" s="38">
        <f>Yard!$I$85</f>
        <v>0.13048618392214681</v>
      </c>
      <c r="J33" s="38">
        <f>Yard!$J$85</f>
        <v>0.30586932298678399</v>
      </c>
      <c r="K33" s="10"/>
      <c r="L33" s="10"/>
      <c r="M33" s="38">
        <f>Yard!$K$85</f>
        <v>2.4316648262296847</v>
      </c>
      <c r="N33" s="38">
        <f>Yard!$L$85</f>
        <v>4.9862383009585471</v>
      </c>
      <c r="O33" s="38">
        <f>Yard!$M$85</f>
        <v>0.76900915862161179</v>
      </c>
      <c r="P33" s="38">
        <f>Yard!$N$85</f>
        <v>1.1408069176593365</v>
      </c>
      <c r="Q33" s="38">
        <f>Yard!$O$85</f>
        <v>1.1322370146779135</v>
      </c>
      <c r="R33" s="38">
        <f>Yard!$P$85</f>
        <v>0</v>
      </c>
      <c r="S33" s="38">
        <f>Yard!$Q$85</f>
        <v>4.3749780205523692</v>
      </c>
      <c r="T33" s="38">
        <f>Yard!$R$85</f>
        <v>1.8221461043206941</v>
      </c>
      <c r="U33" s="38">
        <f>Yard!$S$85</f>
        <v>4.2712460320251742</v>
      </c>
      <c r="V33" s="38">
        <f>Otex!$B$166</f>
        <v>0.91563152661122216</v>
      </c>
      <c r="W33" s="10"/>
      <c r="X33" s="17"/>
    </row>
    <row r="34" spans="1:24" x14ac:dyDescent="0.25">
      <c r="A34" s="4" t="s">
        <v>192</v>
      </c>
      <c r="B34" s="38">
        <f>Yard!$B$42</f>
        <v>0</v>
      </c>
      <c r="C34" s="38">
        <f>Yard!$C$42</f>
        <v>-0.14605208759970337</v>
      </c>
      <c r="D34" s="38">
        <f>Yard!$D$42</f>
        <v>-2.2525075261322046E-2</v>
      </c>
      <c r="E34" s="38">
        <f>Yard!$E$42</f>
        <v>-5.0270208403153112E-2</v>
      </c>
      <c r="F34" s="38">
        <f>Yard!$F$42</f>
        <v>-9.4795885821036454E-3</v>
      </c>
      <c r="G34" s="38">
        <f>Yard!$G$42</f>
        <v>0</v>
      </c>
      <c r="H34" s="38">
        <f>Yard!$H$42</f>
        <v>-3.6629249135067751E-2</v>
      </c>
      <c r="I34" s="38">
        <f>Yard!$I$42</f>
        <v>-4.0146874544351304E-3</v>
      </c>
      <c r="J34" s="38">
        <f>Yard!$J$42</f>
        <v>0</v>
      </c>
      <c r="K34" s="10"/>
      <c r="L34" s="10"/>
      <c r="M34" s="38">
        <f>Yard!$K$42</f>
        <v>-4.5392253242994098E-2</v>
      </c>
      <c r="N34" s="38">
        <f>Yard!$L$42</f>
        <v>-0.10197564004419317</v>
      </c>
      <c r="O34" s="38">
        <f>Yard!$M$42</f>
        <v>-1.572732717872909E-2</v>
      </c>
      <c r="P34" s="38">
        <f>Yard!$N$42</f>
        <v>-3.5099372842356605E-2</v>
      </c>
      <c r="Q34" s="38">
        <f>Yard!$O$42</f>
        <v>-3.4835701387256252E-2</v>
      </c>
      <c r="R34" s="38">
        <f>Yard!$P$42</f>
        <v>0</v>
      </c>
      <c r="S34" s="38">
        <f>Yard!$Q$42</f>
        <v>-0.13460558692574312</v>
      </c>
      <c r="T34" s="38">
        <f>Yard!$R$42</f>
        <v>-5.6062234983657443E-2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193</v>
      </c>
      <c r="B35" s="38">
        <f>Yard!$B$43</f>
        <v>0</v>
      </c>
      <c r="C35" s="38">
        <f>Yard!$C$43</f>
        <v>-0.14426425601891604</v>
      </c>
      <c r="D35" s="38">
        <f>Yard!$D$43</f>
        <v>-2.2249344584865178E-2</v>
      </c>
      <c r="E35" s="38">
        <f>Yard!$E$43</f>
        <v>-4.9654848036636182E-2</v>
      </c>
      <c r="F35" s="38">
        <f>Yard!$F$43</f>
        <v>-9.3635484205524689E-3</v>
      </c>
      <c r="G35" s="38">
        <f>Yard!$G$43</f>
        <v>0</v>
      </c>
      <c r="H35" s="38">
        <f>Yard!$H$43</f>
        <v>-3.6180868495937914E-2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-4.4836604191996983E-2</v>
      </c>
      <c r="N35" s="38">
        <f>Yard!$L$43</f>
        <v>-0.10072735066512112</v>
      </c>
      <c r="O35" s="38">
        <f>Yard!$M$43</f>
        <v>-1.5534808107803028E-2</v>
      </c>
      <c r="P35" s="38">
        <f>Yard!$N$43</f>
        <v>-3.4669719502478415E-2</v>
      </c>
      <c r="Q35" s="38">
        <f>Yard!$O$43</f>
        <v>-3.4409275664060081E-2</v>
      </c>
      <c r="R35" s="38">
        <f>Yard!$P$43</f>
        <v>0</v>
      </c>
      <c r="S35" s="38">
        <f>Yard!$Q$43</f>
        <v>-0.13295787258484421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194</v>
      </c>
      <c r="B36" s="38">
        <f>Yard!$B$44</f>
        <v>0</v>
      </c>
      <c r="C36" s="38">
        <f>Yard!$C$44</f>
        <v>-0.14605208759970337</v>
      </c>
      <c r="D36" s="38">
        <f>Yard!$D$44</f>
        <v>-2.2525075261322046E-2</v>
      </c>
      <c r="E36" s="38">
        <f>Yard!$E$44</f>
        <v>-5.0270208403153112E-2</v>
      </c>
      <c r="F36" s="38">
        <f>Yard!$F$44</f>
        <v>-9.4795885821036454E-3</v>
      </c>
      <c r="G36" s="38">
        <f>Yard!$G$44</f>
        <v>0</v>
      </c>
      <c r="H36" s="38">
        <f>Yard!$H$44</f>
        <v>-3.6629249135067751E-2</v>
      </c>
      <c r="I36" s="38">
        <f>Yard!$I$44</f>
        <v>-4.0146874544351304E-3</v>
      </c>
      <c r="J36" s="38">
        <f>Yard!$J$44</f>
        <v>0</v>
      </c>
      <c r="K36" s="10"/>
      <c r="L36" s="10"/>
      <c r="M36" s="38">
        <f>Yard!$K$44</f>
        <v>-4.5392253242994098E-2</v>
      </c>
      <c r="N36" s="38">
        <f>Yard!$L$44</f>
        <v>-0.10197564004419317</v>
      </c>
      <c r="O36" s="38">
        <f>Yard!$M$44</f>
        <v>-1.572732717872909E-2</v>
      </c>
      <c r="P36" s="38">
        <f>Yard!$N$44</f>
        <v>-3.5099372842356605E-2</v>
      </c>
      <c r="Q36" s="38">
        <f>Yard!$O$44</f>
        <v>-3.4835701387256252E-2</v>
      </c>
      <c r="R36" s="38">
        <f>Yard!$P$44</f>
        <v>0</v>
      </c>
      <c r="S36" s="38">
        <f>Yard!$Q$44</f>
        <v>-0.13460558692574312</v>
      </c>
      <c r="T36" s="38">
        <f>Yard!$R$44</f>
        <v>-5.6062234983657443E-2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195</v>
      </c>
      <c r="B37" s="38">
        <f>Yard!$B$45</f>
        <v>0</v>
      </c>
      <c r="C37" s="38">
        <f>Yard!$C$45</f>
        <v>-0.14605208759970337</v>
      </c>
      <c r="D37" s="38">
        <f>Yard!$D$45</f>
        <v>-2.2525075261322046E-2</v>
      </c>
      <c r="E37" s="38">
        <f>Yard!$E$45</f>
        <v>-5.0270208403153112E-2</v>
      </c>
      <c r="F37" s="38">
        <f>Yard!$F$45</f>
        <v>-9.4795885821036454E-3</v>
      </c>
      <c r="G37" s="38">
        <f>Yard!$G$45</f>
        <v>0</v>
      </c>
      <c r="H37" s="38">
        <f>Yard!$H$45</f>
        <v>-3.6629249135067751E-2</v>
      </c>
      <c r="I37" s="38">
        <f>Yard!$I$45</f>
        <v>-4.0146874544351304E-3</v>
      </c>
      <c r="J37" s="38">
        <f>Yard!$J$45</f>
        <v>0</v>
      </c>
      <c r="K37" s="10"/>
      <c r="L37" s="10"/>
      <c r="M37" s="38">
        <f>Yard!$K$45</f>
        <v>-4.5392253242994098E-2</v>
      </c>
      <c r="N37" s="38">
        <f>Yard!$L$45</f>
        <v>-0.10197564004419317</v>
      </c>
      <c r="O37" s="38">
        <f>Yard!$M$45</f>
        <v>-1.572732717872909E-2</v>
      </c>
      <c r="P37" s="38">
        <f>Yard!$N$45</f>
        <v>-3.5099372842356605E-2</v>
      </c>
      <c r="Q37" s="38">
        <f>Yard!$O$45</f>
        <v>-3.4835701387256252E-2</v>
      </c>
      <c r="R37" s="38">
        <f>Yard!$P$45</f>
        <v>0</v>
      </c>
      <c r="S37" s="38">
        <f>Yard!$Q$45</f>
        <v>-0.13460558692574312</v>
      </c>
      <c r="T37" s="38">
        <f>Yard!$R$45</f>
        <v>-5.6062234983657443E-2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196</v>
      </c>
      <c r="B38" s="38">
        <f>Yard!$B$86</f>
        <v>0</v>
      </c>
      <c r="C38" s="38">
        <f>Yard!$C$86</f>
        <v>-2.1745271359357927</v>
      </c>
      <c r="D38" s="38">
        <f>Yard!$D$86</f>
        <v>-0.33536930693512579</v>
      </c>
      <c r="E38" s="38">
        <f>Yard!$E$86</f>
        <v>-0.53212071861026267</v>
      </c>
      <c r="F38" s="38">
        <f>Yard!$F$86</f>
        <v>-0.10034343697135414</v>
      </c>
      <c r="G38" s="38">
        <f>Yard!$G$86</f>
        <v>0</v>
      </c>
      <c r="H38" s="38">
        <f>Yard!$H$86</f>
        <v>-0.38772829854996271</v>
      </c>
      <c r="I38" s="38">
        <f>Yard!$I$86</f>
        <v>-4.2496310262275176E-2</v>
      </c>
      <c r="J38" s="38">
        <f>Yard!$J$86</f>
        <v>0</v>
      </c>
      <c r="K38" s="10"/>
      <c r="L38" s="10"/>
      <c r="M38" s="38">
        <f>Yard!$K$86</f>
        <v>-0.76092662688255741</v>
      </c>
      <c r="N38" s="38">
        <f>Yard!$L$86</f>
        <v>-1.5182857028944587</v>
      </c>
      <c r="O38" s="38">
        <f>Yard!$M$86</f>
        <v>-0.23415960899936072</v>
      </c>
      <c r="P38" s="38">
        <f>Yard!$N$86</f>
        <v>-0.37153423653745682</v>
      </c>
      <c r="Q38" s="38">
        <f>Yard!$O$86</f>
        <v>-0.36874321878316763</v>
      </c>
      <c r="R38" s="38">
        <f>Yard!$P$86</f>
        <v>0</v>
      </c>
      <c r="S38" s="38">
        <f>Yard!$Q$86</f>
        <v>-1.4248284206315318</v>
      </c>
      <c r="T38" s="38">
        <f>Yard!$R$86</f>
        <v>-0.5934305369724715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197</v>
      </c>
      <c r="B39" s="38">
        <f>Yard!$B$87</f>
        <v>0</v>
      </c>
      <c r="C39" s="38">
        <f>Yard!$C$87</f>
        <v>-2.1745271359357927</v>
      </c>
      <c r="D39" s="38">
        <f>Yard!$D$87</f>
        <v>-0.33536930693512579</v>
      </c>
      <c r="E39" s="38">
        <f>Yard!$E$87</f>
        <v>-0.53212071861026267</v>
      </c>
      <c r="F39" s="38">
        <f>Yard!$F$87</f>
        <v>-0.10034343697135414</v>
      </c>
      <c r="G39" s="38">
        <f>Yard!$G$87</f>
        <v>0</v>
      </c>
      <c r="H39" s="38">
        <f>Yard!$H$87</f>
        <v>-0.38772829854996271</v>
      </c>
      <c r="I39" s="38">
        <f>Yard!$I$87</f>
        <v>-4.2496310262275176E-2</v>
      </c>
      <c r="J39" s="38">
        <f>Yard!$J$87</f>
        <v>0</v>
      </c>
      <c r="K39" s="10"/>
      <c r="L39" s="10"/>
      <c r="M39" s="38">
        <f>Yard!$K$87</f>
        <v>-0.76092662688255741</v>
      </c>
      <c r="N39" s="38">
        <f>Yard!$L$87</f>
        <v>-1.5182857028944587</v>
      </c>
      <c r="O39" s="38">
        <f>Yard!$M$87</f>
        <v>-0.23415960899936072</v>
      </c>
      <c r="P39" s="38">
        <f>Yard!$N$87</f>
        <v>-0.37153423653745682</v>
      </c>
      <c r="Q39" s="38">
        <f>Yard!$O$87</f>
        <v>-0.36874321878316763</v>
      </c>
      <c r="R39" s="38">
        <f>Yard!$P$87</f>
        <v>0</v>
      </c>
      <c r="S39" s="38">
        <f>Yard!$Q$87</f>
        <v>-1.4248284206315318</v>
      </c>
      <c r="T39" s="38">
        <f>Yard!$R$87</f>
        <v>-0.5934305369724715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198</v>
      </c>
      <c r="B40" s="38">
        <f>Yard!$B$48</f>
        <v>0</v>
      </c>
      <c r="C40" s="38">
        <f>Yard!$C$48</f>
        <v>-0.14426425601891604</v>
      </c>
      <c r="D40" s="38">
        <f>Yard!$D$48</f>
        <v>-2.2249344584865178E-2</v>
      </c>
      <c r="E40" s="38">
        <f>Yard!$E$48</f>
        <v>-4.9654848036636182E-2</v>
      </c>
      <c r="F40" s="38">
        <f>Yard!$F$48</f>
        <v>-9.3635484205524689E-3</v>
      </c>
      <c r="G40" s="38">
        <f>Yard!$G$48</f>
        <v>0</v>
      </c>
      <c r="H40" s="38">
        <f>Yard!$H$48</f>
        <v>-3.6180868495937914E-2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-4.4836604191996983E-2</v>
      </c>
      <c r="N40" s="38">
        <f>Yard!$L$48</f>
        <v>-0.10072735066512112</v>
      </c>
      <c r="O40" s="38">
        <f>Yard!$M$48</f>
        <v>-1.5534808107803028E-2</v>
      </c>
      <c r="P40" s="38">
        <f>Yard!$N$48</f>
        <v>-3.4669719502478415E-2</v>
      </c>
      <c r="Q40" s="38">
        <f>Yard!$O$48</f>
        <v>-3.4409275664060081E-2</v>
      </c>
      <c r="R40" s="38">
        <f>Yard!$P$48</f>
        <v>0</v>
      </c>
      <c r="S40" s="38">
        <f>Yard!$Q$48</f>
        <v>-0.13295787258484421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199</v>
      </c>
      <c r="B41" s="38">
        <f>Yard!$B$49</f>
        <v>0</v>
      </c>
      <c r="C41" s="38">
        <f>Yard!$C$49</f>
        <v>-0.14426425601891604</v>
      </c>
      <c r="D41" s="38">
        <f>Yard!$D$49</f>
        <v>-2.2249344584865178E-2</v>
      </c>
      <c r="E41" s="38">
        <f>Yard!$E$49</f>
        <v>-4.9654848036636182E-2</v>
      </c>
      <c r="F41" s="38">
        <f>Yard!$F$49</f>
        <v>-9.3635484205524689E-3</v>
      </c>
      <c r="G41" s="38">
        <f>Yard!$G$49</f>
        <v>0</v>
      </c>
      <c r="H41" s="38">
        <f>Yard!$H$49</f>
        <v>-3.6180868495937914E-2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-4.4836604191996983E-2</v>
      </c>
      <c r="N41" s="38">
        <f>Yard!$L$49</f>
        <v>-0.10072735066512112</v>
      </c>
      <c r="O41" s="38">
        <f>Yard!$M$49</f>
        <v>-1.5534808107803028E-2</v>
      </c>
      <c r="P41" s="38">
        <f>Yard!$N$49</f>
        <v>-3.4669719502478415E-2</v>
      </c>
      <c r="Q41" s="38">
        <f>Yard!$O$49</f>
        <v>-3.4409275664060081E-2</v>
      </c>
      <c r="R41" s="38">
        <f>Yard!$P$49</f>
        <v>0</v>
      </c>
      <c r="S41" s="38">
        <f>Yard!$Q$49</f>
        <v>-0.13295787258484421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200</v>
      </c>
      <c r="B42" s="38">
        <f>Yard!$B$88</f>
        <v>0</v>
      </c>
      <c r="C42" s="38">
        <f>Yard!$C$88</f>
        <v>-2.147908630505317</v>
      </c>
      <c r="D42" s="38">
        <f>Yard!$D$88</f>
        <v>-0.33126403293309503</v>
      </c>
      <c r="E42" s="38">
        <f>Yard!$E$88</f>
        <v>-0.52560699983254755</v>
      </c>
      <c r="F42" s="38">
        <f>Yard!$F$88</f>
        <v>-9.9115127479237744E-2</v>
      </c>
      <c r="G42" s="38">
        <f>Yard!$G$88</f>
        <v>0</v>
      </c>
      <c r="H42" s="38">
        <f>Yard!$H$88</f>
        <v>-0.38298209527204413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-0.75161208248569</v>
      </c>
      <c r="N42" s="38">
        <f>Yard!$L$88</f>
        <v>-1.4997002846857697</v>
      </c>
      <c r="O42" s="38">
        <f>Yard!$M$88</f>
        <v>-0.2312932484372216</v>
      </c>
      <c r="P42" s="38">
        <f>Yard!$N$88</f>
        <v>-0.36698626565705472</v>
      </c>
      <c r="Q42" s="38">
        <f>Yard!$O$88</f>
        <v>-0.36422941290352434</v>
      </c>
      <c r="R42" s="38">
        <f>Yard!$P$88</f>
        <v>0</v>
      </c>
      <c r="S42" s="38">
        <f>Yard!$Q$88</f>
        <v>-1.4073870181190931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201</v>
      </c>
      <c r="B43" s="38">
        <f>Yard!$B$89</f>
        <v>0</v>
      </c>
      <c r="C43" s="38">
        <f>Yard!$C$89</f>
        <v>-2.147908630505317</v>
      </c>
      <c r="D43" s="38">
        <f>Yard!$D$89</f>
        <v>-0.33126403293309503</v>
      </c>
      <c r="E43" s="38">
        <f>Yard!$E$89</f>
        <v>-0.52560699983254755</v>
      </c>
      <c r="F43" s="38">
        <f>Yard!$F$89</f>
        <v>-9.9115127479237744E-2</v>
      </c>
      <c r="G43" s="38">
        <f>Yard!$G$89</f>
        <v>0</v>
      </c>
      <c r="H43" s="38">
        <f>Yard!$H$89</f>
        <v>-0.38298209527204413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-0.75161208248569</v>
      </c>
      <c r="N43" s="38">
        <f>Yard!$L$89</f>
        <v>-1.4997002846857697</v>
      </c>
      <c r="O43" s="38">
        <f>Yard!$M$89</f>
        <v>-0.2312932484372216</v>
      </c>
      <c r="P43" s="38">
        <f>Yard!$N$89</f>
        <v>-0.36698626565705472</v>
      </c>
      <c r="Q43" s="38">
        <f>Yard!$O$89</f>
        <v>-0.36422941290352434</v>
      </c>
      <c r="R43" s="38">
        <f>Yard!$P$89</f>
        <v>0</v>
      </c>
      <c r="S43" s="38">
        <f>Yard!$Q$89</f>
        <v>-1.4073870181190931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209</v>
      </c>
      <c r="B44" s="38">
        <f>Yard!$B$52</f>
        <v>0</v>
      </c>
      <c r="C44" s="38">
        <f>Yard!$C$52</f>
        <v>-0.14275147545055752</v>
      </c>
      <c r="D44" s="38">
        <f>Yard!$D$52</f>
        <v>-7.2652912241179387E-3</v>
      </c>
      <c r="E44" s="38">
        <f>Yard!$E$52</f>
        <v>-1.6214272303593284E-2</v>
      </c>
      <c r="F44" s="38">
        <f>Yard!$F$52</f>
        <v>0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-4.4366439610384056E-2</v>
      </c>
      <c r="N44" s="38">
        <f>Yard!$L$52</f>
        <v>-9.967110580590631E-2</v>
      </c>
      <c r="O44" s="38">
        <f>Yard!$M$52</f>
        <v>-1.5371907355480975E-2</v>
      </c>
      <c r="P44" s="38">
        <f>Yard!$N$52</f>
        <v>-3.4306166676427649E-2</v>
      </c>
      <c r="Q44" s="38">
        <f>Yard!$O$52</f>
        <v>-3.4048453898278715E-2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210</v>
      </c>
      <c r="B45" s="38">
        <f>Yard!$B$53</f>
        <v>0</v>
      </c>
      <c r="C45" s="38">
        <f>Yard!$C$53</f>
        <v>-0.14275147545055752</v>
      </c>
      <c r="D45" s="38">
        <f>Yard!$D$53</f>
        <v>-7.2652912241179387E-3</v>
      </c>
      <c r="E45" s="38">
        <f>Yard!$E$53</f>
        <v>-1.6214272303593284E-2</v>
      </c>
      <c r="F45" s="38">
        <f>Yard!$F$53</f>
        <v>0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-4.4366439610384056E-2</v>
      </c>
      <c r="N45" s="38">
        <f>Yard!$L$53</f>
        <v>-9.967110580590631E-2</v>
      </c>
      <c r="O45" s="38">
        <f>Yard!$M$53</f>
        <v>-1.5371907355480975E-2</v>
      </c>
      <c r="P45" s="38">
        <f>Yard!$N$53</f>
        <v>-3.4306166676427649E-2</v>
      </c>
      <c r="Q45" s="38">
        <f>Yard!$O$53</f>
        <v>-3.4048453898278715E-2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211</v>
      </c>
      <c r="B46" s="38">
        <f>Yard!$B$90</f>
        <v>0</v>
      </c>
      <c r="C46" s="38">
        <f>Yard!$C$90</f>
        <v>-2.1253852797564523</v>
      </c>
      <c r="D46" s="38">
        <f>Yard!$D$90</f>
        <v>-0.10817081205043121</v>
      </c>
      <c r="E46" s="38">
        <f>Yard!$E$90</f>
        <v>-0.17163147923988639</v>
      </c>
      <c r="F46" s="38">
        <f>Yard!$F$90</f>
        <v>0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-0.74373054491910984</v>
      </c>
      <c r="N46" s="38">
        <f>Yard!$L$90</f>
        <v>-1.4839741615861093</v>
      </c>
      <c r="O46" s="38">
        <f>Yard!$M$90</f>
        <v>-0.22886786642310392</v>
      </c>
      <c r="P46" s="38">
        <f>Yard!$N$90</f>
        <v>-0.36313798260440694</v>
      </c>
      <c r="Q46" s="38">
        <f>Yard!$O$90</f>
        <v>-0.36041003869767235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212</v>
      </c>
      <c r="B47" s="38">
        <f>Yard!$B$91</f>
        <v>0</v>
      </c>
      <c r="C47" s="38">
        <f>Yard!$C$91</f>
        <v>-2.1253852797564523</v>
      </c>
      <c r="D47" s="38">
        <f>Yard!$D$91</f>
        <v>-0.10817081205043121</v>
      </c>
      <c r="E47" s="38">
        <f>Yard!$E$91</f>
        <v>-0.17163147923988639</v>
      </c>
      <c r="F47" s="38">
        <f>Yard!$F$91</f>
        <v>0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-0.74373054491910984</v>
      </c>
      <c r="N47" s="38">
        <f>Yard!$L$91</f>
        <v>-1.4839741615861093</v>
      </c>
      <c r="O47" s="38">
        <f>Yard!$M$91</f>
        <v>-0.22886786642310392</v>
      </c>
      <c r="P47" s="38">
        <f>Yard!$N$91</f>
        <v>-0.36313798260440694</v>
      </c>
      <c r="Q47" s="38">
        <f>Yard!$O$91</f>
        <v>-0.36041003869767235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1099</v>
      </c>
    </row>
    <row r="50" spans="1:24" x14ac:dyDescent="0.25">
      <c r="A50" s="2" t="s">
        <v>381</v>
      </c>
    </row>
    <row r="51" spans="1:24" x14ac:dyDescent="0.25">
      <c r="A51" s="32" t="s">
        <v>1100</v>
      </c>
    </row>
    <row r="52" spans="1:24" x14ac:dyDescent="0.25">
      <c r="A52" s="32" t="s">
        <v>1101</v>
      </c>
    </row>
    <row r="53" spans="1:24" x14ac:dyDescent="0.25">
      <c r="A53" s="32" t="s">
        <v>1102</v>
      </c>
    </row>
    <row r="54" spans="1:24" x14ac:dyDescent="0.25">
      <c r="A54" s="32" t="s">
        <v>1103</v>
      </c>
    </row>
    <row r="55" spans="1:24" x14ac:dyDescent="0.25">
      <c r="A55" s="32" t="s">
        <v>1104</v>
      </c>
    </row>
    <row r="56" spans="1:24" x14ac:dyDescent="0.25">
      <c r="A56" s="2" t="s">
        <v>470</v>
      </c>
    </row>
    <row r="58" spans="1:24" ht="30" x14ac:dyDescent="0.25">
      <c r="B58" s="15" t="s">
        <v>150</v>
      </c>
      <c r="C58" s="15" t="s">
        <v>335</v>
      </c>
      <c r="D58" s="15" t="s">
        <v>336</v>
      </c>
      <c r="E58" s="15" t="s">
        <v>337</v>
      </c>
      <c r="F58" s="15" t="s">
        <v>338</v>
      </c>
      <c r="G58" s="15" t="s">
        <v>339</v>
      </c>
      <c r="H58" s="15" t="s">
        <v>340</v>
      </c>
      <c r="I58" s="15" t="s">
        <v>341</v>
      </c>
      <c r="J58" s="15" t="s">
        <v>342</v>
      </c>
      <c r="K58" s="15" t="s">
        <v>493</v>
      </c>
      <c r="L58" s="15" t="s">
        <v>505</v>
      </c>
      <c r="M58" s="15" t="s">
        <v>323</v>
      </c>
      <c r="N58" s="15" t="s">
        <v>911</v>
      </c>
      <c r="O58" s="15" t="s">
        <v>912</v>
      </c>
      <c r="P58" s="15" t="s">
        <v>913</v>
      </c>
      <c r="Q58" s="15" t="s">
        <v>914</v>
      </c>
      <c r="R58" s="15" t="s">
        <v>915</v>
      </c>
      <c r="S58" s="15" t="s">
        <v>916</v>
      </c>
      <c r="T58" s="15" t="s">
        <v>917</v>
      </c>
      <c r="U58" s="15" t="s">
        <v>918</v>
      </c>
      <c r="V58" s="15" t="s">
        <v>919</v>
      </c>
      <c r="W58" s="15" t="s">
        <v>920</v>
      </c>
    </row>
    <row r="59" spans="1:24" x14ac:dyDescent="0.25">
      <c r="A59" s="4" t="s">
        <v>182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183</v>
      </c>
      <c r="B60" s="38">
        <f>Standing!$B$106</f>
        <v>0</v>
      </c>
      <c r="C60" s="38">
        <f>Standing!$C$106</f>
        <v>1.3965423724658241E-2</v>
      </c>
      <c r="D60" s="38">
        <f>Standing!$D$106</f>
        <v>2.1538358377755783E-3</v>
      </c>
      <c r="E60" s="38">
        <f>Standing!$E$106</f>
        <v>1.0814084288328155E-2</v>
      </c>
      <c r="F60" s="38">
        <f>Standing!$F$106</f>
        <v>2.0392409978374397E-3</v>
      </c>
      <c r="G60" s="38">
        <f>Standing!$G$106</f>
        <v>0</v>
      </c>
      <c r="H60" s="38">
        <f>Standing!$H$106</f>
        <v>7.8796527833759344E-3</v>
      </c>
      <c r="I60" s="38">
        <f>Standing!$I$106</f>
        <v>8.636361356487226E-4</v>
      </c>
      <c r="J60" s="38">
        <f>Standing!$J$106</f>
        <v>0</v>
      </c>
      <c r="K60" s="10"/>
      <c r="L60" s="10"/>
      <c r="M60" s="38">
        <f>Standing!$K$106</f>
        <v>0</v>
      </c>
      <c r="N60" s="38">
        <f>Standing!$L$106</f>
        <v>9.7508570142018063E-3</v>
      </c>
      <c r="O60" s="38">
        <f>Standing!$M$106</f>
        <v>1.5038387449090571E-3</v>
      </c>
      <c r="P60" s="38">
        <f>Standing!$N$106</f>
        <v>7.5505471021857298E-3</v>
      </c>
      <c r="Q60" s="38">
        <f>Standing!$O$106</f>
        <v>7.4938263240060549E-3</v>
      </c>
      <c r="R60" s="38">
        <f>Standing!$P$106</f>
        <v>0</v>
      </c>
      <c r="S60" s="38">
        <f>Standing!$Q$106</f>
        <v>2.8956238872555898E-2</v>
      </c>
      <c r="T60" s="38">
        <f>Standing!$R$106</f>
        <v>1.2060060098483783E-2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185</v>
      </c>
      <c r="B63" s="38">
        <f>Standing!$B$107</f>
        <v>0</v>
      </c>
      <c r="C63" s="38">
        <f>Standing!$C$107</f>
        <v>1.3915744569823228E-2</v>
      </c>
      <c r="D63" s="38">
        <f>Standing!$D$107</f>
        <v>2.1461740047955219E-3</v>
      </c>
      <c r="E63" s="38">
        <f>Standing!$E$107</f>
        <v>1.0922940619834978E-2</v>
      </c>
      <c r="F63" s="38">
        <f>Standing!$F$107</f>
        <v>2.0597683294324492E-3</v>
      </c>
      <c r="G63" s="38">
        <f>Standing!$G$107</f>
        <v>0</v>
      </c>
      <c r="H63" s="38">
        <f>Standing!$H$107</f>
        <v>7.9589706500280029E-3</v>
      </c>
      <c r="I63" s="38">
        <f>Standing!$I$107</f>
        <v>8.7232963747253551E-4</v>
      </c>
      <c r="J63" s="38">
        <f>Standing!$J$107</f>
        <v>0</v>
      </c>
      <c r="K63" s="10"/>
      <c r="L63" s="10"/>
      <c r="M63" s="38">
        <f>Standing!$K$107</f>
        <v>0</v>
      </c>
      <c r="N63" s="38">
        <f>Standing!$L$107</f>
        <v>9.716170323347784E-3</v>
      </c>
      <c r="O63" s="38">
        <f>Standing!$M$107</f>
        <v>1.4984891444008164E-3</v>
      </c>
      <c r="P63" s="38">
        <f>Standing!$N$107</f>
        <v>7.6265521375173412E-3</v>
      </c>
      <c r="Q63" s="38">
        <f>Standing!$O$107</f>
        <v>7.5692603987580903E-3</v>
      </c>
      <c r="R63" s="38">
        <f>Standing!$P$107</f>
        <v>0</v>
      </c>
      <c r="S63" s="38">
        <f>Standing!$Q$107</f>
        <v>2.9247717083180146E-2</v>
      </c>
      <c r="T63" s="38">
        <f>Standing!$R$107</f>
        <v>1.2181458625170841E-2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229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186</v>
      </c>
      <c r="B65" s="38">
        <f>Standing!$B$108</f>
        <v>0</v>
      </c>
      <c r="C65" s="38">
        <f>Standing!$C$108</f>
        <v>1.179848258184844E-2</v>
      </c>
      <c r="D65" s="38">
        <f>Standing!$D$108</f>
        <v>1.8196364906055136E-3</v>
      </c>
      <c r="E65" s="38">
        <f>Standing!$E$108</f>
        <v>8.7025608238194118E-3</v>
      </c>
      <c r="F65" s="38">
        <f>Standing!$F$108</f>
        <v>1.6410653315566224E-3</v>
      </c>
      <c r="G65" s="38">
        <f>Standing!$G$108</f>
        <v>0</v>
      </c>
      <c r="H65" s="38">
        <f>Standing!$H$108</f>
        <v>6.3410970165933781E-3</v>
      </c>
      <c r="I65" s="38">
        <f>Standing!$I$108</f>
        <v>6.9500530971848941E-4</v>
      </c>
      <c r="J65" s="38">
        <f>Standing!$J$108</f>
        <v>0</v>
      </c>
      <c r="K65" s="10"/>
      <c r="L65" s="10"/>
      <c r="M65" s="38">
        <f>Standing!$K$108</f>
        <v>0</v>
      </c>
      <c r="N65" s="38">
        <f>Standing!$L$108</f>
        <v>8.2378679593533097E-3</v>
      </c>
      <c r="O65" s="38">
        <f>Standing!$M$108</f>
        <v>1.2704960184194147E-3</v>
      </c>
      <c r="P65" s="38">
        <f>Standing!$N$108</f>
        <v>6.0762514567050101E-3</v>
      </c>
      <c r="Q65" s="38">
        <f>Standing!$O$108</f>
        <v>6.0306057960164061E-3</v>
      </c>
      <c r="R65" s="38">
        <f>Standing!$P$108</f>
        <v>0</v>
      </c>
      <c r="S65" s="38">
        <f>Standing!$Q$108</f>
        <v>2.330233640673977E-2</v>
      </c>
      <c r="T65" s="38">
        <f>Standing!$R$108</f>
        <v>9.7052513876973202E-3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187</v>
      </c>
      <c r="B66" s="38">
        <f>Standing!$B$109</f>
        <v>0</v>
      </c>
      <c r="C66" s="38">
        <f>Standing!$C$109</f>
        <v>1.1428358491838299E-2</v>
      </c>
      <c r="D66" s="38">
        <f>Standing!$D$109</f>
        <v>1.7625536161288622E-3</v>
      </c>
      <c r="E66" s="38">
        <f>Standing!$E$109</f>
        <v>8.42955729278657E-3</v>
      </c>
      <c r="F66" s="38">
        <f>Standing!$F$109</f>
        <v>1.5895843204794819E-3</v>
      </c>
      <c r="G66" s="38">
        <f>Standing!$G$109</f>
        <v>0</v>
      </c>
      <c r="H66" s="38">
        <f>Standing!$H$109</f>
        <v>6.1421737443292448E-3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0</v>
      </c>
      <c r="N66" s="38">
        <f>Standing!$L$109</f>
        <v>7.9794420676398987E-3</v>
      </c>
      <c r="O66" s="38">
        <f>Standing!$M$109</f>
        <v>1.2306399454526723E-3</v>
      </c>
      <c r="P66" s="38">
        <f>Standing!$N$109</f>
        <v>5.885636517412249E-3</v>
      </c>
      <c r="Q66" s="38">
        <f>Standing!$O$109</f>
        <v>5.8414227831182523E-3</v>
      </c>
      <c r="R66" s="38">
        <f>Standing!$P$109</f>
        <v>0</v>
      </c>
      <c r="S66" s="38">
        <f>Standing!$Q$109</f>
        <v>2.257133087294989E-2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207</v>
      </c>
      <c r="B67" s="38">
        <f>Standing!$B$110</f>
        <v>0</v>
      </c>
      <c r="C67" s="38">
        <f>Standing!$C$110</f>
        <v>1.3350316680537022E-2</v>
      </c>
      <c r="D67" s="38">
        <f>Standing!$D$110</f>
        <v>6.7946014787003111E-4</v>
      </c>
      <c r="E67" s="38">
        <f>Standing!$E$110</f>
        <v>2.5996591274041192E-3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0</v>
      </c>
      <c r="N67" s="38">
        <f>Standing!$L$110</f>
        <v>9.3213805476149592E-3</v>
      </c>
      <c r="O67" s="38">
        <f>Standing!$M$110</f>
        <v>1.437602172109429E-3</v>
      </c>
      <c r="P67" s="38">
        <f>Standing!$N$110</f>
        <v>5.5003602786945806E-3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188</v>
      </c>
      <c r="B68" s="38">
        <f>Standing!$B$111</f>
        <v>0</v>
      </c>
      <c r="C68" s="38">
        <f>Standing!$C$111</f>
        <v>4.2843165521816572E-2</v>
      </c>
      <c r="D68" s="38">
        <f>Standing!$D$111</f>
        <v>6.6075435392417888E-3</v>
      </c>
      <c r="E68" s="38">
        <f>Standing!$E$111</f>
        <v>5.5991128028616062E-2</v>
      </c>
      <c r="F68" s="38">
        <f>Standing!$F$111</f>
        <v>1.0558397802979473E-2</v>
      </c>
      <c r="G68" s="38">
        <f>Standing!$G$111</f>
        <v>0</v>
      </c>
      <c r="H68" s="38">
        <f>Standing!$H$111</f>
        <v>4.0797781490498293E-2</v>
      </c>
      <c r="I68" s="38">
        <f>Standing!$I$111</f>
        <v>4.4715724560643894E-3</v>
      </c>
      <c r="J68" s="38">
        <f>Standing!$J$111</f>
        <v>0</v>
      </c>
      <c r="K68" s="10"/>
      <c r="L68" s="10"/>
      <c r="M68" s="38">
        <f>Standing!$K$111</f>
        <v>0</v>
      </c>
      <c r="N68" s="38">
        <f>Standing!$L$111</f>
        <v>2.9913706112718569E-2</v>
      </c>
      <c r="O68" s="38">
        <f>Standing!$M$111</f>
        <v>4.6134806602752274E-3</v>
      </c>
      <c r="P68" s="38">
        <f>Standing!$N$111</f>
        <v>3.9093800104820157E-2</v>
      </c>
      <c r="Q68" s="38">
        <f>Standing!$O$111</f>
        <v>3.880012194694147E-2</v>
      </c>
      <c r="R68" s="38">
        <f>Standing!$P$111</f>
        <v>0</v>
      </c>
      <c r="S68" s="38">
        <f>Standing!$Q$111</f>
        <v>0.14992415767374387</v>
      </c>
      <c r="T68" s="38">
        <f>Standing!$R$111</f>
        <v>6.2442306810556875E-2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189</v>
      </c>
      <c r="B69" s="38">
        <f>Standing!$B$112</f>
        <v>0</v>
      </c>
      <c r="C69" s="38">
        <f>Standing!$C$112</f>
        <v>4.4511695444069181E-2</v>
      </c>
      <c r="D69" s="38">
        <f>Standing!$D$112</f>
        <v>6.8648747605353638E-3</v>
      </c>
      <c r="E69" s="38">
        <f>Standing!$E$112</f>
        <v>5.8225417281853493E-2</v>
      </c>
      <c r="F69" s="38">
        <f>Standing!$F$112</f>
        <v>1.0979723744663415E-2</v>
      </c>
      <c r="G69" s="38">
        <f>Standing!$G$112</f>
        <v>0</v>
      </c>
      <c r="H69" s="38">
        <f>Standing!$H$112</f>
        <v>4.2425790211693598E-2</v>
      </c>
      <c r="I69" s="38">
        <f>Standing!$I$112</f>
        <v>4.6500076231242677E-3</v>
      </c>
      <c r="J69" s="38">
        <f>Standing!$J$112</f>
        <v>0</v>
      </c>
      <c r="K69" s="10"/>
      <c r="L69" s="10"/>
      <c r="M69" s="38">
        <f>Standing!$K$112</f>
        <v>0</v>
      </c>
      <c r="N69" s="38">
        <f>Standing!$L$112</f>
        <v>3.1078697380908717E-2</v>
      </c>
      <c r="O69" s="38">
        <f>Standing!$M$112</f>
        <v>4.7931529705176421E-3</v>
      </c>
      <c r="P69" s="38">
        <f>Standing!$N$112</f>
        <v>4.0653812566040275E-2</v>
      </c>
      <c r="Q69" s="38">
        <f>Standing!$O$112</f>
        <v>4.0348415373822374E-2</v>
      </c>
      <c r="R69" s="38">
        <f>Standing!$P$112</f>
        <v>0</v>
      </c>
      <c r="S69" s="38">
        <f>Standing!$Q$112</f>
        <v>0.1559067828875085</v>
      </c>
      <c r="T69" s="38">
        <f>Standing!$R$112</f>
        <v>6.4934026123353694E-2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190</v>
      </c>
      <c r="B70" s="38">
        <f>Standing!$B$113</f>
        <v>0</v>
      </c>
      <c r="C70" s="38">
        <f>Standing!$C$113</f>
        <v>3.3626674920357855E-2</v>
      </c>
      <c r="D70" s="38">
        <f>Standing!$D$113</f>
        <v>5.1861181570033877E-3</v>
      </c>
      <c r="E70" s="38">
        <f>Standing!$E$113</f>
        <v>4.3960274037623225E-2</v>
      </c>
      <c r="F70" s="38">
        <f>Standing!$F$113</f>
        <v>8.2897072654081524E-3</v>
      </c>
      <c r="G70" s="38">
        <f>Standing!$G$113</f>
        <v>0</v>
      </c>
      <c r="H70" s="38">
        <f>Standing!$H$113</f>
        <v>2.5625226247026296E-2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0</v>
      </c>
      <c r="N70" s="38">
        <f>Standing!$L$113</f>
        <v>2.3478621592591838E-2</v>
      </c>
      <c r="O70" s="38">
        <f>Standing!$M$113</f>
        <v>3.6210212883414205E-3</v>
      </c>
      <c r="P70" s="38">
        <f>Standing!$N$113</f>
        <v>3.0693687130247223E-2</v>
      </c>
      <c r="Q70" s="38">
        <f>Standing!$O$113</f>
        <v>3.046311180958905E-2</v>
      </c>
      <c r="R70" s="38">
        <f>Standing!$P$113</f>
        <v>0</v>
      </c>
      <c r="S70" s="38">
        <f>Standing!$Q$113</f>
        <v>9.4167876779752968E-2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191</v>
      </c>
      <c r="B71" s="38">
        <f>Standing!$B$114</f>
        <v>0</v>
      </c>
      <c r="C71" s="38">
        <f>Standing!$C$114</f>
        <v>3.2223300597909614E-2</v>
      </c>
      <c r="D71" s="38">
        <f>Standing!$D$114</f>
        <v>4.9696809067561161E-3</v>
      </c>
      <c r="E71" s="38">
        <f>Standing!$E$114</f>
        <v>4.2125637697922595E-2</v>
      </c>
      <c r="F71" s="38">
        <f>Standing!$F$114</f>
        <v>7.9437449499416488E-3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0</v>
      </c>
      <c r="N71" s="38">
        <f>Standing!$L$114</f>
        <v>2.2498765726748429E-2</v>
      </c>
      <c r="O71" s="38">
        <f>Standing!$M$114</f>
        <v>3.4699017289698125E-3</v>
      </c>
      <c r="P71" s="38">
        <f>Standing!$N$114</f>
        <v>2.9412718004341438E-2</v>
      </c>
      <c r="Q71" s="38">
        <f>Standing!$O$114</f>
        <v>2.9191765505004966E-2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208</v>
      </c>
      <c r="B72" s="38">
        <f>Standing!$B$115</f>
        <v>0</v>
      </c>
      <c r="C72" s="38">
        <f>Standing!$C$115</f>
        <v>2.9846624551080659E-2</v>
      </c>
      <c r="D72" s="38">
        <f>Standing!$D$115</f>
        <v>1.5190345230134883E-3</v>
      </c>
      <c r="E72" s="38">
        <f>Standing!$E$115</f>
        <v>1.0300910528096107E-2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0</v>
      </c>
      <c r="N72" s="38">
        <f>Standing!$L$115</f>
        <v>2.0839336785771222E-2</v>
      </c>
      <c r="O72" s="38">
        <f>Standing!$M$115</f>
        <v>3.2139741184807765E-3</v>
      </c>
      <c r="P72" s="38">
        <f>Standing!$N$115</f>
        <v>2.1794672426805058E-2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230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233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234</v>
      </c>
      <c r="B77" s="38">
        <f>Yard!$B$113</f>
        <v>0</v>
      </c>
      <c r="C77" s="38">
        <f>Yard!$C$113</f>
        <v>7.2301698052638155E-2</v>
      </c>
      <c r="D77" s="38">
        <f>Yard!$D$113</f>
        <v>1.115082445531825E-2</v>
      </c>
      <c r="E77" s="38">
        <f>Yard!$E$113</f>
        <v>5.268966841644903E-2</v>
      </c>
      <c r="F77" s="38">
        <f>Yard!$F$113</f>
        <v>9.9358326726982187E-3</v>
      </c>
      <c r="G77" s="38">
        <f>Yard!$G$113</f>
        <v>0</v>
      </c>
      <c r="H77" s="38">
        <f>Yard!$H$113</f>
        <v>3.8392182021452829E-2</v>
      </c>
      <c r="I77" s="38">
        <f>Yard!$I$113</f>
        <v>4.2079107584641886E-3</v>
      </c>
      <c r="J77" s="38">
        <f>Yard!$J$113</f>
        <v>9.8636558767644152E-3</v>
      </c>
      <c r="K77" s="10"/>
      <c r="L77" s="10"/>
      <c r="M77" s="38">
        <f>Yard!$K$113</f>
        <v>1.7934389242022904E-2</v>
      </c>
      <c r="N77" s="38">
        <f>Yard!$L$113</f>
        <v>5.0482071542911275E-2</v>
      </c>
      <c r="O77" s="38">
        <f>Yard!$M$113</f>
        <v>7.785663865128003E-3</v>
      </c>
      <c r="P77" s="38">
        <f>Yard!$N$113</f>
        <v>3.6788674155826394E-2</v>
      </c>
      <c r="Q77" s="38">
        <f>Yard!$O$113</f>
        <v>3.6512312430235276E-2</v>
      </c>
      <c r="R77" s="38">
        <f>Yard!$P$113</f>
        <v>0</v>
      </c>
      <c r="S77" s="38">
        <f>Yard!$Q$113</f>
        <v>0.14108403301694006</v>
      </c>
      <c r="T77" s="38">
        <f>Yard!$R$113</f>
        <v>5.8760460037971127E-2</v>
      </c>
      <c r="U77" s="38">
        <f>Yard!$S$113</f>
        <v>0.13773888997267034</v>
      </c>
      <c r="V77" s="38">
        <f>Otex!$B$166</f>
        <v>0.91563152661122216</v>
      </c>
      <c r="W77" s="10"/>
      <c r="X77" s="17"/>
    </row>
    <row r="78" spans="1:24" x14ac:dyDescent="0.25">
      <c r="A78" s="4" t="s">
        <v>192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193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194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196</v>
      </c>
      <c r="B82" s="38">
        <f>Yard!$B$114</f>
        <v>0</v>
      </c>
      <c r="C82" s="38">
        <f>Yard!$C$114</f>
        <v>-2.8909242779250523E-2</v>
      </c>
      <c r="D82" s="38">
        <f>Yard!$D$114</f>
        <v>-4.4585659818516098E-3</v>
      </c>
      <c r="E82" s="38">
        <f>Yard!$E$114</f>
        <v>-3.7793157896401051E-2</v>
      </c>
      <c r="F82" s="38">
        <f>Yard!$F$114</f>
        <v>-7.126757565896466E-3</v>
      </c>
      <c r="G82" s="38">
        <f>Yard!$G$114</f>
        <v>0</v>
      </c>
      <c r="H82" s="38">
        <f>Yard!$H$114</f>
        <v>-2.7537880588961245E-2</v>
      </c>
      <c r="I82" s="38">
        <f>Yard!$I$114</f>
        <v>-3.0182432436594072E-3</v>
      </c>
      <c r="J82" s="38">
        <f>Yard!$J$114</f>
        <v>0</v>
      </c>
      <c r="K82" s="10"/>
      <c r="L82" s="10"/>
      <c r="M82" s="38">
        <f>Yard!$K$114</f>
        <v>0</v>
      </c>
      <c r="N82" s="38">
        <f>Yard!$L$114</f>
        <v>-2.0184843531213099E-2</v>
      </c>
      <c r="O82" s="38">
        <f>Yard!$M$114</f>
        <v>-3.1130340356703527E-3</v>
      </c>
      <c r="P82" s="38">
        <f>Yard!$N$114</f>
        <v>-2.6387719128942992E-2</v>
      </c>
      <c r="Q82" s="38">
        <f>Yard!$O$114</f>
        <v>-2.6189490849174081E-2</v>
      </c>
      <c r="R82" s="38">
        <f>Yard!$P$114</f>
        <v>0</v>
      </c>
      <c r="S82" s="38">
        <f>Yard!$Q$114</f>
        <v>-0.10119652100155729</v>
      </c>
      <c r="T82" s="38">
        <f>Yard!$R$114</f>
        <v>-4.214760523311472E-2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197</v>
      </c>
      <c r="B83" s="38">
        <f>Yard!$B$115</f>
        <v>0</v>
      </c>
      <c r="C83" s="38">
        <f>Yard!$C$115</f>
        <v>-2.8909242779250523E-2</v>
      </c>
      <c r="D83" s="38">
        <f>Yard!$D$115</f>
        <v>-4.4585659818516098E-3</v>
      </c>
      <c r="E83" s="38">
        <f>Yard!$E$115</f>
        <v>-3.7793157896401051E-2</v>
      </c>
      <c r="F83" s="38">
        <f>Yard!$F$115</f>
        <v>-7.126757565896466E-3</v>
      </c>
      <c r="G83" s="38">
        <f>Yard!$G$115</f>
        <v>0</v>
      </c>
      <c r="H83" s="38">
        <f>Yard!$H$115</f>
        <v>-2.7537880588961245E-2</v>
      </c>
      <c r="I83" s="38">
        <f>Yard!$I$115</f>
        <v>-3.0182432436594072E-3</v>
      </c>
      <c r="J83" s="38">
        <f>Yard!$J$115</f>
        <v>0</v>
      </c>
      <c r="K83" s="10"/>
      <c r="L83" s="10"/>
      <c r="M83" s="38">
        <f>Yard!$K$115</f>
        <v>0</v>
      </c>
      <c r="N83" s="38">
        <f>Yard!$L$115</f>
        <v>-2.0184843531213099E-2</v>
      </c>
      <c r="O83" s="38">
        <f>Yard!$M$115</f>
        <v>-3.1130340356703527E-3</v>
      </c>
      <c r="P83" s="38">
        <f>Yard!$N$115</f>
        <v>-2.6387719128942992E-2</v>
      </c>
      <c r="Q83" s="38">
        <f>Yard!$O$115</f>
        <v>-2.6189490849174081E-2</v>
      </c>
      <c r="R83" s="38">
        <f>Yard!$P$115</f>
        <v>0</v>
      </c>
      <c r="S83" s="38">
        <f>Yard!$Q$115</f>
        <v>-0.10119652100155729</v>
      </c>
      <c r="T83" s="38">
        <f>Yard!$R$115</f>
        <v>-4.214760523311472E-2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198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200</v>
      </c>
      <c r="B86" s="38">
        <f>Yard!$B$116</f>
        <v>0</v>
      </c>
      <c r="C86" s="38">
        <f>Yard!$C$116</f>
        <v>-2.8555363159542178E-2</v>
      </c>
      <c r="D86" s="38">
        <f>Yard!$D$116</f>
        <v>-4.4039884321679266E-3</v>
      </c>
      <c r="E86" s="38">
        <f>Yard!$E$116</f>
        <v>-3.7330529786558098E-2</v>
      </c>
      <c r="F86" s="38">
        <f>Yard!$F$116</f>
        <v>-7.0395185373120445E-3</v>
      </c>
      <c r="G86" s="38">
        <f>Yard!$G$116</f>
        <v>0</v>
      </c>
      <c r="H86" s="38">
        <f>Yard!$H$116</f>
        <v>-2.7200787888719727E-2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0</v>
      </c>
      <c r="N86" s="38">
        <f>Yard!$L$116</f>
        <v>-1.9937759759173768E-2</v>
      </c>
      <c r="O86" s="38">
        <f>Yard!$M$116</f>
        <v>-3.0749272160246707E-3</v>
      </c>
      <c r="P86" s="38">
        <f>Yard!$N$116</f>
        <v>-2.6064705617948394E-2</v>
      </c>
      <c r="Q86" s="38">
        <f>Yard!$O$116</f>
        <v>-2.5868903861378162E-2</v>
      </c>
      <c r="R86" s="38">
        <f>Yard!$P$116</f>
        <v>0</v>
      </c>
      <c r="S86" s="38">
        <f>Yard!$Q$116</f>
        <v>-9.9957768861236918E-2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201</v>
      </c>
      <c r="B87" s="38">
        <f>Yard!$B$117</f>
        <v>0</v>
      </c>
      <c r="C87" s="38">
        <f>Yard!$C$117</f>
        <v>-2.8555363159542178E-2</v>
      </c>
      <c r="D87" s="38">
        <f>Yard!$D$117</f>
        <v>-4.4039884321679266E-3</v>
      </c>
      <c r="E87" s="38">
        <f>Yard!$E$117</f>
        <v>-3.7330529786558098E-2</v>
      </c>
      <c r="F87" s="38">
        <f>Yard!$F$117</f>
        <v>-7.0395185373120445E-3</v>
      </c>
      <c r="G87" s="38">
        <f>Yard!$G$117</f>
        <v>0</v>
      </c>
      <c r="H87" s="38">
        <f>Yard!$H$117</f>
        <v>-2.7200787888719727E-2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0</v>
      </c>
      <c r="N87" s="38">
        <f>Yard!$L$117</f>
        <v>-1.9937759759173768E-2</v>
      </c>
      <c r="O87" s="38">
        <f>Yard!$M$117</f>
        <v>-3.0749272160246707E-3</v>
      </c>
      <c r="P87" s="38">
        <f>Yard!$N$117</f>
        <v>-2.6064705617948394E-2</v>
      </c>
      <c r="Q87" s="38">
        <f>Yard!$O$117</f>
        <v>-2.5868903861378162E-2</v>
      </c>
      <c r="R87" s="38">
        <f>Yard!$P$117</f>
        <v>0</v>
      </c>
      <c r="S87" s="38">
        <f>Yard!$Q$117</f>
        <v>-9.9957768861236918E-2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210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211</v>
      </c>
      <c r="B90" s="38">
        <f>Yard!$B$118</f>
        <v>0</v>
      </c>
      <c r="C90" s="38">
        <f>Yard!$C$118</f>
        <v>-2.8255926558250512E-2</v>
      </c>
      <c r="D90" s="38">
        <f>Yard!$D$118</f>
        <v>-1.4380764514345106E-3</v>
      </c>
      <c r="E90" s="38">
        <f>Yard!$E$118</f>
        <v>-1.2189894826584948E-2</v>
      </c>
      <c r="F90" s="38">
        <f>Yard!$F$118</f>
        <v>0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0</v>
      </c>
      <c r="N90" s="38">
        <f>Yard!$L$118</f>
        <v>-1.9728688875140489E-2</v>
      </c>
      <c r="O90" s="38">
        <f>Yard!$M$118</f>
        <v>-3.0426829840167857E-3</v>
      </c>
      <c r="P90" s="38">
        <f>Yard!$N$118</f>
        <v>-2.5791386493260664E-2</v>
      </c>
      <c r="Q90" s="38">
        <f>Yard!$O$118</f>
        <v>-2.5597637948627773E-2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212</v>
      </c>
      <c r="B91" s="38">
        <f>Yard!$B$119</f>
        <v>0</v>
      </c>
      <c r="C91" s="38">
        <f>Yard!$C$119</f>
        <v>-2.8255926558250512E-2</v>
      </c>
      <c r="D91" s="38">
        <f>Yard!$D$119</f>
        <v>-1.4380764514345106E-3</v>
      </c>
      <c r="E91" s="38">
        <f>Yard!$E$119</f>
        <v>-1.2189894826584948E-2</v>
      </c>
      <c r="F91" s="38">
        <f>Yard!$F$119</f>
        <v>0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0</v>
      </c>
      <c r="N91" s="38">
        <f>Yard!$L$119</f>
        <v>-1.9728688875140489E-2</v>
      </c>
      <c r="O91" s="38">
        <f>Yard!$M$119</f>
        <v>-3.0426829840167857E-3</v>
      </c>
      <c r="P91" s="38">
        <f>Yard!$N$119</f>
        <v>-2.5791386493260664E-2</v>
      </c>
      <c r="Q91" s="38">
        <f>Yard!$O$119</f>
        <v>-2.5597637948627773E-2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1105</v>
      </c>
    </row>
    <row r="94" spans="1:24" x14ac:dyDescent="0.25">
      <c r="A94" s="2" t="s">
        <v>381</v>
      </c>
    </row>
    <row r="95" spans="1:24" x14ac:dyDescent="0.25">
      <c r="A95" s="32" t="s">
        <v>1106</v>
      </c>
    </row>
    <row r="96" spans="1:24" x14ac:dyDescent="0.25">
      <c r="A96" s="32" t="s">
        <v>1107</v>
      </c>
    </row>
    <row r="97" spans="1:24" x14ac:dyDescent="0.25">
      <c r="A97" s="32" t="s">
        <v>1108</v>
      </c>
    </row>
    <row r="98" spans="1:24" x14ac:dyDescent="0.25">
      <c r="A98" s="32" t="s">
        <v>1109</v>
      </c>
    </row>
    <row r="99" spans="1:24" x14ac:dyDescent="0.25">
      <c r="A99" s="32" t="s">
        <v>1110</v>
      </c>
    </row>
    <row r="100" spans="1:24" x14ac:dyDescent="0.25">
      <c r="A100" s="2" t="s">
        <v>470</v>
      </c>
    </row>
    <row r="102" spans="1:24" ht="30" x14ac:dyDescent="0.25">
      <c r="B102" s="15" t="s">
        <v>150</v>
      </c>
      <c r="C102" s="15" t="s">
        <v>335</v>
      </c>
      <c r="D102" s="15" t="s">
        <v>336</v>
      </c>
      <c r="E102" s="15" t="s">
        <v>337</v>
      </c>
      <c r="F102" s="15" t="s">
        <v>338</v>
      </c>
      <c r="G102" s="15" t="s">
        <v>339</v>
      </c>
      <c r="H102" s="15" t="s">
        <v>340</v>
      </c>
      <c r="I102" s="15" t="s">
        <v>341</v>
      </c>
      <c r="J102" s="15" t="s">
        <v>342</v>
      </c>
      <c r="K102" s="15" t="s">
        <v>493</v>
      </c>
      <c r="L102" s="15" t="s">
        <v>505</v>
      </c>
      <c r="M102" s="15" t="s">
        <v>323</v>
      </c>
      <c r="N102" s="15" t="s">
        <v>911</v>
      </c>
      <c r="O102" s="15" t="s">
        <v>912</v>
      </c>
      <c r="P102" s="15" t="s">
        <v>913</v>
      </c>
      <c r="Q102" s="15" t="s">
        <v>914</v>
      </c>
      <c r="R102" s="15" t="s">
        <v>915</v>
      </c>
      <c r="S102" s="15" t="s">
        <v>916</v>
      </c>
      <c r="T102" s="15" t="s">
        <v>917</v>
      </c>
      <c r="U102" s="15" t="s">
        <v>918</v>
      </c>
      <c r="V102" s="15" t="s">
        <v>919</v>
      </c>
      <c r="W102" s="15" t="s">
        <v>920</v>
      </c>
    </row>
    <row r="103" spans="1:24" x14ac:dyDescent="0.25">
      <c r="A103" s="4" t="s">
        <v>182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228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229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186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187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188</v>
      </c>
      <c r="B112" s="38">
        <f>Standing!$B$125</f>
        <v>0</v>
      </c>
      <c r="C112" s="38">
        <f>Standing!$C$125</f>
        <v>1.3437531346544853E-2</v>
      </c>
      <c r="D112" s="38">
        <f>Standing!$D$125</f>
        <v>2.072420941608723E-3</v>
      </c>
      <c r="E112" s="38">
        <f>Standing!$E$125</f>
        <v>9.9083559925561525E-3</v>
      </c>
      <c r="F112" s="38">
        <f>Standing!$F$125</f>
        <v>1.8684453738720152E-3</v>
      </c>
      <c r="G112" s="38">
        <f>Standing!$G$125</f>
        <v>0</v>
      </c>
      <c r="H112" s="38">
        <f>Standing!$H$125</f>
        <v>7.219696350960746E-3</v>
      </c>
      <c r="I112" s="38">
        <f>Standing!$I$125</f>
        <v>7.9130271707601014E-4</v>
      </c>
      <c r="J112" s="38">
        <f>Standing!$J$125</f>
        <v>0</v>
      </c>
      <c r="K112" s="10"/>
      <c r="L112" s="10"/>
      <c r="M112" s="38">
        <f>Standing!$K$125</f>
        <v>0</v>
      </c>
      <c r="N112" s="38">
        <f>Standing!$L$125</f>
        <v>9.3822750649995065E-3</v>
      </c>
      <c r="O112" s="38">
        <f>Standing!$M$125</f>
        <v>1.4469937091263335E-3</v>
      </c>
      <c r="P112" s="38">
        <f>Standing!$N$125</f>
        <v>6.9181547537748621E-3</v>
      </c>
      <c r="Q112" s="38">
        <f>Standing!$O$125</f>
        <v>6.866184596395414E-3</v>
      </c>
      <c r="R112" s="38">
        <f>Standing!$P$125</f>
        <v>0</v>
      </c>
      <c r="S112" s="38">
        <f>Standing!$Q$125</f>
        <v>2.6531023367779988E-2</v>
      </c>
      <c r="T112" s="38">
        <f>Standing!$R$125</f>
        <v>1.1049975713280941E-2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189</v>
      </c>
      <c r="B113" s="38">
        <f>Standing!$B$126</f>
        <v>0</v>
      </c>
      <c r="C113" s="38">
        <f>Standing!$C$126</f>
        <v>1.3960856895902322E-2</v>
      </c>
      <c r="D113" s="38">
        <f>Standing!$D$126</f>
        <v>2.1531315126055431E-3</v>
      </c>
      <c r="E113" s="38">
        <f>Standing!$E$126</f>
        <v>1.0303742441996937E-2</v>
      </c>
      <c r="F113" s="38">
        <f>Standing!$F$126</f>
        <v>1.9430044614647821E-3</v>
      </c>
      <c r="G113" s="38">
        <f>Standing!$G$126</f>
        <v>0</v>
      </c>
      <c r="H113" s="38">
        <f>Standing!$H$126</f>
        <v>7.5077936002311092E-3</v>
      </c>
      <c r="I113" s="38">
        <f>Standing!$I$126</f>
        <v>8.2287913318102046E-4</v>
      </c>
      <c r="J113" s="38">
        <f>Standing!$J$126</f>
        <v>0</v>
      </c>
      <c r="K113" s="10"/>
      <c r="L113" s="10"/>
      <c r="M113" s="38">
        <f>Standing!$K$126</f>
        <v>0</v>
      </c>
      <c r="N113" s="38">
        <f>Standing!$L$126</f>
        <v>9.7476683895610303E-3</v>
      </c>
      <c r="O113" s="38">
        <f>Standing!$M$126</f>
        <v>1.5033469750809503E-3</v>
      </c>
      <c r="P113" s="38">
        <f>Standing!$N$126</f>
        <v>7.19421918331614E-3</v>
      </c>
      <c r="Q113" s="38">
        <f>Standing!$O$126</f>
        <v>7.1401751908808488E-3</v>
      </c>
      <c r="R113" s="38">
        <f>Standing!$P$126</f>
        <v>0</v>
      </c>
      <c r="S113" s="38">
        <f>Standing!$Q$126</f>
        <v>2.7589726460129287E-2</v>
      </c>
      <c r="T113" s="38">
        <f>Standing!$R$126</f>
        <v>1.1490917749170984E-2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190</v>
      </c>
      <c r="B114" s="38">
        <f>Standing!$B$127</f>
        <v>0</v>
      </c>
      <c r="C114" s="38">
        <f>Standing!$C$127</f>
        <v>1.0546828013730376E-2</v>
      </c>
      <c r="D114" s="38">
        <f>Standing!$D$127</f>
        <v>1.6265984189737723E-3</v>
      </c>
      <c r="E114" s="38">
        <f>Standing!$E$127</f>
        <v>7.7793404067958887E-3</v>
      </c>
      <c r="F114" s="38">
        <f>Standing!$F$127</f>
        <v>1.4669711711784812E-3</v>
      </c>
      <c r="G114" s="38">
        <f>Standing!$G$127</f>
        <v>0</v>
      </c>
      <c r="H114" s="38">
        <f>Standing!$H$127</f>
        <v>4.5347159984982718E-3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0</v>
      </c>
      <c r="N114" s="38">
        <f>Standing!$L$127</f>
        <v>7.3639449788896142E-3</v>
      </c>
      <c r="O114" s="38">
        <f>Standing!$M$127</f>
        <v>1.135714097591988E-3</v>
      </c>
      <c r="P114" s="38">
        <f>Standing!$N$127</f>
        <v>5.4316458610227771E-3</v>
      </c>
      <c r="Q114" s="38">
        <f>Standing!$O$127</f>
        <v>5.390842568775988E-3</v>
      </c>
      <c r="R114" s="38">
        <f>Standing!$P$127</f>
        <v>0</v>
      </c>
      <c r="S114" s="38">
        <f>Standing!$Q$127</f>
        <v>1.6664226620333324E-2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191</v>
      </c>
      <c r="B115" s="38">
        <f>Standing!$B$128</f>
        <v>0</v>
      </c>
      <c r="C115" s="38">
        <f>Standing!$C$128</f>
        <v>1.0106667110138143E-2</v>
      </c>
      <c r="D115" s="38">
        <f>Standing!$D$128</f>
        <v>1.5587140248274833E-3</v>
      </c>
      <c r="E115" s="38">
        <f>Standing!$E$128</f>
        <v>7.4546777216407782E-3</v>
      </c>
      <c r="F115" s="38">
        <f>Standing!$F$128</f>
        <v>1.4057486542843898E-3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0</v>
      </c>
      <c r="N115" s="38">
        <f>Standing!$L$128</f>
        <v>7.056618390109382E-3</v>
      </c>
      <c r="O115" s="38">
        <f>Standing!$M$128</f>
        <v>1.0883162503181217E-3</v>
      </c>
      <c r="P115" s="38">
        <f>Standing!$N$128</f>
        <v>5.2049617672774023E-3</v>
      </c>
      <c r="Q115" s="38">
        <f>Standing!$O$128</f>
        <v>5.1658613580169961E-3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208</v>
      </c>
      <c r="B116" s="38">
        <f>Standing!$B$129</f>
        <v>0</v>
      </c>
      <c r="C116" s="38">
        <f>Standing!$C$129</f>
        <v>9.3612352894295731E-3</v>
      </c>
      <c r="D116" s="38">
        <f>Standing!$D$129</f>
        <v>4.7643711128402357E-4</v>
      </c>
      <c r="E116" s="38">
        <f>Standing!$E$129</f>
        <v>1.8228796624294161E-3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0</v>
      </c>
      <c r="N116" s="38">
        <f>Standing!$L$129</f>
        <v>6.5361473151980291E-3</v>
      </c>
      <c r="O116" s="38">
        <f>Standing!$M$129</f>
        <v>1.0080459143962457E-3</v>
      </c>
      <c r="P116" s="38">
        <f>Standing!$N$129</f>
        <v>3.8568498394167799E-3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230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231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232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233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234</v>
      </c>
      <c r="B121" s="38">
        <f>Yard!$B$136</f>
        <v>0</v>
      </c>
      <c r="C121" s="38">
        <f>Yard!$C$136</f>
        <v>9.9663988421702637E-3</v>
      </c>
      <c r="D121" s="38">
        <f>Yard!$D$136</f>
        <v>1.5370809667543161E-3</v>
      </c>
      <c r="E121" s="38">
        <f>Yard!$E$136</f>
        <v>7.3512158463382516E-3</v>
      </c>
      <c r="F121" s="38">
        <f>Yard!$F$136</f>
        <v>1.3862385698237229E-3</v>
      </c>
      <c r="G121" s="38">
        <f>Yard!$G$136</f>
        <v>0</v>
      </c>
      <c r="H121" s="38">
        <f>Yard!$H$136</f>
        <v>5.3564432142734495E-3</v>
      </c>
      <c r="I121" s="38">
        <f>Yard!$I$136</f>
        <v>5.8708398016682505E-4</v>
      </c>
      <c r="J121" s="38">
        <f>Yard!$J$136</f>
        <v>1.3761685272147461E-3</v>
      </c>
      <c r="K121" s="10"/>
      <c r="L121" s="10"/>
      <c r="M121" s="38">
        <f>Yard!$K$136</f>
        <v>0</v>
      </c>
      <c r="N121" s="38">
        <f>Yard!$L$136</f>
        <v>6.9586810950046478E-3</v>
      </c>
      <c r="O121" s="38">
        <f>Yard!$M$136</f>
        <v>1.073211742197904E-3</v>
      </c>
      <c r="P121" s="38">
        <f>Yard!$N$136</f>
        <v>5.132723217815072E-3</v>
      </c>
      <c r="Q121" s="38">
        <f>Yard!$O$136</f>
        <v>5.0941654747594612E-3</v>
      </c>
      <c r="R121" s="38">
        <f>Yard!$P$136</f>
        <v>0</v>
      </c>
      <c r="S121" s="38">
        <f>Yard!$Q$136</f>
        <v>1.9683919264438899E-2</v>
      </c>
      <c r="T121" s="38">
        <f>Yard!$R$136</f>
        <v>8.1982073137208504E-3</v>
      </c>
      <c r="U121" s="38">
        <f>Yard!$S$136</f>
        <v>1.9217207871212009E-2</v>
      </c>
      <c r="V121" s="38">
        <f>Otex!$B$166</f>
        <v>0.91563152661122216</v>
      </c>
      <c r="W121" s="10"/>
      <c r="X121" s="17"/>
    </row>
    <row r="122" spans="1:24" x14ac:dyDescent="0.25">
      <c r="A122" s="4" t="s">
        <v>192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195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196</v>
      </c>
      <c r="B126" s="38">
        <f>Yard!$B$137</f>
        <v>0</v>
      </c>
      <c r="C126" s="38">
        <f>Yard!$C$137</f>
        <v>-9.0672304746771907E-3</v>
      </c>
      <c r="D126" s="38">
        <f>Yard!$D$137</f>
        <v>-1.3984055429158502E-3</v>
      </c>
      <c r="E126" s="38">
        <f>Yard!$E$137</f>
        <v>-6.6879892530302704E-3</v>
      </c>
      <c r="F126" s="38">
        <f>Yard!$F$137</f>
        <v>-1.261172144977243E-3</v>
      </c>
      <c r="G126" s="38">
        <f>Yard!$G$137</f>
        <v>0</v>
      </c>
      <c r="H126" s="38">
        <f>Yard!$H$137</f>
        <v>-4.8731849806004715E-3</v>
      </c>
      <c r="I126" s="38">
        <f>Yard!$I$137</f>
        <v>-5.3411727149023456E-4</v>
      </c>
      <c r="J126" s="38">
        <f>Yard!$J$137</f>
        <v>0</v>
      </c>
      <c r="K126" s="10"/>
      <c r="L126" s="10"/>
      <c r="M126" s="38">
        <f>Yard!$K$137</f>
        <v>0</v>
      </c>
      <c r="N126" s="38">
        <f>Yard!$L$137</f>
        <v>-6.330868981603642E-3</v>
      </c>
      <c r="O126" s="38">
        <f>Yard!$M$137</f>
        <v>-9.7638659346681517E-4</v>
      </c>
      <c r="P126" s="38">
        <f>Yard!$N$137</f>
        <v>-4.6696489991686525E-3</v>
      </c>
      <c r="Q126" s="38">
        <f>Yard!$O$137</f>
        <v>-4.6345699351651812E-3</v>
      </c>
      <c r="R126" s="38">
        <f>Yard!$P$137</f>
        <v>0</v>
      </c>
      <c r="S126" s="38">
        <f>Yard!$Q$137</f>
        <v>-1.7908036337098931E-2</v>
      </c>
      <c r="T126" s="38">
        <f>Yard!$R$137</f>
        <v>-7.4585651617875698E-3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197</v>
      </c>
      <c r="B127" s="38">
        <f>Yard!$B$138</f>
        <v>0</v>
      </c>
      <c r="C127" s="38">
        <f>Yard!$C$138</f>
        <v>-9.0672304746771907E-3</v>
      </c>
      <c r="D127" s="38">
        <f>Yard!$D$138</f>
        <v>-1.3984055429158502E-3</v>
      </c>
      <c r="E127" s="38">
        <f>Yard!$E$138</f>
        <v>-6.6879892530302704E-3</v>
      </c>
      <c r="F127" s="38">
        <f>Yard!$F$138</f>
        <v>-1.261172144977243E-3</v>
      </c>
      <c r="G127" s="38">
        <f>Yard!$G$138</f>
        <v>0</v>
      </c>
      <c r="H127" s="38">
        <f>Yard!$H$138</f>
        <v>-4.8731849806004715E-3</v>
      </c>
      <c r="I127" s="38">
        <f>Yard!$I$138</f>
        <v>-5.3411727149023456E-4</v>
      </c>
      <c r="J127" s="38">
        <f>Yard!$J$138</f>
        <v>0</v>
      </c>
      <c r="K127" s="10"/>
      <c r="L127" s="10"/>
      <c r="M127" s="38">
        <f>Yard!$K$138</f>
        <v>0</v>
      </c>
      <c r="N127" s="38">
        <f>Yard!$L$138</f>
        <v>-6.330868981603642E-3</v>
      </c>
      <c r="O127" s="38">
        <f>Yard!$M$138</f>
        <v>-9.7638659346681517E-4</v>
      </c>
      <c r="P127" s="38">
        <f>Yard!$N$138</f>
        <v>-4.6696489991686525E-3</v>
      </c>
      <c r="Q127" s="38">
        <f>Yard!$O$138</f>
        <v>-4.6345699351651812E-3</v>
      </c>
      <c r="R127" s="38">
        <f>Yard!$P$138</f>
        <v>0</v>
      </c>
      <c r="S127" s="38">
        <f>Yard!$Q$138</f>
        <v>-1.7908036337098931E-2</v>
      </c>
      <c r="T127" s="38">
        <f>Yard!$R$138</f>
        <v>-7.4585651617875698E-3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198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199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200</v>
      </c>
      <c r="B130" s="38">
        <f>Yard!$B$139</f>
        <v>0</v>
      </c>
      <c r="C130" s="38">
        <f>Yard!$C$139</f>
        <v>-8.9562380112395232E-3</v>
      </c>
      <c r="D130" s="38">
        <f>Yard!$D$139</f>
        <v>-1.3812875842925865E-3</v>
      </c>
      <c r="E130" s="38">
        <f>Yard!$E$139</f>
        <v>-6.6061212113265096E-3</v>
      </c>
      <c r="F130" s="38">
        <f>Yard!$F$139</f>
        <v>-1.2457340678730014E-3</v>
      </c>
      <c r="G130" s="38">
        <f>Yard!$G$139</f>
        <v>0</v>
      </c>
      <c r="H130" s="38">
        <f>Yard!$H$139</f>
        <v>-4.8135320571091288E-3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0</v>
      </c>
      <c r="N130" s="38">
        <f>Yard!$L$139</f>
        <v>-6.2533724686461584E-3</v>
      </c>
      <c r="O130" s="38">
        <f>Yard!$M$139</f>
        <v>-9.6443459185187276E-4</v>
      </c>
      <c r="P130" s="38">
        <f>Yard!$N$139</f>
        <v>-4.6124875707419175E-3</v>
      </c>
      <c r="Q130" s="38">
        <f>Yard!$O$139</f>
        <v>-4.5778379114767183E-3</v>
      </c>
      <c r="R130" s="38">
        <f>Yard!$P$139</f>
        <v>0</v>
      </c>
      <c r="S130" s="38">
        <f>Yard!$Q$139</f>
        <v>-1.7688823086268148E-2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201</v>
      </c>
      <c r="B131" s="38">
        <f>Yard!$B$140</f>
        <v>0</v>
      </c>
      <c r="C131" s="38">
        <f>Yard!$C$140</f>
        <v>-8.9562380112395232E-3</v>
      </c>
      <c r="D131" s="38">
        <f>Yard!$D$140</f>
        <v>-1.3812875842925865E-3</v>
      </c>
      <c r="E131" s="38">
        <f>Yard!$E$140</f>
        <v>-6.6061212113265096E-3</v>
      </c>
      <c r="F131" s="38">
        <f>Yard!$F$140</f>
        <v>-1.2457340678730014E-3</v>
      </c>
      <c r="G131" s="38">
        <f>Yard!$G$140</f>
        <v>0</v>
      </c>
      <c r="H131" s="38">
        <f>Yard!$H$140</f>
        <v>-4.8135320571091288E-3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0</v>
      </c>
      <c r="N131" s="38">
        <f>Yard!$L$140</f>
        <v>-6.2533724686461584E-3</v>
      </c>
      <c r="O131" s="38">
        <f>Yard!$M$140</f>
        <v>-9.6443459185187276E-4</v>
      </c>
      <c r="P131" s="38">
        <f>Yard!$N$140</f>
        <v>-4.6124875707419175E-3</v>
      </c>
      <c r="Q131" s="38">
        <f>Yard!$O$140</f>
        <v>-4.5778379114767183E-3</v>
      </c>
      <c r="R131" s="38">
        <f>Yard!$P$140</f>
        <v>0</v>
      </c>
      <c r="S131" s="38">
        <f>Yard!$Q$140</f>
        <v>-1.7688823086268148E-2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209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210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211</v>
      </c>
      <c r="B134" s="38">
        <f>Yard!$B$141</f>
        <v>0</v>
      </c>
      <c r="C134" s="38">
        <f>Yard!$C$141</f>
        <v>-8.8623213114076508E-3</v>
      </c>
      <c r="D134" s="38">
        <f>Yard!$D$141</f>
        <v>-4.5104504206251907E-4</v>
      </c>
      <c r="E134" s="38">
        <f>Yard!$E$141</f>
        <v>-2.1571599234773906E-3</v>
      </c>
      <c r="F134" s="38">
        <f>Yard!$F$141</f>
        <v>0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0</v>
      </c>
      <c r="N134" s="38">
        <f>Yard!$L$141</f>
        <v>-6.1877984961436708E-3</v>
      </c>
      <c r="O134" s="38">
        <f>Yard!$M$141</f>
        <v>-9.5432135971615253E-4</v>
      </c>
      <c r="P134" s="38">
        <f>Yard!$N$141</f>
        <v>-4.5641202082269882E-3</v>
      </c>
      <c r="Q134" s="38">
        <f>Yard!$O$141</f>
        <v>-4.5298338914326348E-3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212</v>
      </c>
      <c r="B135" s="38">
        <f>Yard!$B$142</f>
        <v>0</v>
      </c>
      <c r="C135" s="38">
        <f>Yard!$C$142</f>
        <v>-8.8623213114076508E-3</v>
      </c>
      <c r="D135" s="38">
        <f>Yard!$D$142</f>
        <v>-4.5104504206251907E-4</v>
      </c>
      <c r="E135" s="38">
        <f>Yard!$E$142</f>
        <v>-2.1571599234773906E-3</v>
      </c>
      <c r="F135" s="38">
        <f>Yard!$F$142</f>
        <v>0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0</v>
      </c>
      <c r="N135" s="38">
        <f>Yard!$L$142</f>
        <v>-6.1877984961436708E-3</v>
      </c>
      <c r="O135" s="38">
        <f>Yard!$M$142</f>
        <v>-9.5432135971615253E-4</v>
      </c>
      <c r="P135" s="38">
        <f>Yard!$N$142</f>
        <v>-4.5641202082269882E-3</v>
      </c>
      <c r="Q135" s="38">
        <f>Yard!$O$142</f>
        <v>-4.5298338914326348E-3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1111</v>
      </c>
    </row>
    <row r="138" spans="1:24" x14ac:dyDescent="0.25">
      <c r="A138" s="2" t="s">
        <v>381</v>
      </c>
    </row>
    <row r="139" spans="1:24" x14ac:dyDescent="0.25">
      <c r="A139" s="32" t="s">
        <v>1112</v>
      </c>
    </row>
    <row r="140" spans="1:24" x14ac:dyDescent="0.25">
      <c r="A140" s="32" t="s">
        <v>1113</v>
      </c>
    </row>
    <row r="141" spans="1:24" x14ac:dyDescent="0.25">
      <c r="A141" s="32" t="s">
        <v>1114</v>
      </c>
    </row>
    <row r="142" spans="1:24" x14ac:dyDescent="0.25">
      <c r="A142" s="32" t="s">
        <v>1115</v>
      </c>
    </row>
    <row r="143" spans="1:24" x14ac:dyDescent="0.25">
      <c r="A143" s="32" t="s">
        <v>1116</v>
      </c>
    </row>
    <row r="144" spans="1:24" x14ac:dyDescent="0.25">
      <c r="A144" s="2" t="s">
        <v>470</v>
      </c>
    </row>
    <row r="146" spans="1:24" ht="30" x14ac:dyDescent="0.25">
      <c r="B146" s="15" t="s">
        <v>150</v>
      </c>
      <c r="C146" s="15" t="s">
        <v>335</v>
      </c>
      <c r="D146" s="15" t="s">
        <v>336</v>
      </c>
      <c r="E146" s="15" t="s">
        <v>337</v>
      </c>
      <c r="F146" s="15" t="s">
        <v>338</v>
      </c>
      <c r="G146" s="15" t="s">
        <v>339</v>
      </c>
      <c r="H146" s="15" t="s">
        <v>340</v>
      </c>
      <c r="I146" s="15" t="s">
        <v>341</v>
      </c>
      <c r="J146" s="15" t="s">
        <v>342</v>
      </c>
      <c r="K146" s="15" t="s">
        <v>493</v>
      </c>
      <c r="L146" s="15" t="s">
        <v>505</v>
      </c>
      <c r="M146" s="15" t="s">
        <v>323</v>
      </c>
      <c r="N146" s="15" t="s">
        <v>911</v>
      </c>
      <c r="O146" s="15" t="s">
        <v>912</v>
      </c>
      <c r="P146" s="15" t="s">
        <v>913</v>
      </c>
      <c r="Q146" s="15" t="s">
        <v>914</v>
      </c>
      <c r="R146" s="15" t="s">
        <v>915</v>
      </c>
      <c r="S146" s="15" t="s">
        <v>916</v>
      </c>
      <c r="T146" s="15" t="s">
        <v>917</v>
      </c>
      <c r="U146" s="15" t="s">
        <v>918</v>
      </c>
      <c r="V146" s="15" t="s">
        <v>919</v>
      </c>
      <c r="W146" s="15" t="s">
        <v>920</v>
      </c>
    </row>
    <row r="147" spans="1:24" x14ac:dyDescent="0.25">
      <c r="A147" s="4" t="s">
        <v>182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0.19377034374633198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2.7058640721758009</v>
      </c>
      <c r="V147" s="38">
        <f>Otex!$B$121</f>
        <v>2.1249285582131563</v>
      </c>
      <c r="W147" s="38">
        <f>Otex!$C$121</f>
        <v>0</v>
      </c>
      <c r="X147" s="17"/>
    </row>
    <row r="148" spans="1:24" x14ac:dyDescent="0.25">
      <c r="A148" s="4" t="s">
        <v>183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0.19377034374633198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2.7058640721758009</v>
      </c>
      <c r="V148" s="38">
        <f>Otex!$B$122</f>
        <v>2.1249285582131563</v>
      </c>
      <c r="W148" s="38">
        <f>Otex!$C$122</f>
        <v>0</v>
      </c>
      <c r="X148" s="17"/>
    </row>
    <row r="149" spans="1:24" x14ac:dyDescent="0.25">
      <c r="A149" s="4" t="s">
        <v>228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184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0.19377034374633198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2.7058640721758009</v>
      </c>
      <c r="V150" s="38">
        <f>Otex!$B$124</f>
        <v>6.4794669092842296</v>
      </c>
      <c r="W150" s="38">
        <f>Otex!$C$124</f>
        <v>0</v>
      </c>
      <c r="X150" s="17"/>
    </row>
    <row r="151" spans="1:24" x14ac:dyDescent="0.25">
      <c r="A151" s="4" t="s">
        <v>185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0.19377034374633198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2.7058640721758009</v>
      </c>
      <c r="V151" s="38">
        <f>Otex!$B$125</f>
        <v>6.4794669092842296</v>
      </c>
      <c r="W151" s="38">
        <f>Otex!$C$125</f>
        <v>0</v>
      </c>
      <c r="X151" s="17"/>
    </row>
    <row r="152" spans="1:24" x14ac:dyDescent="0.25">
      <c r="A152" s="4" t="s">
        <v>229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186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1.0673640665739224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14.904974743992568</v>
      </c>
      <c r="V153" s="38">
        <f>Otex!$B$127</f>
        <v>7.4940396535042888</v>
      </c>
      <c r="W153" s="38">
        <f>Otex!$C$127</f>
        <v>0</v>
      </c>
      <c r="X153" s="17"/>
    </row>
    <row r="154" spans="1:24" x14ac:dyDescent="0.25">
      <c r="A154" s="4" t="s">
        <v>187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1.067171524104515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14.902286026306124</v>
      </c>
      <c r="U154" s="38">
        <f>AggCap!$S$94</f>
        <v>0</v>
      </c>
      <c r="V154" s="38">
        <f>Otex!$B$128</f>
        <v>5.4386068892892787</v>
      </c>
      <c r="W154" s="38">
        <f>Otex!$C$128</f>
        <v>0</v>
      </c>
      <c r="X154" s="17"/>
    </row>
    <row r="155" spans="1:24" x14ac:dyDescent="0.25">
      <c r="A155" s="4" t="s">
        <v>207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0.98074208225975412</v>
      </c>
      <c r="F155" s="38">
        <f>AggCap!$F$95</f>
        <v>0</v>
      </c>
      <c r="G155" s="38">
        <f>AggCap!$G$95</f>
        <v>0</v>
      </c>
      <c r="H155" s="38">
        <f>AggCap!$H$95</f>
        <v>0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2.0750546623750465</v>
      </c>
      <c r="Q155" s="38">
        <f>AggCap!$O$95</f>
        <v>10.297332790729946</v>
      </c>
      <c r="R155" s="38">
        <f>AggCap!$P$95</f>
        <v>0</v>
      </c>
      <c r="S155" s="38">
        <f>AggCap!$Q$95</f>
        <v>29.043082489027558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101.15815052324123</v>
      </c>
      <c r="X155" s="17"/>
    </row>
    <row r="156" spans="1:24" x14ac:dyDescent="0.25">
      <c r="A156" s="4" t="s">
        <v>188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0.19377034374633198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2.7058640721758009</v>
      </c>
      <c r="V156" s="38">
        <f>Otex!$B$130</f>
        <v>2.1249285582131563</v>
      </c>
      <c r="W156" s="38">
        <f>Otex!$C$130</f>
        <v>0</v>
      </c>
      <c r="X156" s="17"/>
    </row>
    <row r="157" spans="1:24" x14ac:dyDescent="0.25">
      <c r="A157" s="4" t="s">
        <v>189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0.19377034374633198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2.7058640721758009</v>
      </c>
      <c r="V157" s="38">
        <f>Otex!$B$131</f>
        <v>6.4794669092842296</v>
      </c>
      <c r="W157" s="38">
        <f>Otex!$C$131</f>
        <v>0</v>
      </c>
      <c r="X157" s="17"/>
    </row>
    <row r="158" spans="1:24" x14ac:dyDescent="0.25">
      <c r="A158" s="4" t="s">
        <v>190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11.998753381487354</v>
      </c>
      <c r="W158" s="38">
        <f>Otex!$C$132</f>
        <v>0</v>
      </c>
      <c r="X158" s="17"/>
    </row>
    <row r="159" spans="1:24" x14ac:dyDescent="0.25">
      <c r="A159" s="4" t="s">
        <v>191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9.3667264649691493</v>
      </c>
      <c r="W159" s="38">
        <f>Otex!$C$133</f>
        <v>0</v>
      </c>
      <c r="X159" s="17"/>
    </row>
    <row r="160" spans="1:24" x14ac:dyDescent="0.25">
      <c r="A160" s="4" t="s">
        <v>208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101.15815052324123</v>
      </c>
      <c r="X160" s="17"/>
    </row>
    <row r="161" spans="1:24" x14ac:dyDescent="0.25">
      <c r="A161" s="4" t="s">
        <v>230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232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192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193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194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195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196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197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198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199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200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201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209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41.588307092770108</v>
      </c>
      <c r="X176" s="17"/>
    </row>
    <row r="177" spans="1:24" x14ac:dyDescent="0.25">
      <c r="A177" s="4" t="s">
        <v>210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41.588307092770108</v>
      </c>
      <c r="X177" s="17"/>
    </row>
    <row r="178" spans="1:24" x14ac:dyDescent="0.25">
      <c r="A178" s="4" t="s">
        <v>211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41.588307092770108</v>
      </c>
      <c r="X178" s="17"/>
    </row>
    <row r="179" spans="1:24" x14ac:dyDescent="0.25">
      <c r="A179" s="4" t="s">
        <v>212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41.588307092770108</v>
      </c>
      <c r="X179" s="17"/>
    </row>
    <row r="181" spans="1:24" ht="21" customHeight="1" x14ac:dyDescent="0.3">
      <c r="A181" s="1" t="s">
        <v>1117</v>
      </c>
    </row>
    <row r="182" spans="1:24" x14ac:dyDescent="0.25">
      <c r="A182" s="2" t="s">
        <v>381</v>
      </c>
    </row>
    <row r="183" spans="1:24" x14ac:dyDescent="0.25">
      <c r="A183" s="32" t="s">
        <v>1118</v>
      </c>
    </row>
    <row r="184" spans="1:24" x14ac:dyDescent="0.25">
      <c r="A184" s="2" t="s">
        <v>667</v>
      </c>
    </row>
    <row r="186" spans="1:24" ht="30" x14ac:dyDescent="0.25">
      <c r="B186" s="15" t="s">
        <v>150</v>
      </c>
      <c r="C186" s="15" t="s">
        <v>335</v>
      </c>
      <c r="D186" s="15" t="s">
        <v>336</v>
      </c>
      <c r="E186" s="15" t="s">
        <v>337</v>
      </c>
      <c r="F186" s="15" t="s">
        <v>338</v>
      </c>
      <c r="G186" s="15" t="s">
        <v>339</v>
      </c>
      <c r="H186" s="15" t="s">
        <v>340</v>
      </c>
      <c r="I186" s="15" t="s">
        <v>341</v>
      </c>
      <c r="J186" s="15" t="s">
        <v>342</v>
      </c>
      <c r="K186" s="15" t="s">
        <v>493</v>
      </c>
      <c r="L186" s="15" t="s">
        <v>505</v>
      </c>
      <c r="M186" s="15" t="s">
        <v>323</v>
      </c>
      <c r="N186" s="15" t="s">
        <v>911</v>
      </c>
      <c r="O186" s="15" t="s">
        <v>912</v>
      </c>
      <c r="P186" s="15" t="s">
        <v>913</v>
      </c>
      <c r="Q186" s="15" t="s">
        <v>914</v>
      </c>
      <c r="R186" s="15" t="s">
        <v>915</v>
      </c>
      <c r="S186" s="15" t="s">
        <v>916</v>
      </c>
      <c r="T186" s="15" t="s">
        <v>917</v>
      </c>
      <c r="U186" s="15" t="s">
        <v>918</v>
      </c>
      <c r="V186" s="15" t="s">
        <v>919</v>
      </c>
      <c r="W186" s="15" t="s">
        <v>920</v>
      </c>
    </row>
    <row r="187" spans="1:24" x14ac:dyDescent="0.25">
      <c r="A187" s="4" t="s">
        <v>182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183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184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185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229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186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187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207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188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189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190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0.10763518616472738</v>
      </c>
      <c r="I198" s="38">
        <f>Standing!$I$36</f>
        <v>5.8985870821143913E-2</v>
      </c>
      <c r="J198" s="38">
        <f>Standing!$J$36</f>
        <v>0.12691615964312911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0.39553902276675651</v>
      </c>
      <c r="T198" s="38">
        <f>Standing!$R$36</f>
        <v>0.82369544036047837</v>
      </c>
      <c r="U198" s="38">
        <f>Standing!$S$36</f>
        <v>1.7722932721141553</v>
      </c>
      <c r="V198" s="10"/>
      <c r="W198" s="10"/>
      <c r="X198" s="17"/>
    </row>
    <row r="199" spans="1:24" x14ac:dyDescent="0.25">
      <c r="A199" s="4" t="s">
        <v>191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0.53158808986251893</v>
      </c>
      <c r="I199" s="38">
        <f>Standing!$I$37</f>
        <v>5.8263821554971715E-2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1.9534860399356286</v>
      </c>
      <c r="T199" s="38">
        <f>Standing!$R$37</f>
        <v>0.81361253948977552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208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6.527460909006913E-2</v>
      </c>
      <c r="F200" s="38">
        <f>Standing!$F$38</f>
        <v>0</v>
      </c>
      <c r="G200" s="38">
        <f>Standing!$G$38</f>
        <v>0</v>
      </c>
      <c r="H200" s="38">
        <f>Standing!$H$38</f>
        <v>0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0.138108055499124</v>
      </c>
      <c r="Q200" s="38">
        <f>Standing!$O$38</f>
        <v>0.68535284122459494</v>
      </c>
      <c r="R200" s="38">
        <f>Standing!$P$38</f>
        <v>0</v>
      </c>
      <c r="S200" s="38">
        <f>Standing!$Q$38</f>
        <v>1.9330014389448833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230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192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193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194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195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196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197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198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199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200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201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209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210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211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212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1119</v>
      </c>
    </row>
    <row r="222" spans="1:24" x14ac:dyDescent="0.25">
      <c r="A222" s="2" t="s">
        <v>381</v>
      </c>
    </row>
    <row r="223" spans="1:24" x14ac:dyDescent="0.25">
      <c r="A223" s="32" t="s">
        <v>1120</v>
      </c>
    </row>
    <row r="224" spans="1:24" x14ac:dyDescent="0.25">
      <c r="A224" s="2" t="s">
        <v>667</v>
      </c>
    </row>
    <row r="226" spans="1:24" ht="30" x14ac:dyDescent="0.25">
      <c r="B226" s="15" t="s">
        <v>150</v>
      </c>
      <c r="C226" s="15" t="s">
        <v>335</v>
      </c>
      <c r="D226" s="15" t="s">
        <v>336</v>
      </c>
      <c r="E226" s="15" t="s">
        <v>337</v>
      </c>
      <c r="F226" s="15" t="s">
        <v>338</v>
      </c>
      <c r="G226" s="15" t="s">
        <v>339</v>
      </c>
      <c r="H226" s="15" t="s">
        <v>340</v>
      </c>
      <c r="I226" s="15" t="s">
        <v>341</v>
      </c>
      <c r="J226" s="15" t="s">
        <v>342</v>
      </c>
      <c r="K226" s="15" t="s">
        <v>493</v>
      </c>
      <c r="L226" s="15" t="s">
        <v>505</v>
      </c>
      <c r="M226" s="15" t="s">
        <v>323</v>
      </c>
      <c r="N226" s="15" t="s">
        <v>911</v>
      </c>
      <c r="O226" s="15" t="s">
        <v>912</v>
      </c>
      <c r="P226" s="15" t="s">
        <v>913</v>
      </c>
      <c r="Q226" s="15" t="s">
        <v>914</v>
      </c>
      <c r="R226" s="15" t="s">
        <v>915</v>
      </c>
      <c r="S226" s="15" t="s">
        <v>916</v>
      </c>
      <c r="T226" s="15" t="s">
        <v>917</v>
      </c>
      <c r="U226" s="15" t="s">
        <v>918</v>
      </c>
      <c r="V226" s="15" t="s">
        <v>919</v>
      </c>
      <c r="W226" s="15" t="s">
        <v>920</v>
      </c>
    </row>
    <row r="227" spans="1:24" x14ac:dyDescent="0.25">
      <c r="A227" s="4" t="s">
        <v>182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183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228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184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185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229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186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187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207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190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0.56650097981435477</v>
      </c>
      <c r="I238" s="38">
        <f>Standing!$I$153</f>
        <v>1.1797174164228772</v>
      </c>
      <c r="J238" s="38">
        <f>Standing!$J$153</f>
        <v>2.5383231928625798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0.39553902276675651</v>
      </c>
      <c r="T238" s="38">
        <f>Standing!$R$153</f>
        <v>0.82369544036047837</v>
      </c>
      <c r="U238" s="38">
        <f>Standing!$S$153</f>
        <v>1.7722932721141553</v>
      </c>
      <c r="V238" s="10"/>
      <c r="W238" s="10"/>
      <c r="X238" s="17"/>
    </row>
    <row r="239" spans="1:24" x14ac:dyDescent="0.25">
      <c r="A239" s="4" t="s">
        <v>191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2.7978320519079953</v>
      </c>
      <c r="I239" s="38">
        <f>Standing!$I$154</f>
        <v>1.1652764310994332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1.9534860399356286</v>
      </c>
      <c r="T239" s="38">
        <f>Standing!$R$154</f>
        <v>0.81361253948977552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208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0.19780184572748222</v>
      </c>
      <c r="F240" s="38">
        <f>Standing!$F$155</f>
        <v>0.98157965137420078</v>
      </c>
      <c r="G240" s="38">
        <f>Standing!$G$155</f>
        <v>0</v>
      </c>
      <c r="H240" s="38">
        <f>Standing!$H$155</f>
        <v>2.7684934889232591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0.138108055499124</v>
      </c>
      <c r="Q240" s="38">
        <f>Standing!$O$155</f>
        <v>0.68535284122459494</v>
      </c>
      <c r="R240" s="38">
        <f>Standing!$P$155</f>
        <v>0</v>
      </c>
      <c r="S240" s="38">
        <f>Standing!$Q$155</f>
        <v>1.9330014389448833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230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231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232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192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193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194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195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196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197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198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199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200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201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209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210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211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212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1121</v>
      </c>
    </row>
    <row r="262" spans="1:24" x14ac:dyDescent="0.25">
      <c r="A262" s="2" t="s">
        <v>381</v>
      </c>
    </row>
    <row r="263" spans="1:24" x14ac:dyDescent="0.25">
      <c r="A263" s="32" t="s">
        <v>1122</v>
      </c>
    </row>
    <row r="264" spans="1:24" x14ac:dyDescent="0.25">
      <c r="A264" s="32" t="s">
        <v>1123</v>
      </c>
    </row>
    <row r="265" spans="1:24" x14ac:dyDescent="0.25">
      <c r="A265" s="2" t="s">
        <v>399</v>
      </c>
    </row>
    <row r="267" spans="1:24" ht="30" x14ac:dyDescent="0.25">
      <c r="B267" s="15" t="s">
        <v>150</v>
      </c>
      <c r="C267" s="15" t="s">
        <v>335</v>
      </c>
      <c r="D267" s="15" t="s">
        <v>336</v>
      </c>
      <c r="E267" s="15" t="s">
        <v>337</v>
      </c>
      <c r="F267" s="15" t="s">
        <v>338</v>
      </c>
      <c r="G267" s="15" t="s">
        <v>339</v>
      </c>
      <c r="H267" s="15" t="s">
        <v>340</v>
      </c>
      <c r="I267" s="15" t="s">
        <v>341</v>
      </c>
      <c r="J267" s="15" t="s">
        <v>342</v>
      </c>
      <c r="K267" s="15" t="s">
        <v>493</v>
      </c>
      <c r="L267" s="15" t="s">
        <v>505</v>
      </c>
      <c r="M267" s="15" t="s">
        <v>323</v>
      </c>
      <c r="N267" s="15" t="s">
        <v>911</v>
      </c>
      <c r="O267" s="15" t="s">
        <v>912</v>
      </c>
      <c r="P267" s="15" t="s">
        <v>913</v>
      </c>
      <c r="Q267" s="15" t="s">
        <v>914</v>
      </c>
      <c r="R267" s="15" t="s">
        <v>915</v>
      </c>
      <c r="S267" s="15" t="s">
        <v>916</v>
      </c>
      <c r="T267" s="15" t="s">
        <v>917</v>
      </c>
      <c r="U267" s="15" t="s">
        <v>918</v>
      </c>
      <c r="V267" s="15" t="s">
        <v>919</v>
      </c>
      <c r="W267" s="15" t="s">
        <v>920</v>
      </c>
    </row>
    <row r="268" spans="1:24" x14ac:dyDescent="0.25">
      <c r="A268" s="4" t="s">
        <v>182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183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228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184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185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229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186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187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207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188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189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190</v>
      </c>
      <c r="B279" s="38">
        <f>Reactive!$B$33</f>
        <v>0</v>
      </c>
      <c r="C279" s="38">
        <f>Reactive!$C$33</f>
        <v>3.6514093608459579E-2</v>
      </c>
      <c r="D279" s="38">
        <f>Reactive!$D$33</f>
        <v>5.6314341009883698E-3</v>
      </c>
      <c r="E279" s="38">
        <f>Reactive!$E$33</f>
        <v>1.2567920976113678E-2</v>
      </c>
      <c r="F279" s="38">
        <f>Reactive!$F$33</f>
        <v>2.369966705339446E-3</v>
      </c>
      <c r="G279" s="38">
        <f>Reactive!$G$33</f>
        <v>0</v>
      </c>
      <c r="H279" s="38">
        <f>Reactive!$H$33</f>
        <v>7.3260648510068537E-3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1.1348396392363212E-2</v>
      </c>
      <c r="N279" s="38">
        <f>Reactive!$L$33</f>
        <v>2.5494658293154115E-2</v>
      </c>
      <c r="O279" s="38">
        <f>Reactive!$M$33</f>
        <v>3.9319471994739971E-3</v>
      </c>
      <c r="P279" s="38">
        <f>Reactive!$N$33</f>
        <v>8.7751007645756954E-3</v>
      </c>
      <c r="Q279" s="38">
        <f>Reactive!$O$33</f>
        <v>8.7091809660186162E-3</v>
      </c>
      <c r="R279" s="38">
        <f>Reactive!$P$33</f>
        <v>0</v>
      </c>
      <c r="S279" s="38">
        <f>Reactive!$Q$33</f>
        <v>2.6921907557797678E-2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191</v>
      </c>
      <c r="B280" s="38">
        <f>Reactive!$B$34</f>
        <v>0</v>
      </c>
      <c r="C280" s="38">
        <f>Reactive!$C$34</f>
        <v>3.3038872174250715E-2</v>
      </c>
      <c r="D280" s="38">
        <f>Reactive!$D$34</f>
        <v>5.0954635055535302E-3</v>
      </c>
      <c r="E280" s="38">
        <f>Reactive!$E$34</f>
        <v>1.1371771652842111E-2</v>
      </c>
      <c r="F280" s="38">
        <f>Reactive!$F$34</f>
        <v>2.1444056060808056E-3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1.0268315073365271E-2</v>
      </c>
      <c r="N280" s="38">
        <f>Reactive!$L$34</f>
        <v>2.3068209374326965E-2</v>
      </c>
      <c r="O280" s="38">
        <f>Reactive!$M$34</f>
        <v>3.55772492430779E-3</v>
      </c>
      <c r="P280" s="38">
        <f>Reactive!$N$34</f>
        <v>7.9399323336843703E-3</v>
      </c>
      <c r="Q280" s="38">
        <f>Reactive!$O$34</f>
        <v>7.8802864385504687E-3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208</v>
      </c>
      <c r="B281" s="38">
        <f>Reactive!$B$35</f>
        <v>0</v>
      </c>
      <c r="C281" s="38">
        <f>Reactive!$C$35</f>
        <v>2.9218882512990169E-2</v>
      </c>
      <c r="D281" s="38">
        <f>Reactive!$D$35</f>
        <v>1.4870857903930088E-3</v>
      </c>
      <c r="E281" s="38">
        <f>Reactive!$E$35</f>
        <v>2.6550361933676096E-3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9.0810815258051472E-3</v>
      </c>
      <c r="N281" s="38">
        <f>Reactive!$L$35</f>
        <v>2.0401038387104213E-2</v>
      </c>
      <c r="O281" s="38">
        <f>Reactive!$M$35</f>
        <v>3.1463769716056815E-3</v>
      </c>
      <c r="P281" s="38">
        <f>Reactive!$N$35</f>
        <v>5.6175271067472974E-3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230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231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232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233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234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192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193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194</v>
      </c>
      <c r="B289" s="38">
        <f>Reactive!$B$77</f>
        <v>0</v>
      </c>
      <c r="C289" s="38">
        <f>Reactive!$C$77</f>
        <v>2.6708933506159421E-2</v>
      </c>
      <c r="D289" s="38">
        <f>Reactive!$D$77</f>
        <v>4.1192203909114732E-3</v>
      </c>
      <c r="E289" s="38">
        <f>Reactive!$E$77</f>
        <v>9.1930466427877309E-3</v>
      </c>
      <c r="F289" s="38">
        <f>Reactive!$F$77</f>
        <v>1.7335575633748656E-3</v>
      </c>
      <c r="G289" s="38">
        <f>Reactive!$G$77</f>
        <v>0</v>
      </c>
      <c r="H289" s="38">
        <f>Reactive!$H$77</f>
        <v>6.6984881599943579E-3</v>
      </c>
      <c r="I289" s="38">
        <f>Reactive!$I$77</f>
        <v>7.3417656694102669E-4</v>
      </c>
      <c r="J289" s="38">
        <f>Reactive!$J$77</f>
        <v>1.7209644939650899E-3</v>
      </c>
      <c r="K289" s="10"/>
      <c r="L289" s="10"/>
      <c r="M289" s="38">
        <f>Reactive!$K$77</f>
        <v>8.3010020156969039E-3</v>
      </c>
      <c r="N289" s="38">
        <f>Reactive!$L$77</f>
        <v>1.8648556374307755E-2</v>
      </c>
      <c r="O289" s="38">
        <f>Reactive!$M$77</f>
        <v>2.8760981287551425E-3</v>
      </c>
      <c r="P289" s="38">
        <f>Reactive!$N$77</f>
        <v>6.4187156155123956E-3</v>
      </c>
      <c r="Q289" s="38">
        <f>Reactive!$O$77</f>
        <v>6.3704973156066148E-3</v>
      </c>
      <c r="R289" s="38">
        <f>Reactive!$P$77</f>
        <v>0</v>
      </c>
      <c r="S289" s="38">
        <f>Reactive!$Q$77</f>
        <v>2.4615681499950953E-2</v>
      </c>
      <c r="T289" s="38">
        <f>Reactive!$R$77</f>
        <v>1.0252249940371489E-2</v>
      </c>
      <c r="U289" s="38">
        <f>Reactive!$S$77</f>
        <v>2.40320366041488E-2</v>
      </c>
      <c r="V289" s="10"/>
      <c r="W289" s="10"/>
      <c r="X289" s="17"/>
    </row>
    <row r="290" spans="1:24" x14ac:dyDescent="0.25">
      <c r="A290" s="4" t="s">
        <v>195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196</v>
      </c>
      <c r="B291" s="38">
        <f>Reactive!$B$78</f>
        <v>0</v>
      </c>
      <c r="C291" s="38">
        <f>Reactive!$C$78</f>
        <v>2.6708933506159421E-2</v>
      </c>
      <c r="D291" s="38">
        <f>Reactive!$D$78</f>
        <v>4.1192203909114732E-3</v>
      </c>
      <c r="E291" s="38">
        <f>Reactive!$E$78</f>
        <v>9.1930466427877309E-3</v>
      </c>
      <c r="F291" s="38">
        <f>Reactive!$F$78</f>
        <v>1.7335575633748656E-3</v>
      </c>
      <c r="G291" s="38">
        <f>Reactive!$G$78</f>
        <v>0</v>
      </c>
      <c r="H291" s="38">
        <f>Reactive!$H$78</f>
        <v>6.6984881599943579E-3</v>
      </c>
      <c r="I291" s="38">
        <f>Reactive!$I$78</f>
        <v>7.3417656694102669E-4</v>
      </c>
      <c r="J291" s="38">
        <f>Reactive!$J$78</f>
        <v>1.7209644939650899E-3</v>
      </c>
      <c r="K291" s="10"/>
      <c r="L291" s="10"/>
      <c r="M291" s="38">
        <f>Reactive!$K$78</f>
        <v>8.3010020156969039E-3</v>
      </c>
      <c r="N291" s="38">
        <f>Reactive!$L$78</f>
        <v>1.8648556374307755E-2</v>
      </c>
      <c r="O291" s="38">
        <f>Reactive!$M$78</f>
        <v>2.8760981287551425E-3</v>
      </c>
      <c r="P291" s="38">
        <f>Reactive!$N$78</f>
        <v>6.4187156155123956E-3</v>
      </c>
      <c r="Q291" s="38">
        <f>Reactive!$O$78</f>
        <v>6.3704973156066148E-3</v>
      </c>
      <c r="R291" s="38">
        <f>Reactive!$P$78</f>
        <v>0</v>
      </c>
      <c r="S291" s="38">
        <f>Reactive!$Q$78</f>
        <v>2.4615681499950953E-2</v>
      </c>
      <c r="T291" s="38">
        <f>Reactive!$R$78</f>
        <v>1.0252249940371489E-2</v>
      </c>
      <c r="U291" s="38">
        <f>Reactive!$S$78</f>
        <v>2.40320366041488E-2</v>
      </c>
      <c r="V291" s="10"/>
      <c r="W291" s="10"/>
      <c r="X291" s="17"/>
    </row>
    <row r="292" spans="1:24" x14ac:dyDescent="0.25">
      <c r="A292" s="4" t="s">
        <v>197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198</v>
      </c>
      <c r="B293" s="38">
        <f>Reactive!$B$79</f>
        <v>0</v>
      </c>
      <c r="C293" s="38">
        <f>Reactive!$C$79</f>
        <v>2.6381987992430536E-2</v>
      </c>
      <c r="D293" s="38">
        <f>Reactive!$D$79</f>
        <v>4.0687967891394868E-3</v>
      </c>
      <c r="E293" s="38">
        <f>Reactive!$E$79</f>
        <v>9.0805140567649083E-3</v>
      </c>
      <c r="F293" s="38">
        <f>Reactive!$F$79</f>
        <v>1.7123369905651924E-3</v>
      </c>
      <c r="G293" s="38">
        <f>Reactive!$G$79</f>
        <v>0</v>
      </c>
      <c r="H293" s="38">
        <f>Reactive!$H$79</f>
        <v>6.6164916005970629E-3</v>
      </c>
      <c r="I293" s="38">
        <f>Reactive!$I$79</f>
        <v>7.2518947148882931E-4</v>
      </c>
      <c r="J293" s="38">
        <f>Reactive!$J$79</f>
        <v>0</v>
      </c>
      <c r="K293" s="10"/>
      <c r="L293" s="10"/>
      <c r="M293" s="38">
        <f>Reactive!$K$79</f>
        <v>8.1993889966723629E-3</v>
      </c>
      <c r="N293" s="38">
        <f>Reactive!$L$79</f>
        <v>1.8420278377258788E-2</v>
      </c>
      <c r="O293" s="38">
        <f>Reactive!$M$79</f>
        <v>2.8408916544860113E-3</v>
      </c>
      <c r="P293" s="38">
        <f>Reactive!$N$79</f>
        <v>6.3401437671115829E-3</v>
      </c>
      <c r="Q293" s="38">
        <f>Reactive!$O$79</f>
        <v>6.2925157100483416E-3</v>
      </c>
      <c r="R293" s="38">
        <f>Reactive!$P$79</f>
        <v>0</v>
      </c>
      <c r="S293" s="38">
        <f>Reactive!$Q$79</f>
        <v>2.4314359598350797E-2</v>
      </c>
      <c r="T293" s="38">
        <f>Reactive!$R$79</f>
        <v>1.012675158893568E-2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199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200</v>
      </c>
      <c r="B295" s="38">
        <f>Reactive!$B$80</f>
        <v>0</v>
      </c>
      <c r="C295" s="38">
        <f>Reactive!$C$80</f>
        <v>2.6381987992430536E-2</v>
      </c>
      <c r="D295" s="38">
        <f>Reactive!$D$80</f>
        <v>4.0687967891394868E-3</v>
      </c>
      <c r="E295" s="38">
        <f>Reactive!$E$80</f>
        <v>9.0805140567649083E-3</v>
      </c>
      <c r="F295" s="38">
        <f>Reactive!$F$80</f>
        <v>1.7123369905651924E-3</v>
      </c>
      <c r="G295" s="38">
        <f>Reactive!$G$80</f>
        <v>0</v>
      </c>
      <c r="H295" s="38">
        <f>Reactive!$H$80</f>
        <v>6.6164916005970629E-3</v>
      </c>
      <c r="I295" s="38">
        <f>Reactive!$I$80</f>
        <v>7.2518947148882931E-4</v>
      </c>
      <c r="J295" s="38">
        <f>Reactive!$J$80</f>
        <v>0</v>
      </c>
      <c r="K295" s="10"/>
      <c r="L295" s="10"/>
      <c r="M295" s="38">
        <f>Reactive!$K$80</f>
        <v>8.1993889966723629E-3</v>
      </c>
      <c r="N295" s="38">
        <f>Reactive!$L$80</f>
        <v>1.8420278377258788E-2</v>
      </c>
      <c r="O295" s="38">
        <f>Reactive!$M$80</f>
        <v>2.8408916544860113E-3</v>
      </c>
      <c r="P295" s="38">
        <f>Reactive!$N$80</f>
        <v>6.3401437671115829E-3</v>
      </c>
      <c r="Q295" s="38">
        <f>Reactive!$O$80</f>
        <v>6.2925157100483416E-3</v>
      </c>
      <c r="R295" s="38">
        <f>Reactive!$P$80</f>
        <v>0</v>
      </c>
      <c r="S295" s="38">
        <f>Reactive!$Q$80</f>
        <v>2.4314359598350797E-2</v>
      </c>
      <c r="T295" s="38">
        <f>Reactive!$R$80</f>
        <v>1.012675158893568E-2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201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209</v>
      </c>
      <c r="B297" s="38">
        <f>Reactive!$B$81</f>
        <v>0</v>
      </c>
      <c r="C297" s="38">
        <f>Reactive!$C$81</f>
        <v>2.6105341788506094E-2</v>
      </c>
      <c r="D297" s="38">
        <f>Reactive!$D$81</f>
        <v>1.3286231193058533E-3</v>
      </c>
      <c r="E297" s="38">
        <f>Reactive!$E$81</f>
        <v>2.9651470781737383E-3</v>
      </c>
      <c r="F297" s="38">
        <f>Reactive!$F$81</f>
        <v>0</v>
      </c>
      <c r="G297" s="38">
        <f>Reactive!$G$81</f>
        <v>0</v>
      </c>
      <c r="H297" s="38">
        <f>Reactive!$H$81</f>
        <v>0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8.1134087498054477E-3</v>
      </c>
      <c r="N297" s="38">
        <f>Reactive!$L$81</f>
        <v>1.8227120072063511E-2</v>
      </c>
      <c r="O297" s="38">
        <f>Reactive!$M$81</f>
        <v>2.8111015608736703E-3</v>
      </c>
      <c r="P297" s="38">
        <f>Reactive!$N$81</f>
        <v>6.2736598953878221E-3</v>
      </c>
      <c r="Q297" s="38">
        <f>Reactive!$O$81</f>
        <v>6.226531274575957E-3</v>
      </c>
      <c r="R297" s="38">
        <f>Reactive!$P$81</f>
        <v>0</v>
      </c>
      <c r="S297" s="38">
        <f>Reactive!$Q$81</f>
        <v>2.4059394912381443E-2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210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211</v>
      </c>
      <c r="B299" s="38">
        <f>Reactive!$B$82</f>
        <v>0</v>
      </c>
      <c r="C299" s="38">
        <f>Reactive!$C$82</f>
        <v>2.6105341788506094E-2</v>
      </c>
      <c r="D299" s="38">
        <f>Reactive!$D$82</f>
        <v>1.3286231193058533E-3</v>
      </c>
      <c r="E299" s="38">
        <f>Reactive!$E$82</f>
        <v>2.9651470781737383E-3</v>
      </c>
      <c r="F299" s="38">
        <f>Reactive!$F$82</f>
        <v>0</v>
      </c>
      <c r="G299" s="38">
        <f>Reactive!$G$82</f>
        <v>0</v>
      </c>
      <c r="H299" s="38">
        <f>Reactive!$H$82</f>
        <v>0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8.1134087498054477E-3</v>
      </c>
      <c r="N299" s="38">
        <f>Reactive!$L$82</f>
        <v>1.8227120072063511E-2</v>
      </c>
      <c r="O299" s="38">
        <f>Reactive!$M$82</f>
        <v>2.8111015608736703E-3</v>
      </c>
      <c r="P299" s="38">
        <f>Reactive!$N$82</f>
        <v>6.2736598953878221E-3</v>
      </c>
      <c r="Q299" s="38">
        <f>Reactive!$O$82</f>
        <v>6.226531274575957E-3</v>
      </c>
      <c r="R299" s="38">
        <f>Reactive!$P$82</f>
        <v>0</v>
      </c>
      <c r="S299" s="38">
        <f>Reactive!$Q$82</f>
        <v>2.4059394912381443E-2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212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1124</v>
      </c>
    </row>
    <row r="303" spans="1:24" x14ac:dyDescent="0.25">
      <c r="A303" s="2" t="s">
        <v>381</v>
      </c>
    </row>
    <row r="304" spans="1:24" x14ac:dyDescent="0.25">
      <c r="A304" s="32" t="s">
        <v>1125</v>
      </c>
    </row>
    <row r="305" spans="1:9" x14ac:dyDescent="0.25">
      <c r="A305" s="32" t="s">
        <v>1126</v>
      </c>
    </row>
    <row r="306" spans="1:9" x14ac:dyDescent="0.25">
      <c r="A306" s="32" t="s">
        <v>1127</v>
      </c>
    </row>
    <row r="307" spans="1:9" x14ac:dyDescent="0.25">
      <c r="A307" s="32" t="s">
        <v>1128</v>
      </c>
    </row>
    <row r="308" spans="1:9" x14ac:dyDescent="0.25">
      <c r="A308" s="32" t="s">
        <v>1129</v>
      </c>
    </row>
    <row r="309" spans="1:9" x14ac:dyDescent="0.25">
      <c r="A309" s="32" t="s">
        <v>1130</v>
      </c>
    </row>
    <row r="310" spans="1:9" x14ac:dyDescent="0.25">
      <c r="A310" s="32" t="s">
        <v>1131</v>
      </c>
    </row>
    <row r="311" spans="1:9" x14ac:dyDescent="0.25">
      <c r="A311" s="33" t="s">
        <v>384</v>
      </c>
      <c r="B311" s="33" t="s">
        <v>515</v>
      </c>
      <c r="C311" s="33" t="s">
        <v>515</v>
      </c>
      <c r="D311" s="33" t="s">
        <v>515</v>
      </c>
      <c r="E311" s="33" t="s">
        <v>515</v>
      </c>
      <c r="F311" s="33" t="s">
        <v>515</v>
      </c>
      <c r="G311" s="33" t="s">
        <v>515</v>
      </c>
      <c r="H311" s="33" t="s">
        <v>515</v>
      </c>
    </row>
    <row r="312" spans="1:9" x14ac:dyDescent="0.25">
      <c r="A312" s="33" t="s">
        <v>387</v>
      </c>
      <c r="B312" s="33" t="s">
        <v>568</v>
      </c>
      <c r="C312" s="33" t="s">
        <v>569</v>
      </c>
      <c r="D312" s="33" t="s">
        <v>570</v>
      </c>
      <c r="E312" s="33" t="s">
        <v>571</v>
      </c>
      <c r="F312" s="33" t="s">
        <v>517</v>
      </c>
      <c r="G312" s="33" t="s">
        <v>572</v>
      </c>
      <c r="H312" s="33" t="s">
        <v>573</v>
      </c>
    </row>
    <row r="314" spans="1:9" ht="45" x14ac:dyDescent="0.25">
      <c r="B314" s="15" t="s">
        <v>1132</v>
      </c>
      <c r="C314" s="15" t="s">
        <v>1133</v>
      </c>
      <c r="D314" s="15" t="s">
        <v>1134</v>
      </c>
      <c r="E314" s="15" t="s">
        <v>1135</v>
      </c>
      <c r="F314" s="15" t="s">
        <v>1136</v>
      </c>
      <c r="G314" s="15" t="s">
        <v>1137</v>
      </c>
      <c r="H314" s="15" t="s">
        <v>1138</v>
      </c>
    </row>
    <row r="315" spans="1:9" x14ac:dyDescent="0.25">
      <c r="A315" s="4" t="s">
        <v>182</v>
      </c>
      <c r="B315" s="37">
        <f t="shared" ref="B315:B347" si="0">SUM($B15:$W15)</f>
        <v>1.4309919980185637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5.0245629741352893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183</v>
      </c>
      <c r="B316" s="37">
        <f t="shared" si="0"/>
        <v>1.6942553299250624</v>
      </c>
      <c r="C316" s="37">
        <f t="shared" si="1"/>
        <v>0.1050312419239664</v>
      </c>
      <c r="D316" s="37">
        <f t="shared" si="2"/>
        <v>0</v>
      </c>
      <c r="E316" s="37">
        <f t="shared" si="3"/>
        <v>5.0245629741352893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228</v>
      </c>
      <c r="B317" s="37">
        <f t="shared" si="0"/>
        <v>0.10617125547232918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184</v>
      </c>
      <c r="B318" s="37">
        <f t="shared" si="0"/>
        <v>1.2107222848803643</v>
      </c>
      <c r="C318" s="37">
        <f t="shared" si="1"/>
        <v>0</v>
      </c>
      <c r="D318" s="37">
        <f t="shared" si="2"/>
        <v>0</v>
      </c>
      <c r="E318" s="37">
        <f t="shared" si="3"/>
        <v>9.3791013252063635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185</v>
      </c>
      <c r="B319" s="37">
        <f t="shared" si="0"/>
        <v>1.3822579226570144</v>
      </c>
      <c r="C319" s="37">
        <f t="shared" si="1"/>
        <v>0.10571557552376173</v>
      </c>
      <c r="D319" s="37">
        <f t="shared" si="2"/>
        <v>0</v>
      </c>
      <c r="E319" s="37">
        <f t="shared" si="3"/>
        <v>9.3791013252063635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229</v>
      </c>
      <c r="B320" s="37">
        <f t="shared" si="0"/>
        <v>0.11456677745486524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186</v>
      </c>
      <c r="B321" s="37">
        <f t="shared" si="0"/>
        <v>1.2455296964096854</v>
      </c>
      <c r="C321" s="37">
        <f t="shared" si="1"/>
        <v>8.5620656579073084E-2</v>
      </c>
      <c r="D321" s="37">
        <f t="shared" si="2"/>
        <v>0</v>
      </c>
      <c r="E321" s="37">
        <f t="shared" si="3"/>
        <v>23.466378464070779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187</v>
      </c>
      <c r="B322" s="37">
        <f t="shared" si="0"/>
        <v>1.0946341684843488</v>
      </c>
      <c r="C322" s="37">
        <f t="shared" si="1"/>
        <v>7.2860699652135416E-2</v>
      </c>
      <c r="D322" s="37">
        <f t="shared" si="2"/>
        <v>0</v>
      </c>
      <c r="E322" s="37">
        <f t="shared" si="3"/>
        <v>21.408064439699917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207</v>
      </c>
      <c r="B323" s="37">
        <f t="shared" si="0"/>
        <v>0.70830655095615302</v>
      </c>
      <c r="C323" s="37">
        <f t="shared" si="1"/>
        <v>3.288877895423014E-2</v>
      </c>
      <c r="D323" s="37">
        <f t="shared" si="2"/>
        <v>0</v>
      </c>
      <c r="E323" s="37">
        <f t="shared" si="3"/>
        <v>143.55436254763353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188</v>
      </c>
      <c r="B324" s="37">
        <f t="shared" si="0"/>
        <v>13.105842562639054</v>
      </c>
      <c r="C324" s="37">
        <f t="shared" si="1"/>
        <v>0.48605716214827277</v>
      </c>
      <c r="D324" s="37">
        <f t="shared" si="2"/>
        <v>9.7492359927975544E-2</v>
      </c>
      <c r="E324" s="37">
        <f t="shared" si="3"/>
        <v>5.0245629741352893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189</v>
      </c>
      <c r="B325" s="37">
        <f t="shared" si="0"/>
        <v>13.621389212973769</v>
      </c>
      <c r="C325" s="37">
        <f t="shared" si="1"/>
        <v>0.5053723963680905</v>
      </c>
      <c r="D325" s="37">
        <f t="shared" si="2"/>
        <v>0.10135746199352096</v>
      </c>
      <c r="E325" s="37">
        <f t="shared" si="3"/>
        <v>9.3791013252063635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190</v>
      </c>
      <c r="B326" s="37">
        <f t="shared" si="0"/>
        <v>9.1263806277448598</v>
      </c>
      <c r="C326" s="37">
        <f t="shared" si="1"/>
        <v>0.2991123192279414</v>
      </c>
      <c r="D326" s="37">
        <f t="shared" si="2"/>
        <v>6.1940828135790486E-2</v>
      </c>
      <c r="E326" s="37">
        <f t="shared" si="3"/>
        <v>11.998753381487354</v>
      </c>
      <c r="F326" s="37">
        <f t="shared" si="4"/>
        <v>3.2850649518703907</v>
      </c>
      <c r="G326" s="37">
        <f t="shared" si="5"/>
        <v>7.2760693243412025</v>
      </c>
      <c r="H326" s="37">
        <f t="shared" si="6"/>
        <v>0.14959067141529125</v>
      </c>
      <c r="I326" s="17"/>
    </row>
    <row r="327" spans="1:9" x14ac:dyDescent="0.25">
      <c r="A327" s="4" t="s">
        <v>191</v>
      </c>
      <c r="B327" s="37">
        <f t="shared" si="0"/>
        <v>7.1292269462375923</v>
      </c>
      <c r="C327" s="37">
        <f t="shared" si="1"/>
        <v>0.17183551511759462</v>
      </c>
      <c r="D327" s="37">
        <f t="shared" si="2"/>
        <v>3.9041565276612705E-2</v>
      </c>
      <c r="E327" s="37">
        <f t="shared" si="3"/>
        <v>9.3667264649691493</v>
      </c>
      <c r="F327" s="37">
        <f t="shared" si="4"/>
        <v>3.3569504908428947</v>
      </c>
      <c r="G327" s="37">
        <f t="shared" si="5"/>
        <v>6.7302070624328332</v>
      </c>
      <c r="H327" s="37">
        <f t="shared" si="6"/>
        <v>0.10436498108296204</v>
      </c>
      <c r="I327" s="17"/>
    </row>
    <row r="328" spans="1:9" x14ac:dyDescent="0.25">
      <c r="A328" s="4" t="s">
        <v>208</v>
      </c>
      <c r="B328" s="37">
        <f t="shared" si="0"/>
        <v>5.4060644487076752</v>
      </c>
      <c r="C328" s="37">
        <f t="shared" si="1"/>
        <v>8.7514552933247308E-2</v>
      </c>
      <c r="D328" s="37">
        <f t="shared" si="2"/>
        <v>2.306159513215407E-2</v>
      </c>
      <c r="E328" s="37">
        <f t="shared" si="3"/>
        <v>101.15815052324123</v>
      </c>
      <c r="F328" s="37">
        <f t="shared" si="4"/>
        <v>2.8217369447586713</v>
      </c>
      <c r="G328" s="37">
        <f t="shared" si="5"/>
        <v>6.7043373216935445</v>
      </c>
      <c r="H328" s="37">
        <f t="shared" si="6"/>
        <v>7.1607028488013133E-2</v>
      </c>
      <c r="I328" s="17"/>
    </row>
    <row r="329" spans="1:9" x14ac:dyDescent="0.25">
      <c r="A329" s="4" t="s">
        <v>230</v>
      </c>
      <c r="B329" s="37">
        <f t="shared" si="0"/>
        <v>1.8302129027147358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231</v>
      </c>
      <c r="B330" s="37">
        <f t="shared" si="0"/>
        <v>2.1687345607802904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232</v>
      </c>
      <c r="B331" s="37">
        <f t="shared" si="0"/>
        <v>3.0757483885658816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233</v>
      </c>
      <c r="B332" s="37">
        <f t="shared" si="0"/>
        <v>1.5031565532497604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234</v>
      </c>
      <c r="B333" s="37">
        <f t="shared" si="0"/>
        <v>33.655655456115277</v>
      </c>
      <c r="C333" s="37">
        <f t="shared" si="1"/>
        <v>1.6012597931287127</v>
      </c>
      <c r="D333" s="37">
        <f t="shared" si="2"/>
        <v>1.0085502725371125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192</v>
      </c>
      <c r="B334" s="37">
        <f t="shared" si="0"/>
        <v>-0.69266901304071482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193</v>
      </c>
      <c r="B335" s="37">
        <f t="shared" si="0"/>
        <v>-0.62484849627321171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194</v>
      </c>
      <c r="B336" s="37">
        <f t="shared" si="0"/>
        <v>-0.69266901304071482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0.152423224818484</v>
      </c>
      <c r="I336" s="17"/>
    </row>
    <row r="337" spans="1:9" x14ac:dyDescent="0.25">
      <c r="A337" s="4" t="s">
        <v>195</v>
      </c>
      <c r="B337" s="37">
        <f t="shared" si="0"/>
        <v>-0.69266901304071482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196</v>
      </c>
      <c r="B338" s="37">
        <f t="shared" si="0"/>
        <v>-8.8444935589657767</v>
      </c>
      <c r="C338" s="37">
        <f t="shared" si="1"/>
        <v>-0.32806306183569284</v>
      </c>
      <c r="D338" s="37">
        <f t="shared" si="2"/>
        <v>-6.5800175675982051E-2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0.152423224818484</v>
      </c>
      <c r="I338" s="17"/>
    </row>
    <row r="339" spans="1:9" x14ac:dyDescent="0.25">
      <c r="A339" s="4" t="s">
        <v>197</v>
      </c>
      <c r="B339" s="37">
        <f t="shared" si="0"/>
        <v>-8.8444935589657767</v>
      </c>
      <c r="C339" s="37">
        <f t="shared" si="1"/>
        <v>-0.32806306183569284</v>
      </c>
      <c r="D339" s="37">
        <f t="shared" si="2"/>
        <v>-6.5800175675982051E-2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198</v>
      </c>
      <c r="B340" s="37">
        <f t="shared" si="0"/>
        <v>-0.62484849627321171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0.12511964659384955</v>
      </c>
      <c r="I340" s="17"/>
    </row>
    <row r="341" spans="1:9" x14ac:dyDescent="0.25">
      <c r="A341" s="4" t="s">
        <v>199</v>
      </c>
      <c r="B341" s="37">
        <f t="shared" si="0"/>
        <v>-0.62484849627321171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200</v>
      </c>
      <c r="B342" s="37">
        <f t="shared" si="0"/>
        <v>-8.1080851983105955</v>
      </c>
      <c r="C342" s="37">
        <f t="shared" si="1"/>
        <v>-0.27943425312006187</v>
      </c>
      <c r="D342" s="37">
        <f t="shared" si="2"/>
        <v>-5.7099868560825565E-2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0.12511964659384955</v>
      </c>
      <c r="I342" s="17"/>
    </row>
    <row r="343" spans="1:9" x14ac:dyDescent="0.25">
      <c r="A343" s="4" t="s">
        <v>201</v>
      </c>
      <c r="B343" s="37">
        <f t="shared" si="0"/>
        <v>-8.1080851983105955</v>
      </c>
      <c r="C343" s="37">
        <f t="shared" si="1"/>
        <v>-0.27943425312006187</v>
      </c>
      <c r="D343" s="37">
        <f t="shared" si="2"/>
        <v>-5.7099868560825565E-2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209</v>
      </c>
      <c r="B344" s="37">
        <f t="shared" si="0"/>
        <v>-0.39399511232474649</v>
      </c>
      <c r="C344" s="37">
        <f t="shared" si="1"/>
        <v>0</v>
      </c>
      <c r="D344" s="37">
        <f t="shared" si="2"/>
        <v>0</v>
      </c>
      <c r="E344" s="37">
        <f t="shared" si="3"/>
        <v>41.588307092770108</v>
      </c>
      <c r="F344" s="37">
        <f t="shared" si="4"/>
        <v>0</v>
      </c>
      <c r="G344" s="37">
        <f t="shared" si="5"/>
        <v>0</v>
      </c>
      <c r="H344" s="37">
        <f t="shared" si="6"/>
        <v>9.6110328451073548E-2</v>
      </c>
      <c r="I344" s="17"/>
    </row>
    <row r="345" spans="1:9" x14ac:dyDescent="0.25">
      <c r="A345" s="4" t="s">
        <v>210</v>
      </c>
      <c r="B345" s="37">
        <f t="shared" si="0"/>
        <v>-0.39399511232474649</v>
      </c>
      <c r="C345" s="37">
        <f t="shared" si="1"/>
        <v>0</v>
      </c>
      <c r="D345" s="37">
        <f t="shared" si="2"/>
        <v>0</v>
      </c>
      <c r="E345" s="37">
        <f t="shared" si="3"/>
        <v>41.588307092770108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211</v>
      </c>
      <c r="B346" s="37">
        <f t="shared" si="0"/>
        <v>-5.5853081652771719</v>
      </c>
      <c r="C346" s="37">
        <f t="shared" si="1"/>
        <v>-0.11604429413731568</v>
      </c>
      <c r="D346" s="37">
        <f t="shared" si="2"/>
        <v>-2.7706600232467009E-2</v>
      </c>
      <c r="E346" s="37">
        <f t="shared" si="3"/>
        <v>41.588307092770108</v>
      </c>
      <c r="F346" s="37">
        <f t="shared" si="4"/>
        <v>0</v>
      </c>
      <c r="G346" s="37">
        <f t="shared" si="5"/>
        <v>0</v>
      </c>
      <c r="H346" s="37">
        <f t="shared" si="6"/>
        <v>9.6110328451073548E-2</v>
      </c>
      <c r="I346" s="17"/>
    </row>
    <row r="347" spans="1:9" x14ac:dyDescent="0.25">
      <c r="A347" s="4" t="s">
        <v>212</v>
      </c>
      <c r="B347" s="37">
        <f t="shared" si="0"/>
        <v>-5.5853081652771719</v>
      </c>
      <c r="C347" s="37">
        <f t="shared" si="1"/>
        <v>-0.11604429413731568</v>
      </c>
      <c r="D347" s="37">
        <f t="shared" si="2"/>
        <v>-2.7706600232467009E-2</v>
      </c>
      <c r="E347" s="37">
        <f t="shared" si="3"/>
        <v>41.588307092770108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South West in April 19 (no data version)</v>
      </c>
    </row>
    <row r="3" spans="1:1" ht="21" customHeight="1" x14ac:dyDescent="0.3">
      <c r="A3" s="1" t="s">
        <v>1139</v>
      </c>
    </row>
    <row r="4" spans="1:1" x14ac:dyDescent="0.25">
      <c r="A4" s="2" t="s">
        <v>381</v>
      </c>
    </row>
    <row r="5" spans="1:1" x14ac:dyDescent="0.25">
      <c r="A5" s="32" t="s">
        <v>510</v>
      </c>
    </row>
    <row r="6" spans="1:1" x14ac:dyDescent="0.25">
      <c r="A6" s="32" t="s">
        <v>1140</v>
      </c>
    </row>
    <row r="7" spans="1:1" x14ac:dyDescent="0.25">
      <c r="A7" s="32" t="s">
        <v>1141</v>
      </c>
    </row>
    <row r="8" spans="1:1" x14ac:dyDescent="0.25">
      <c r="A8" s="32" t="s">
        <v>1142</v>
      </c>
    </row>
    <row r="9" spans="1:1" x14ac:dyDescent="0.25">
      <c r="A9" s="32" t="s">
        <v>1143</v>
      </c>
    </row>
    <row r="10" spans="1:1" x14ac:dyDescent="0.25">
      <c r="A10" s="32" t="s">
        <v>1144</v>
      </c>
    </row>
    <row r="11" spans="1:1" x14ac:dyDescent="0.25">
      <c r="A11" s="32" t="s">
        <v>1145</v>
      </c>
    </row>
    <row r="12" spans="1:1" x14ac:dyDescent="0.25">
      <c r="A12" s="32" t="s">
        <v>1146</v>
      </c>
    </row>
    <row r="13" spans="1:1" x14ac:dyDescent="0.25">
      <c r="A13" s="32" t="s">
        <v>1147</v>
      </c>
    </row>
    <row r="14" spans="1:1" x14ac:dyDescent="0.25">
      <c r="A14" s="32" t="s">
        <v>1148</v>
      </c>
    </row>
    <row r="15" spans="1:1" x14ac:dyDescent="0.25">
      <c r="A15" s="32" t="s">
        <v>1149</v>
      </c>
    </row>
    <row r="16" spans="1:1" x14ac:dyDescent="0.25">
      <c r="A16" s="32" t="s">
        <v>1150</v>
      </c>
    </row>
    <row r="17" spans="1:3" x14ac:dyDescent="0.25">
      <c r="A17" s="32" t="s">
        <v>1151</v>
      </c>
    </row>
    <row r="18" spans="1:3" x14ac:dyDescent="0.25">
      <c r="A18" s="32" t="s">
        <v>1152</v>
      </c>
    </row>
    <row r="19" spans="1:3" x14ac:dyDescent="0.25">
      <c r="A19" s="32" t="s">
        <v>1153</v>
      </c>
    </row>
    <row r="20" spans="1:3" x14ac:dyDescent="0.25">
      <c r="A20" s="2" t="s">
        <v>1154</v>
      </c>
    </row>
    <row r="22" spans="1:3" x14ac:dyDescent="0.25">
      <c r="B22" s="15" t="s">
        <v>1155</v>
      </c>
    </row>
    <row r="23" spans="1:3" x14ac:dyDescent="0.25">
      <c r="A23" s="4" t="s">
        <v>182</v>
      </c>
      <c r="B23" s="42">
        <f>0.01*Input!F$60*(Aggreg!E315*Loads!E334+Aggreg!F315*Loads!F334+Aggreg!G315*Loads!G334)+10*(Aggreg!B315*Loads!B334+Aggreg!C315*Loads!C334+Aggreg!D315*Loads!D334+Aggreg!H315*Loads!H334)</f>
        <v>85996332.695864365</v>
      </c>
      <c r="C23" s="17"/>
    </row>
    <row r="24" spans="1:3" x14ac:dyDescent="0.25">
      <c r="A24" s="4" t="s">
        <v>183</v>
      </c>
      <c r="B24" s="42">
        <f>0.01*Input!F$60*(Aggreg!E316*Loads!E335+Aggreg!F316*Loads!F335+Aggreg!G316*Loads!G335)+10*(Aggreg!B316*Loads!B335+Aggreg!C316*Loads!C335+Aggreg!D316*Loads!D335+Aggreg!H316*Loads!H335)</f>
        <v>15142714.27347585</v>
      </c>
      <c r="C24" s="17"/>
    </row>
    <row r="25" spans="1:3" x14ac:dyDescent="0.25">
      <c r="A25" s="4" t="s">
        <v>228</v>
      </c>
      <c r="B25" s="42">
        <f>0.01*Input!F$60*(Aggreg!E317*Loads!E336+Aggreg!F317*Loads!F336+Aggreg!G317*Loads!G336)+10*(Aggreg!B317*Loads!B336+Aggreg!C317*Loads!C336+Aggreg!D317*Loads!D336+Aggreg!H317*Loads!H336)</f>
        <v>52644.962481952563</v>
      </c>
      <c r="C25" s="17"/>
    </row>
    <row r="26" spans="1:3" x14ac:dyDescent="0.25">
      <c r="A26" s="4" t="s">
        <v>184</v>
      </c>
      <c r="B26" s="42">
        <f>0.01*Input!F$60*(Aggreg!E318*Loads!E337+Aggreg!F318*Loads!F337+Aggreg!G318*Loads!G337)+10*(Aggreg!B318*Loads!B337+Aggreg!C318*Loads!C337+Aggreg!D318*Loads!D337+Aggreg!H318*Loads!H337)</f>
        <v>18228269.790878683</v>
      </c>
      <c r="C26" s="17"/>
    </row>
    <row r="27" spans="1:3" x14ac:dyDescent="0.25">
      <c r="A27" s="4" t="s">
        <v>185</v>
      </c>
      <c r="B27" s="42">
        <f>0.01*Input!F$60*(Aggreg!E319*Loads!E338+Aggreg!F319*Loads!F338+Aggreg!G319*Loads!G338)+10*(Aggreg!B319*Loads!B338+Aggreg!C319*Loads!C338+Aggreg!D319*Loads!D338+Aggreg!H319*Loads!H338)</f>
        <v>6873967.1155541344</v>
      </c>
      <c r="C27" s="17"/>
    </row>
    <row r="28" spans="1:3" x14ac:dyDescent="0.25">
      <c r="A28" s="4" t="s">
        <v>229</v>
      </c>
      <c r="B28" s="42">
        <f>0.01*Input!F$60*(Aggreg!E320*Loads!E339+Aggreg!F320*Loads!F339+Aggreg!G320*Loads!G339)+10*(Aggreg!B320*Loads!B339+Aggreg!C320*Loads!C339+Aggreg!D320*Loads!D339+Aggreg!H320*Loads!H339)</f>
        <v>21419.715110239056</v>
      </c>
      <c r="C28" s="17"/>
    </row>
    <row r="29" spans="1:3" x14ac:dyDescent="0.25">
      <c r="A29" s="4" t="s">
        <v>186</v>
      </c>
      <c r="B29" s="42">
        <f>0.01*Input!F$60*(Aggreg!E321*Loads!E340+Aggreg!F321*Loads!F340+Aggreg!G321*Loads!G340)+10*(Aggreg!B321*Loads!B340+Aggreg!C321*Loads!C340+Aggreg!D321*Loads!D340+Aggreg!H321*Loads!H340)</f>
        <v>930609.05714737088</v>
      </c>
      <c r="C29" s="17"/>
    </row>
    <row r="30" spans="1:3" x14ac:dyDescent="0.25">
      <c r="A30" s="4" t="s">
        <v>187</v>
      </c>
      <c r="B30" s="42">
        <f>0.01*Input!F$60*(Aggreg!E322*Loads!E341+Aggreg!F322*Loads!F341+Aggreg!G322*Loads!G341)+10*(Aggreg!B322*Loads!B341+Aggreg!C322*Loads!C341+Aggreg!D322*Loads!D341+Aggreg!H322*Loads!H341)</f>
        <v>134496.67339439338</v>
      </c>
      <c r="C30" s="17"/>
    </row>
    <row r="31" spans="1:3" x14ac:dyDescent="0.25">
      <c r="A31" s="4" t="s">
        <v>207</v>
      </c>
      <c r="B31" s="42">
        <f>0.01*Input!F$60*(Aggreg!E323*Loads!E342+Aggreg!F323*Loads!F342+Aggreg!G323*Loads!G342)+10*(Aggreg!B323*Loads!B342+Aggreg!C323*Loads!C342+Aggreg!D323*Loads!D342+Aggreg!H323*Loads!H342)</f>
        <v>9509.3737434559898</v>
      </c>
      <c r="C31" s="17"/>
    </row>
    <row r="32" spans="1:3" x14ac:dyDescent="0.25">
      <c r="A32" s="4" t="s">
        <v>188</v>
      </c>
      <c r="B32" s="42">
        <f>0.01*Input!F$60*(Aggreg!E324*Loads!E343+Aggreg!F324*Loads!F343+Aggreg!G324*Loads!G343)+10*(Aggreg!B324*Loads!B343+Aggreg!C324*Loads!C343+Aggreg!D324*Loads!D343+Aggreg!H324*Loads!H343)</f>
        <v>4860.3653256879516</v>
      </c>
      <c r="C32" s="17"/>
    </row>
    <row r="33" spans="1:3" x14ac:dyDescent="0.25">
      <c r="A33" s="4" t="s">
        <v>189</v>
      </c>
      <c r="B33" s="42">
        <f>0.01*Input!F$60*(Aggreg!E325*Loads!E344+Aggreg!F325*Loads!F344+Aggreg!G325*Loads!G344)+10*(Aggreg!B325*Loads!B344+Aggreg!C325*Loads!C344+Aggreg!D325*Loads!D344+Aggreg!H325*Loads!H344)</f>
        <v>4687843.1484700842</v>
      </c>
      <c r="C33" s="17"/>
    </row>
    <row r="34" spans="1:3" x14ac:dyDescent="0.25">
      <c r="A34" s="4" t="s">
        <v>190</v>
      </c>
      <c r="B34" s="42">
        <f>0.01*Input!F$60*(Aggreg!E326*Loads!E345+Aggreg!F326*Loads!F345+Aggreg!G326*Loads!G345)+10*(Aggreg!B326*Loads!B345+Aggreg!C326*Loads!C345+Aggreg!D326*Loads!D345+Aggreg!H326*Loads!H345)</f>
        <v>19911827.316128977</v>
      </c>
      <c r="C34" s="17"/>
    </row>
    <row r="35" spans="1:3" x14ac:dyDescent="0.25">
      <c r="A35" s="4" t="s">
        <v>191</v>
      </c>
      <c r="B35" s="42">
        <f>0.01*Input!F$60*(Aggreg!E327*Loads!E346+Aggreg!F327*Loads!F346+Aggreg!G327*Loads!G346)+10*(Aggreg!B327*Loads!B346+Aggreg!C327*Loads!C346+Aggreg!D327*Loads!D346+Aggreg!H327*Loads!H346)</f>
        <v>8885866.4470160343</v>
      </c>
      <c r="C35" s="17"/>
    </row>
    <row r="36" spans="1:3" x14ac:dyDescent="0.25">
      <c r="A36" s="4" t="s">
        <v>208</v>
      </c>
      <c r="B36" s="42">
        <f>0.01*Input!F$60*(Aggreg!E328*Loads!E347+Aggreg!F328*Loads!F347+Aggreg!G328*Loads!G347)+10*(Aggreg!B328*Loads!B347+Aggreg!C328*Loads!C347+Aggreg!D328*Loads!D347+Aggreg!H328*Loads!H347)</f>
        <v>20085138.458236575</v>
      </c>
      <c r="C36" s="17"/>
    </row>
    <row r="37" spans="1:3" x14ac:dyDescent="0.25">
      <c r="A37" s="4" t="s">
        <v>230</v>
      </c>
      <c r="B37" s="42">
        <f>0.01*Input!F$60*(Aggreg!E329*Loads!E348+Aggreg!F329*Loads!F348+Aggreg!G329*Loads!G348)+10*(Aggreg!B329*Loads!B348+Aggreg!C329*Loads!C348+Aggreg!D329*Loads!D348+Aggreg!H329*Loads!H348)</f>
        <v>75921.231274717022</v>
      </c>
      <c r="C37" s="17"/>
    </row>
    <row r="38" spans="1:3" x14ac:dyDescent="0.25">
      <c r="A38" s="4" t="s">
        <v>231</v>
      </c>
      <c r="B38" s="42">
        <f>0.01*Input!F$60*(Aggreg!E330*Loads!E349+Aggreg!F330*Loads!F349+Aggreg!G330*Loads!G349)+10*(Aggreg!B330*Loads!B349+Aggreg!C330*Loads!C349+Aggreg!D330*Loads!D349+Aggreg!H330*Loads!H349)</f>
        <v>113147.95602539751</v>
      </c>
      <c r="C38" s="17"/>
    </row>
    <row r="39" spans="1:3" x14ac:dyDescent="0.25">
      <c r="A39" s="4" t="s">
        <v>232</v>
      </c>
      <c r="B39" s="42">
        <f>0.01*Input!F$60*(Aggreg!E331*Loads!E350+Aggreg!F331*Loads!F350+Aggreg!G331*Loads!G350)+10*(Aggreg!B331*Loads!B350+Aggreg!C331*Loads!C350+Aggreg!D331*Loads!D350+Aggreg!H331*Loads!H350)</f>
        <v>18310.45833050623</v>
      </c>
      <c r="C39" s="17"/>
    </row>
    <row r="40" spans="1:3" x14ac:dyDescent="0.25">
      <c r="A40" s="4" t="s">
        <v>233</v>
      </c>
      <c r="B40" s="42">
        <f>0.01*Input!F$60*(Aggreg!E332*Loads!E351+Aggreg!F332*Loads!F351+Aggreg!G332*Loads!G351)+10*(Aggreg!B332*Loads!B351+Aggreg!C332*Loads!C351+Aggreg!D332*Loads!D351+Aggreg!H332*Loads!H351)</f>
        <v>0</v>
      </c>
      <c r="C40" s="17"/>
    </row>
    <row r="41" spans="1:3" x14ac:dyDescent="0.25">
      <c r="A41" s="4" t="s">
        <v>234</v>
      </c>
      <c r="B41" s="42">
        <f>0.01*Input!F$60*(Aggreg!E333*Loads!E352+Aggreg!F333*Loads!F352+Aggreg!G333*Loads!G352)+10*(Aggreg!B333*Loads!B352+Aggreg!C333*Loads!C352+Aggreg!D333*Loads!D352+Aggreg!H333*Loads!H352)</f>
        <v>2724468.8454813021</v>
      </c>
      <c r="C41" s="17"/>
    </row>
    <row r="42" spans="1:3" x14ac:dyDescent="0.25">
      <c r="A42" s="4" t="s">
        <v>192</v>
      </c>
      <c r="B42" s="42">
        <f>0.01*Input!F$60*(Aggreg!E334*Loads!E353+Aggreg!F334*Loads!F353+Aggreg!G334*Loads!G353)+10*(Aggreg!B334*Loads!B353+Aggreg!C334*Loads!C353+Aggreg!D334*Loads!D353+Aggreg!H334*Loads!H353)</f>
        <v>-27446.105940349364</v>
      </c>
      <c r="C42" s="17"/>
    </row>
    <row r="43" spans="1:3" x14ac:dyDescent="0.25">
      <c r="A43" s="4" t="s">
        <v>193</v>
      </c>
      <c r="B43" s="42">
        <f>0.01*Input!F$60*(Aggreg!E335*Loads!E354+Aggreg!F335*Loads!F354+Aggreg!G335*Loads!G354)+10*(Aggreg!B335*Loads!B354+Aggreg!C335*Loads!C354+Aggreg!D335*Loads!D354+Aggreg!H335*Loads!H354)</f>
        <v>0</v>
      </c>
      <c r="C43" s="17"/>
    </row>
    <row r="44" spans="1:3" x14ac:dyDescent="0.25">
      <c r="A44" s="4" t="s">
        <v>194</v>
      </c>
      <c r="B44" s="42">
        <f>0.01*Input!F$60*(Aggreg!E336*Loads!E355+Aggreg!F336*Loads!F355+Aggreg!G336*Loads!G355)+10*(Aggreg!B336*Loads!B355+Aggreg!C336*Loads!C355+Aggreg!D336*Loads!D355+Aggreg!H336*Loads!H355)</f>
        <v>-486655.86036448926</v>
      </c>
      <c r="C44" s="17"/>
    </row>
    <row r="45" spans="1:3" x14ac:dyDescent="0.25">
      <c r="A45" s="4" t="s">
        <v>195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196</v>
      </c>
      <c r="B46" s="42">
        <f>0.01*Input!F$60*(Aggreg!E338*Loads!E357+Aggreg!F338*Loads!F357+Aggreg!G338*Loads!G357)+10*(Aggreg!B338*Loads!B357+Aggreg!C338*Loads!C357+Aggreg!D338*Loads!D357+Aggreg!H338*Loads!H357)</f>
        <v>-25231.861282292262</v>
      </c>
      <c r="C46" s="17"/>
    </row>
    <row r="47" spans="1:3" x14ac:dyDescent="0.25">
      <c r="A47" s="4" t="s">
        <v>197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198</v>
      </c>
      <c r="B48" s="42">
        <f>0.01*Input!F$60*(Aggreg!E340*Loads!E359+Aggreg!F340*Loads!F359+Aggreg!G340*Loads!G359)+10*(Aggreg!B340*Loads!B359+Aggreg!C340*Loads!C359+Aggreg!D340*Loads!D359+Aggreg!H340*Loads!H359)</f>
        <v>-70240.971093061467</v>
      </c>
      <c r="C48" s="17"/>
    </row>
    <row r="49" spans="1:3" x14ac:dyDescent="0.25">
      <c r="A49" s="4" t="s">
        <v>199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200</v>
      </c>
      <c r="B50" s="42">
        <f>0.01*Input!F$60*(Aggreg!E342*Loads!E361+Aggreg!F342*Loads!F361+Aggreg!G342*Loads!G361)+10*(Aggreg!B342*Loads!B361+Aggreg!C342*Loads!C361+Aggreg!D342*Loads!D361+Aggreg!H342*Loads!H361)</f>
        <v>-26128.100778349195</v>
      </c>
      <c r="C50" s="17"/>
    </row>
    <row r="51" spans="1:3" x14ac:dyDescent="0.25">
      <c r="A51" s="4" t="s">
        <v>201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209</v>
      </c>
      <c r="B52" s="42">
        <f>0.01*Input!F$60*(Aggreg!E344*Loads!E363+Aggreg!F344*Loads!F363+Aggreg!G344*Loads!G363)+10*(Aggreg!B344*Loads!B363+Aggreg!C344*Loads!C363+Aggreg!D344*Loads!D363+Aggreg!H344*Loads!H363)</f>
        <v>-1563646.759227664</v>
      </c>
      <c r="C52" s="17"/>
    </row>
    <row r="53" spans="1:3" x14ac:dyDescent="0.25">
      <c r="A53" s="4" t="s">
        <v>210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211</v>
      </c>
      <c r="B54" s="42">
        <f>0.01*Input!F$60*(Aggreg!E346*Loads!E365+Aggreg!F346*Loads!F365+Aggreg!G346*Loads!G365)+10*(Aggreg!B346*Loads!B365+Aggreg!C346*Loads!C365+Aggreg!D346*Loads!D365+Aggreg!H346*Loads!H365)</f>
        <v>-1068127.832076988</v>
      </c>
      <c r="C54" s="17"/>
    </row>
    <row r="55" spans="1:3" x14ac:dyDescent="0.25">
      <c r="A55" s="4" t="s">
        <v>212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1156</v>
      </c>
    </row>
    <row r="58" spans="1:3" x14ac:dyDescent="0.25">
      <c r="A58" s="2" t="s">
        <v>381</v>
      </c>
    </row>
    <row r="59" spans="1:3" x14ac:dyDescent="0.25">
      <c r="A59" s="32" t="s">
        <v>1157</v>
      </c>
    </row>
    <row r="60" spans="1:3" x14ac:dyDescent="0.25">
      <c r="A60" s="32" t="s">
        <v>1158</v>
      </c>
    </row>
    <row r="61" spans="1:3" x14ac:dyDescent="0.25">
      <c r="A61" s="32" t="s">
        <v>1159</v>
      </c>
    </row>
    <row r="62" spans="1:3" x14ac:dyDescent="0.25">
      <c r="A62" s="33" t="s">
        <v>384</v>
      </c>
      <c r="B62" s="33" t="s">
        <v>452</v>
      </c>
      <c r="C62" s="33" t="s">
        <v>514</v>
      </c>
    </row>
    <row r="63" spans="1:3" x14ac:dyDescent="0.25">
      <c r="A63" s="33" t="s">
        <v>387</v>
      </c>
      <c r="B63" s="33" t="s">
        <v>1160</v>
      </c>
      <c r="C63" s="33" t="s">
        <v>1161</v>
      </c>
    </row>
    <row r="65" spans="1:4" ht="30" x14ac:dyDescent="0.25">
      <c r="B65" s="15" t="s">
        <v>1162</v>
      </c>
      <c r="C65" s="15" t="s">
        <v>1163</v>
      </c>
    </row>
    <row r="66" spans="1:4" x14ac:dyDescent="0.25">
      <c r="A66" s="4" t="s">
        <v>51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346764290.56304264</v>
      </c>
      <c r="C66" s="42">
        <f>B66-Input!F$51</f>
        <v>0</v>
      </c>
      <c r="D66" s="17"/>
    </row>
    <row r="68" spans="1:4" ht="21" customHeight="1" x14ac:dyDescent="0.3">
      <c r="A68" s="1" t="s">
        <v>1164</v>
      </c>
    </row>
    <row r="69" spans="1:4" x14ac:dyDescent="0.25">
      <c r="A69" s="2" t="s">
        <v>381</v>
      </c>
    </row>
    <row r="70" spans="1:4" x14ac:dyDescent="0.25">
      <c r="A70" s="32" t="s">
        <v>1165</v>
      </c>
    </row>
    <row r="71" spans="1:4" x14ac:dyDescent="0.25">
      <c r="A71" s="32" t="s">
        <v>1166</v>
      </c>
    </row>
    <row r="72" spans="1:4" x14ac:dyDescent="0.25">
      <c r="A72" s="32" t="s">
        <v>1167</v>
      </c>
    </row>
    <row r="73" spans="1:4" x14ac:dyDescent="0.25">
      <c r="A73" s="33" t="s">
        <v>384</v>
      </c>
      <c r="B73" s="33" t="s">
        <v>515</v>
      </c>
      <c r="C73" s="33" t="s">
        <v>514</v>
      </c>
    </row>
    <row r="74" spans="1:4" x14ac:dyDescent="0.25">
      <c r="A74" s="33" t="s">
        <v>387</v>
      </c>
      <c r="B74" s="33" t="s">
        <v>568</v>
      </c>
      <c r="C74" s="33" t="s">
        <v>1161</v>
      </c>
    </row>
    <row r="76" spans="1:4" ht="30" x14ac:dyDescent="0.25">
      <c r="B76" s="15" t="s">
        <v>1168</v>
      </c>
      <c r="C76" s="15" t="s">
        <v>1169</v>
      </c>
    </row>
    <row r="77" spans="1:4" x14ac:dyDescent="0.25">
      <c r="A77" s="4" t="s">
        <v>1170</v>
      </c>
      <c r="B77" s="42">
        <f>SUM(B$23:B$55)</f>
        <v>180629870.39317656</v>
      </c>
      <c r="C77" s="42">
        <f>B$66-B77</f>
        <v>166134420.16986609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South West in April 19 (no data version)</v>
      </c>
    </row>
    <row r="3" spans="1:5" ht="21" customHeight="1" x14ac:dyDescent="0.3">
      <c r="A3" s="1" t="s">
        <v>1171</v>
      </c>
    </row>
    <row r="4" spans="1:5" x14ac:dyDescent="0.25">
      <c r="A4" s="2" t="s">
        <v>381</v>
      </c>
    </row>
    <row r="5" spans="1:5" x14ac:dyDescent="0.25">
      <c r="A5" s="32" t="s">
        <v>1172</v>
      </c>
    </row>
    <row r="6" spans="1:5" x14ac:dyDescent="0.25">
      <c r="A6" s="32" t="s">
        <v>1173</v>
      </c>
    </row>
    <row r="7" spans="1:5" x14ac:dyDescent="0.25">
      <c r="A7" s="32" t="s">
        <v>1174</v>
      </c>
    </row>
    <row r="8" spans="1:5" x14ac:dyDescent="0.25">
      <c r="A8" s="33" t="s">
        <v>384</v>
      </c>
      <c r="B8" s="33" t="s">
        <v>514</v>
      </c>
      <c r="C8" s="33" t="s">
        <v>514</v>
      </c>
      <c r="D8" s="33" t="s">
        <v>514</v>
      </c>
    </row>
    <row r="9" spans="1:5" x14ac:dyDescent="0.25">
      <c r="A9" s="33" t="s">
        <v>387</v>
      </c>
      <c r="B9" s="33" t="s">
        <v>1175</v>
      </c>
      <c r="C9" s="33" t="s">
        <v>1176</v>
      </c>
      <c r="D9" s="33" t="s">
        <v>1177</v>
      </c>
    </row>
    <row r="11" spans="1:5" ht="30" x14ac:dyDescent="0.25">
      <c r="B11" s="15" t="s">
        <v>1178</v>
      </c>
      <c r="C11" s="15" t="s">
        <v>1179</v>
      </c>
      <c r="D11" s="15" t="s">
        <v>1180</v>
      </c>
    </row>
    <row r="12" spans="1:5" x14ac:dyDescent="0.25">
      <c r="A12" s="4" t="s">
        <v>182</v>
      </c>
      <c r="B12" s="37">
        <f>0-Aggreg!B315</f>
        <v>-1.4309919980185637</v>
      </c>
      <c r="C12" s="10"/>
      <c r="D12" s="10"/>
      <c r="E12" s="17"/>
    </row>
    <row r="13" spans="1:5" x14ac:dyDescent="0.25">
      <c r="A13" s="4" t="s">
        <v>183</v>
      </c>
      <c r="B13" s="37">
        <f>0-Aggreg!B316</f>
        <v>-1.6942553299250624</v>
      </c>
      <c r="C13" s="37">
        <f>0-Aggreg!C316</f>
        <v>-0.1050312419239664</v>
      </c>
      <c r="D13" s="10"/>
      <c r="E13" s="17"/>
    </row>
    <row r="14" spans="1:5" x14ac:dyDescent="0.25">
      <c r="A14" s="4" t="s">
        <v>228</v>
      </c>
      <c r="B14" s="37">
        <f>0-Aggreg!B317</f>
        <v>-0.10617125547232918</v>
      </c>
      <c r="C14" s="10"/>
      <c r="D14" s="10"/>
      <c r="E14" s="17"/>
    </row>
    <row r="15" spans="1:5" x14ac:dyDescent="0.25">
      <c r="A15" s="4" t="s">
        <v>184</v>
      </c>
      <c r="B15" s="37">
        <f>0-Aggreg!B318</f>
        <v>-1.2107222848803643</v>
      </c>
      <c r="C15" s="10"/>
      <c r="D15" s="10"/>
      <c r="E15" s="17"/>
    </row>
    <row r="16" spans="1:5" x14ac:dyDescent="0.25">
      <c r="A16" s="4" t="s">
        <v>185</v>
      </c>
      <c r="B16" s="37">
        <f>0-Aggreg!B319</f>
        <v>-1.3822579226570144</v>
      </c>
      <c r="C16" s="37">
        <f>0-Aggreg!C319</f>
        <v>-0.10571557552376173</v>
      </c>
      <c r="D16" s="10"/>
      <c r="E16" s="17"/>
    </row>
    <row r="17" spans="1:5" x14ac:dyDescent="0.25">
      <c r="A17" s="4" t="s">
        <v>229</v>
      </c>
      <c r="B17" s="37">
        <f>0-Aggreg!B320</f>
        <v>-0.11456677745486524</v>
      </c>
      <c r="C17" s="10"/>
      <c r="D17" s="10"/>
      <c r="E17" s="17"/>
    </row>
    <row r="18" spans="1:5" x14ac:dyDescent="0.25">
      <c r="A18" s="4" t="s">
        <v>186</v>
      </c>
      <c r="B18" s="37">
        <f>0-Aggreg!B321</f>
        <v>-1.2455296964096854</v>
      </c>
      <c r="C18" s="37">
        <f>0-Aggreg!C321</f>
        <v>-8.5620656579073084E-2</v>
      </c>
      <c r="D18" s="10"/>
      <c r="E18" s="17"/>
    </row>
    <row r="19" spans="1:5" x14ac:dyDescent="0.25">
      <c r="A19" s="4" t="s">
        <v>187</v>
      </c>
      <c r="B19" s="37">
        <f>0-Aggreg!B322</f>
        <v>-1.0946341684843488</v>
      </c>
      <c r="C19" s="37">
        <f>0-Aggreg!C322</f>
        <v>-7.2860699652135416E-2</v>
      </c>
      <c r="D19" s="10"/>
      <c r="E19" s="17"/>
    </row>
    <row r="20" spans="1:5" x14ac:dyDescent="0.25">
      <c r="A20" s="4" t="s">
        <v>207</v>
      </c>
      <c r="B20" s="37">
        <f>0-Aggreg!B323</f>
        <v>-0.70830655095615302</v>
      </c>
      <c r="C20" s="37">
        <f>0-Aggreg!C323</f>
        <v>-3.288877895423014E-2</v>
      </c>
      <c r="D20" s="10"/>
      <c r="E20" s="17"/>
    </row>
    <row r="21" spans="1:5" x14ac:dyDescent="0.25">
      <c r="A21" s="4" t="s">
        <v>188</v>
      </c>
      <c r="B21" s="37">
        <f>0-Aggreg!B324</f>
        <v>-13.105842562639054</v>
      </c>
      <c r="C21" s="37">
        <f>0-Aggreg!C324</f>
        <v>-0.48605716214827277</v>
      </c>
      <c r="D21" s="37">
        <f>0-Aggreg!D324</f>
        <v>-9.7492359927975544E-2</v>
      </c>
      <c r="E21" s="17"/>
    </row>
    <row r="22" spans="1:5" x14ac:dyDescent="0.25">
      <c r="A22" s="4" t="s">
        <v>189</v>
      </c>
      <c r="B22" s="37">
        <f>0-Aggreg!B325</f>
        <v>-13.621389212973769</v>
      </c>
      <c r="C22" s="37">
        <f>0-Aggreg!C325</f>
        <v>-0.5053723963680905</v>
      </c>
      <c r="D22" s="37">
        <f>0-Aggreg!D325</f>
        <v>-0.10135746199352096</v>
      </c>
      <c r="E22" s="17"/>
    </row>
    <row r="23" spans="1:5" x14ac:dyDescent="0.25">
      <c r="A23" s="4" t="s">
        <v>190</v>
      </c>
      <c r="B23" s="37">
        <f>0-Aggreg!B326</f>
        <v>-9.1263806277448598</v>
      </c>
      <c r="C23" s="37">
        <f>0-Aggreg!C326</f>
        <v>-0.2991123192279414</v>
      </c>
      <c r="D23" s="37">
        <f>0-Aggreg!D326</f>
        <v>-6.1940828135790486E-2</v>
      </c>
      <c r="E23" s="17"/>
    </row>
    <row r="24" spans="1:5" x14ac:dyDescent="0.25">
      <c r="A24" s="4" t="s">
        <v>191</v>
      </c>
      <c r="B24" s="37">
        <f>0-Aggreg!B327</f>
        <v>-7.1292269462375923</v>
      </c>
      <c r="C24" s="37">
        <f>0-Aggreg!C327</f>
        <v>-0.17183551511759462</v>
      </c>
      <c r="D24" s="37">
        <f>0-Aggreg!D327</f>
        <v>-3.9041565276612705E-2</v>
      </c>
      <c r="E24" s="17"/>
    </row>
    <row r="25" spans="1:5" x14ac:dyDescent="0.25">
      <c r="A25" s="4" t="s">
        <v>208</v>
      </c>
      <c r="B25" s="37">
        <f>0-Aggreg!B328</f>
        <v>-5.4060644487076752</v>
      </c>
      <c r="C25" s="37">
        <f>0-Aggreg!C328</f>
        <v>-8.7514552933247308E-2</v>
      </c>
      <c r="D25" s="37">
        <f>0-Aggreg!D328</f>
        <v>-2.306159513215407E-2</v>
      </c>
      <c r="E25" s="17"/>
    </row>
    <row r="26" spans="1:5" x14ac:dyDescent="0.25">
      <c r="A26" s="4" t="s">
        <v>230</v>
      </c>
      <c r="B26" s="37">
        <f>0-Aggreg!B329</f>
        <v>-1.8302129027147358</v>
      </c>
      <c r="C26" s="10"/>
      <c r="D26" s="10"/>
      <c r="E26" s="17"/>
    </row>
    <row r="27" spans="1:5" x14ac:dyDescent="0.25">
      <c r="A27" s="4" t="s">
        <v>231</v>
      </c>
      <c r="B27" s="37">
        <f>0-Aggreg!B330</f>
        <v>-2.1687345607802904</v>
      </c>
      <c r="C27" s="10"/>
      <c r="D27" s="10"/>
      <c r="E27" s="17"/>
    </row>
    <row r="28" spans="1:5" x14ac:dyDescent="0.25">
      <c r="A28" s="4" t="s">
        <v>232</v>
      </c>
      <c r="B28" s="37">
        <f>0-Aggreg!B331</f>
        <v>-3.0757483885658816</v>
      </c>
      <c r="C28" s="10"/>
      <c r="D28" s="10"/>
      <c r="E28" s="17"/>
    </row>
    <row r="29" spans="1:5" x14ac:dyDescent="0.25">
      <c r="A29" s="4" t="s">
        <v>233</v>
      </c>
      <c r="B29" s="37">
        <f>0-Aggreg!B332</f>
        <v>-1.5031565532497604</v>
      </c>
      <c r="C29" s="10"/>
      <c r="D29" s="10"/>
      <c r="E29" s="17"/>
    </row>
    <row r="30" spans="1:5" x14ac:dyDescent="0.25">
      <c r="A30" s="4" t="s">
        <v>234</v>
      </c>
      <c r="B30" s="37">
        <f>0-Aggreg!B333</f>
        <v>-33.655655456115277</v>
      </c>
      <c r="C30" s="37">
        <f>0-Aggreg!C333</f>
        <v>-1.6012597931287127</v>
      </c>
      <c r="D30" s="37">
        <f>0-Aggreg!D333</f>
        <v>-1.0085502725371125</v>
      </c>
      <c r="E30" s="17"/>
    </row>
    <row r="31" spans="1:5" x14ac:dyDescent="0.25">
      <c r="A31" s="4" t="s">
        <v>192</v>
      </c>
      <c r="B31" s="37">
        <f>0-Aggreg!B334</f>
        <v>0.69266901304071482</v>
      </c>
      <c r="C31" s="10"/>
      <c r="D31" s="10"/>
      <c r="E31" s="17"/>
    </row>
    <row r="32" spans="1:5" x14ac:dyDescent="0.25">
      <c r="A32" s="4" t="s">
        <v>193</v>
      </c>
      <c r="B32" s="37">
        <f>0-Aggreg!B335</f>
        <v>0.62484849627321171</v>
      </c>
      <c r="C32" s="10"/>
      <c r="D32" s="10"/>
      <c r="E32" s="17"/>
    </row>
    <row r="33" spans="1:5" x14ac:dyDescent="0.25">
      <c r="A33" s="4" t="s">
        <v>194</v>
      </c>
      <c r="B33" s="37">
        <f>0-Aggreg!B336</f>
        <v>0.69266901304071482</v>
      </c>
      <c r="C33" s="10"/>
      <c r="D33" s="10"/>
      <c r="E33" s="17"/>
    </row>
    <row r="34" spans="1:5" x14ac:dyDescent="0.25">
      <c r="A34" s="4" t="s">
        <v>195</v>
      </c>
      <c r="B34" s="37">
        <f>0-Aggreg!B337</f>
        <v>0.69266901304071482</v>
      </c>
      <c r="C34" s="10"/>
      <c r="D34" s="10"/>
      <c r="E34" s="17"/>
    </row>
    <row r="35" spans="1:5" x14ac:dyDescent="0.25">
      <c r="A35" s="4" t="s">
        <v>196</v>
      </c>
      <c r="B35" s="37">
        <f>0-Aggreg!B338</f>
        <v>8.8444935589657767</v>
      </c>
      <c r="C35" s="37">
        <f>0-Aggreg!C338</f>
        <v>0.32806306183569284</v>
      </c>
      <c r="D35" s="37">
        <f>0-Aggreg!D338</f>
        <v>6.5800175675982051E-2</v>
      </c>
      <c r="E35" s="17"/>
    </row>
    <row r="36" spans="1:5" x14ac:dyDescent="0.25">
      <c r="A36" s="4" t="s">
        <v>197</v>
      </c>
      <c r="B36" s="37">
        <f>0-Aggreg!B339</f>
        <v>8.8444935589657767</v>
      </c>
      <c r="C36" s="37">
        <f>0-Aggreg!C339</f>
        <v>0.32806306183569284</v>
      </c>
      <c r="D36" s="37">
        <f>0-Aggreg!D339</f>
        <v>6.5800175675982051E-2</v>
      </c>
      <c r="E36" s="17"/>
    </row>
    <row r="37" spans="1:5" x14ac:dyDescent="0.25">
      <c r="A37" s="4" t="s">
        <v>198</v>
      </c>
      <c r="B37" s="37">
        <f>0-Aggreg!B340</f>
        <v>0.62484849627321171</v>
      </c>
      <c r="C37" s="10"/>
      <c r="D37" s="10"/>
      <c r="E37" s="17"/>
    </row>
    <row r="38" spans="1:5" x14ac:dyDescent="0.25">
      <c r="A38" s="4" t="s">
        <v>199</v>
      </c>
      <c r="B38" s="37">
        <f>0-Aggreg!B341</f>
        <v>0.62484849627321171</v>
      </c>
      <c r="C38" s="10"/>
      <c r="D38" s="10"/>
      <c r="E38" s="17"/>
    </row>
    <row r="39" spans="1:5" x14ac:dyDescent="0.25">
      <c r="A39" s="4" t="s">
        <v>200</v>
      </c>
      <c r="B39" s="37">
        <f>0-Aggreg!B342</f>
        <v>8.1080851983105955</v>
      </c>
      <c r="C39" s="37">
        <f>0-Aggreg!C342</f>
        <v>0.27943425312006187</v>
      </c>
      <c r="D39" s="37">
        <f>0-Aggreg!D342</f>
        <v>5.7099868560825565E-2</v>
      </c>
      <c r="E39" s="17"/>
    </row>
    <row r="40" spans="1:5" x14ac:dyDescent="0.25">
      <c r="A40" s="4" t="s">
        <v>201</v>
      </c>
      <c r="B40" s="37">
        <f>0-Aggreg!B343</f>
        <v>8.1080851983105955</v>
      </c>
      <c r="C40" s="37">
        <f>0-Aggreg!C343</f>
        <v>0.27943425312006187</v>
      </c>
      <c r="D40" s="37">
        <f>0-Aggreg!D343</f>
        <v>5.7099868560825565E-2</v>
      </c>
      <c r="E40" s="17"/>
    </row>
    <row r="41" spans="1:5" x14ac:dyDescent="0.25">
      <c r="A41" s="4" t="s">
        <v>209</v>
      </c>
      <c r="B41" s="37">
        <f>0-Aggreg!B344</f>
        <v>0.39399511232474649</v>
      </c>
      <c r="C41" s="10"/>
      <c r="D41" s="10"/>
      <c r="E41" s="17"/>
    </row>
    <row r="42" spans="1:5" x14ac:dyDescent="0.25">
      <c r="A42" s="4" t="s">
        <v>210</v>
      </c>
      <c r="B42" s="37">
        <f>0-Aggreg!B345</f>
        <v>0.39399511232474649</v>
      </c>
      <c r="C42" s="10"/>
      <c r="D42" s="10"/>
      <c r="E42" s="17"/>
    </row>
    <row r="43" spans="1:5" x14ac:dyDescent="0.25">
      <c r="A43" s="4" t="s">
        <v>211</v>
      </c>
      <c r="B43" s="37">
        <f>0-Aggreg!B346</f>
        <v>5.5853081652771719</v>
      </c>
      <c r="C43" s="37">
        <f>0-Aggreg!C346</f>
        <v>0.11604429413731568</v>
      </c>
      <c r="D43" s="37">
        <f>0-Aggreg!D346</f>
        <v>2.7706600232467009E-2</v>
      </c>
      <c r="E43" s="17"/>
    </row>
    <row r="44" spans="1:5" x14ac:dyDescent="0.25">
      <c r="A44" s="4" t="s">
        <v>212</v>
      </c>
      <c r="B44" s="37">
        <f>0-Aggreg!B347</f>
        <v>5.5853081652771719</v>
      </c>
      <c r="C44" s="37">
        <f>0-Aggreg!C347</f>
        <v>0.11604429413731568</v>
      </c>
      <c r="D44" s="37">
        <f>0-Aggreg!D347</f>
        <v>2.7706600232467009E-2</v>
      </c>
      <c r="E44" s="17"/>
    </row>
    <row r="46" spans="1:5" ht="21" customHeight="1" x14ac:dyDescent="0.3">
      <c r="A46" s="1" t="s">
        <v>1181</v>
      </c>
    </row>
    <row r="47" spans="1:5" x14ac:dyDescent="0.25">
      <c r="A47" s="2" t="s">
        <v>381</v>
      </c>
    </row>
    <row r="48" spans="1:5" x14ac:dyDescent="0.25">
      <c r="A48" s="32" t="s">
        <v>1080</v>
      </c>
    </row>
    <row r="49" spans="1:5" x14ac:dyDescent="0.25">
      <c r="A49" s="32" t="s">
        <v>609</v>
      </c>
    </row>
    <row r="50" spans="1:5" x14ac:dyDescent="0.25">
      <c r="A50" s="32" t="s">
        <v>833</v>
      </c>
    </row>
    <row r="51" spans="1:5" x14ac:dyDescent="0.25">
      <c r="A51" s="32" t="s">
        <v>1182</v>
      </c>
    </row>
    <row r="52" spans="1:5" x14ac:dyDescent="0.25">
      <c r="A52" s="33" t="s">
        <v>384</v>
      </c>
      <c r="B52" s="33" t="s">
        <v>514</v>
      </c>
      <c r="C52" s="33" t="s">
        <v>514</v>
      </c>
      <c r="D52" s="33" t="s">
        <v>514</v>
      </c>
    </row>
    <row r="53" spans="1:5" x14ac:dyDescent="0.25">
      <c r="A53" s="33" t="s">
        <v>387</v>
      </c>
      <c r="B53" s="33" t="s">
        <v>1183</v>
      </c>
      <c r="C53" s="33" t="s">
        <v>1184</v>
      </c>
      <c r="D53" s="33" t="s">
        <v>1185</v>
      </c>
    </row>
    <row r="55" spans="1:5" ht="30" x14ac:dyDescent="0.25">
      <c r="B55" s="15" t="s">
        <v>1186</v>
      </c>
      <c r="C55" s="15" t="s">
        <v>1187</v>
      </c>
      <c r="D55" s="15" t="s">
        <v>1188</v>
      </c>
    </row>
    <row r="56" spans="1:5" x14ac:dyDescent="0.25">
      <c r="A56" s="4" t="s">
        <v>182</v>
      </c>
      <c r="B56" s="37">
        <f>IF(Loads!B46&lt;0,0,Loads!B334*10)</f>
        <v>43635521.514066204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183</v>
      </c>
      <c r="B57" s="37">
        <f>IF(Loads!B47&lt;0,0,Loads!B335*10)</f>
        <v>6336611.2788438993</v>
      </c>
      <c r="C57" s="37">
        <f>IF(Loads!B47&lt;0,0,Loads!C335*10)</f>
        <v>6094068.998892514</v>
      </c>
      <c r="D57" s="37">
        <f>IF(Loads!B47&lt;0,0,Loads!D335*10)</f>
        <v>0</v>
      </c>
      <c r="E57" s="17"/>
    </row>
    <row r="58" spans="1:5" x14ac:dyDescent="0.25">
      <c r="A58" s="4" t="s">
        <v>228</v>
      </c>
      <c r="B58" s="37">
        <f>IF(Loads!B48&lt;0,0,Loads!B336*10)</f>
        <v>495849.4862639457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184</v>
      </c>
      <c r="B59" s="37">
        <f>IF(Loads!B49&lt;0,0,Loads!B337*10)</f>
        <v>11936524.726898838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185</v>
      </c>
      <c r="B60" s="37">
        <f>IF(Loads!B50&lt;0,0,Loads!B338*10)</f>
        <v>4092364.5013398882</v>
      </c>
      <c r="C60" s="37">
        <f>IF(Loads!B50&lt;0,0,Loads!C338*10)</f>
        <v>1709722.5379738221</v>
      </c>
      <c r="D60" s="37">
        <f>IF(Loads!B50&lt;0,0,Loads!D338*10)</f>
        <v>0</v>
      </c>
      <c r="E60" s="17"/>
    </row>
    <row r="61" spans="1:5" x14ac:dyDescent="0.25">
      <c r="A61" s="4" t="s">
        <v>229</v>
      </c>
      <c r="B61" s="37">
        <f>IF(Loads!B51&lt;0,0,Loads!B339*10)</f>
        <v>186962.70931315649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186</v>
      </c>
      <c r="B62" s="37">
        <f>IF(Loads!B52&lt;0,0,Loads!B340*10)</f>
        <v>610169.00719428621</v>
      </c>
      <c r="C62" s="37">
        <f>IF(Loads!B52&lt;0,0,Loads!C340*10)</f>
        <v>153632.9891776398</v>
      </c>
      <c r="D62" s="37">
        <f>IF(Loads!B52&lt;0,0,Loads!D340*10)</f>
        <v>0</v>
      </c>
      <c r="E62" s="17"/>
    </row>
    <row r="63" spans="1:5" x14ac:dyDescent="0.25">
      <c r="A63" s="4" t="s">
        <v>187</v>
      </c>
      <c r="B63" s="37">
        <f>IF(Loads!B53&lt;0,0,Loads!B341*10)</f>
        <v>110114.90224251203</v>
      </c>
      <c r="C63" s="37">
        <f>IF(Loads!B53&lt;0,0,Loads!C341*10)</f>
        <v>28773.369030231497</v>
      </c>
      <c r="D63" s="37">
        <f>IF(Loads!B53&lt;0,0,Loads!D341*10)</f>
        <v>0</v>
      </c>
      <c r="E63" s="17"/>
    </row>
    <row r="64" spans="1:5" x14ac:dyDescent="0.25">
      <c r="A64" s="4" t="s">
        <v>207</v>
      </c>
      <c r="B64" s="37">
        <f>IF(Loads!B54&lt;0,0,Loads!B342*10)</f>
        <v>4751.455588168843</v>
      </c>
      <c r="C64" s="37">
        <f>IF(Loads!B54&lt;0,0,Loads!C342*10)</f>
        <v>1851.9683477307067</v>
      </c>
      <c r="D64" s="37">
        <f>IF(Loads!B54&lt;0,0,Loads!D342*10)</f>
        <v>0</v>
      </c>
      <c r="E64" s="17"/>
    </row>
    <row r="65" spans="1:5" x14ac:dyDescent="0.25">
      <c r="A65" s="4" t="s">
        <v>188</v>
      </c>
      <c r="B65" s="37">
        <f>IF(Loads!B55&lt;0,0,Loads!B343*10)</f>
        <v>179.1450058770493</v>
      </c>
      <c r="C65" s="37">
        <f>IF(Loads!B55&lt;0,0,Loads!C343*10)</f>
        <v>1489.0616151495542</v>
      </c>
      <c r="D65" s="37">
        <f>IF(Loads!B55&lt;0,0,Loads!D343*10)</f>
        <v>1321.4980473460798</v>
      </c>
      <c r="E65" s="17"/>
    </row>
    <row r="66" spans="1:5" x14ac:dyDescent="0.25">
      <c r="A66" s="4" t="s">
        <v>189</v>
      </c>
      <c r="B66" s="37">
        <f>IF(Loads!B56&lt;0,0,Loads!B344*10)</f>
        <v>251999.72947833853</v>
      </c>
      <c r="C66" s="37">
        <f>IF(Loads!B56&lt;0,0,Loads!C344*10)</f>
        <v>1815981.5027127946</v>
      </c>
      <c r="D66" s="37">
        <f>IF(Loads!B56&lt;0,0,Loads!D344*10)</f>
        <v>1625010.547914498</v>
      </c>
      <c r="E66" s="17"/>
    </row>
    <row r="67" spans="1:5" x14ac:dyDescent="0.25">
      <c r="A67" s="4" t="s">
        <v>190</v>
      </c>
      <c r="B67" s="37">
        <f>IF(Loads!B57&lt;0,0,Loads!B345*10)</f>
        <v>901316.66854410176</v>
      </c>
      <c r="C67" s="37">
        <f>IF(Loads!B57&lt;0,0,Loads!C345*10)</f>
        <v>6463086.6391212977</v>
      </c>
      <c r="D67" s="37">
        <f>IF(Loads!B57&lt;0,0,Loads!D345*10)</f>
        <v>5490880.6557547469</v>
      </c>
      <c r="E67" s="17"/>
    </row>
    <row r="68" spans="1:5" x14ac:dyDescent="0.25">
      <c r="A68" s="4" t="s">
        <v>191</v>
      </c>
      <c r="B68" s="37">
        <f>IF(Loads!B58&lt;0,0,Loads!B346*10)</f>
        <v>492357.77534918569</v>
      </c>
      <c r="C68" s="37">
        <f>IF(Loads!B58&lt;0,0,Loads!C346*10)</f>
        <v>3628631.846511255</v>
      </c>
      <c r="D68" s="37">
        <f>IF(Loads!B58&lt;0,0,Loads!D346*10)</f>
        <v>3316159.3425487098</v>
      </c>
      <c r="E68" s="17"/>
    </row>
    <row r="69" spans="1:5" x14ac:dyDescent="0.25">
      <c r="A69" s="4" t="s">
        <v>208</v>
      </c>
      <c r="B69" s="37">
        <f>IF(Loads!B59&lt;0,0,Loads!B347*10)</f>
        <v>1592866.6333955897</v>
      </c>
      <c r="C69" s="37">
        <f>IF(Loads!B59&lt;0,0,Loads!C347*10)</f>
        <v>11207664.874154799</v>
      </c>
      <c r="D69" s="37">
        <f>IF(Loads!B59&lt;0,0,Loads!D347*10)</f>
        <v>12398967.462892096</v>
      </c>
      <c r="E69" s="17"/>
    </row>
    <row r="70" spans="1:5" x14ac:dyDescent="0.25">
      <c r="A70" s="4" t="s">
        <v>230</v>
      </c>
      <c r="B70" s="37">
        <f>IF(Loads!B60&lt;0,0,Loads!B348*10)</f>
        <v>41482.185576390511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231</v>
      </c>
      <c r="B71" s="37">
        <f>IF(Loads!B61&lt;0,0,Loads!B349*10)</f>
        <v>52172.339608351118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232</v>
      </c>
      <c r="B72" s="37">
        <f>IF(Loads!B62&lt;0,0,Loads!B350*10)</f>
        <v>5953.1717219053098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233</v>
      </c>
      <c r="B73" s="37">
        <f>IF(Loads!B63&lt;0,0,Loads!B351*10)</f>
        <v>0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234</v>
      </c>
      <c r="B74" s="37">
        <f>IF(Loads!B64&lt;0,0,Loads!B352*10)</f>
        <v>40262.189243263871</v>
      </c>
      <c r="C74" s="37">
        <f>IF(Loads!B64&lt;0,0,Loads!C352*10)</f>
        <v>304641.81557984976</v>
      </c>
      <c r="D74" s="37">
        <f>IF(Loads!B64&lt;0,0,Loads!D352*10)</f>
        <v>874133.70440085395</v>
      </c>
      <c r="E74" s="17"/>
    </row>
    <row r="75" spans="1:5" x14ac:dyDescent="0.25">
      <c r="A75" s="4" t="s">
        <v>192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193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194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195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196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197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198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199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200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201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209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210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211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212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1189</v>
      </c>
    </row>
    <row r="91" spans="1:5" x14ac:dyDescent="0.25">
      <c r="A91" s="2" t="s">
        <v>381</v>
      </c>
    </row>
    <row r="92" spans="1:5" x14ac:dyDescent="0.25">
      <c r="A92" s="32" t="s">
        <v>1190</v>
      </c>
    </row>
    <row r="93" spans="1:5" x14ac:dyDescent="0.25">
      <c r="A93" s="32" t="s">
        <v>1191</v>
      </c>
    </row>
    <row r="94" spans="1:5" x14ac:dyDescent="0.25">
      <c r="A94" s="32" t="s">
        <v>1192</v>
      </c>
    </row>
    <row r="95" spans="1:5" x14ac:dyDescent="0.25">
      <c r="A95" s="32" t="s">
        <v>1193</v>
      </c>
    </row>
    <row r="96" spans="1:5" x14ac:dyDescent="0.25">
      <c r="A96" s="2" t="s">
        <v>1194</v>
      </c>
    </row>
    <row r="98" spans="1:3" ht="30" x14ac:dyDescent="0.25">
      <c r="B98" s="15" t="s">
        <v>1195</v>
      </c>
    </row>
    <row r="99" spans="1:3" x14ac:dyDescent="0.25">
      <c r="A99" s="4" t="s">
        <v>1195</v>
      </c>
      <c r="B99" s="37">
        <f>Revenue!C77/SUM($B$56:$B$88,$C$56:$C$88,$D$56:$D$88)</f>
        <v>1.3195379706717341</v>
      </c>
      <c r="C99" s="17"/>
    </row>
    <row r="101" spans="1:3" ht="21" customHeight="1" x14ac:dyDescent="0.3">
      <c r="A101" s="1" t="s">
        <v>1196</v>
      </c>
    </row>
    <row r="102" spans="1:3" x14ac:dyDescent="0.25">
      <c r="A102" s="2" t="s">
        <v>381</v>
      </c>
    </row>
    <row r="103" spans="1:3" x14ac:dyDescent="0.25">
      <c r="A103" s="32" t="s">
        <v>1197</v>
      </c>
    </row>
    <row r="104" spans="1:3" x14ac:dyDescent="0.25">
      <c r="A104" s="32" t="s">
        <v>1198</v>
      </c>
    </row>
    <row r="105" spans="1:3" x14ac:dyDescent="0.25">
      <c r="A105" s="32" t="s">
        <v>1199</v>
      </c>
    </row>
    <row r="106" spans="1:3" x14ac:dyDescent="0.25">
      <c r="A106" s="32" t="s">
        <v>1200</v>
      </c>
    </row>
    <row r="107" spans="1:3" x14ac:dyDescent="0.25">
      <c r="A107" s="2" t="s">
        <v>1201</v>
      </c>
    </row>
    <row r="109" spans="1:3" x14ac:dyDescent="0.25">
      <c r="B109" s="15" t="s">
        <v>1202</v>
      </c>
    </row>
    <row r="110" spans="1:3" x14ac:dyDescent="0.25">
      <c r="A110" s="4" t="s">
        <v>1202</v>
      </c>
      <c r="B110" s="37">
        <f>MIN(B99,$B$12:$B$44,$C$12:$C$44,$D$12:$D$44)</f>
        <v>-33.655655456115277</v>
      </c>
      <c r="C110" s="17"/>
    </row>
    <row r="112" spans="1:3" ht="21" customHeight="1" x14ac:dyDescent="0.3">
      <c r="A112" s="1" t="s">
        <v>1203</v>
      </c>
    </row>
    <row r="113" spans="1:1" x14ac:dyDescent="0.25">
      <c r="A113" s="2" t="s">
        <v>381</v>
      </c>
    </row>
    <row r="114" spans="1:1" x14ac:dyDescent="0.25">
      <c r="A114" s="32" t="s">
        <v>1204</v>
      </c>
    </row>
    <row r="115" spans="1:1" x14ac:dyDescent="0.25">
      <c r="A115" s="32" t="s">
        <v>1198</v>
      </c>
    </row>
    <row r="116" spans="1:1" x14ac:dyDescent="0.25">
      <c r="A116" s="32" t="s">
        <v>1199</v>
      </c>
    </row>
    <row r="117" spans="1:1" x14ac:dyDescent="0.25">
      <c r="A117" s="32" t="s">
        <v>1200</v>
      </c>
    </row>
    <row r="118" spans="1:1" x14ac:dyDescent="0.25">
      <c r="A118" s="32" t="s">
        <v>1205</v>
      </c>
    </row>
    <row r="119" spans="1:1" x14ac:dyDescent="0.25">
      <c r="A119" s="32" t="s">
        <v>1206</v>
      </c>
    </row>
    <row r="120" spans="1:1" x14ac:dyDescent="0.25">
      <c r="A120" s="32" t="s">
        <v>1207</v>
      </c>
    </row>
    <row r="121" spans="1:1" x14ac:dyDescent="0.25">
      <c r="A121" s="32" t="s">
        <v>1208</v>
      </c>
    </row>
    <row r="122" spans="1:1" x14ac:dyDescent="0.25">
      <c r="A122" s="32" t="s">
        <v>1209</v>
      </c>
    </row>
    <row r="123" spans="1:1" x14ac:dyDescent="0.25">
      <c r="A123" s="32" t="s">
        <v>1210</v>
      </c>
    </row>
    <row r="124" spans="1:1" x14ac:dyDescent="0.25">
      <c r="A124" s="32" t="s">
        <v>1211</v>
      </c>
    </row>
    <row r="125" spans="1:1" x14ac:dyDescent="0.25">
      <c r="A125" s="32" t="s">
        <v>1212</v>
      </c>
    </row>
    <row r="126" spans="1:1" x14ac:dyDescent="0.25">
      <c r="A126" s="32" t="s">
        <v>1213</v>
      </c>
    </row>
    <row r="127" spans="1:1" x14ac:dyDescent="0.25">
      <c r="A127" s="32" t="s">
        <v>1214</v>
      </c>
    </row>
    <row r="128" spans="1:1" x14ac:dyDescent="0.25">
      <c r="A128" s="32" t="s">
        <v>1215</v>
      </c>
    </row>
    <row r="129" spans="1:15" x14ac:dyDescent="0.25">
      <c r="A129" s="32" t="s">
        <v>1216</v>
      </c>
    </row>
    <row r="130" spans="1:15" x14ac:dyDescent="0.25">
      <c r="A130" s="32" t="s">
        <v>1217</v>
      </c>
    </row>
    <row r="131" spans="1:15" x14ac:dyDescent="0.25">
      <c r="A131" s="32" t="s">
        <v>1218</v>
      </c>
    </row>
    <row r="132" spans="1:15" x14ac:dyDescent="0.25">
      <c r="A132" s="32" t="s">
        <v>1219</v>
      </c>
    </row>
    <row r="133" spans="1:15" x14ac:dyDescent="0.25">
      <c r="A133" s="32" t="s">
        <v>1220</v>
      </c>
    </row>
    <row r="134" spans="1:15" x14ac:dyDescent="0.25">
      <c r="A134" s="32" t="s">
        <v>1221</v>
      </c>
    </row>
    <row r="135" spans="1:15" x14ac:dyDescent="0.25">
      <c r="A135" s="33" t="s">
        <v>384</v>
      </c>
      <c r="B135" s="33" t="s">
        <v>452</v>
      </c>
      <c r="C135" s="33" t="s">
        <v>452</v>
      </c>
      <c r="D135" s="33" t="s">
        <v>452</v>
      </c>
      <c r="E135" s="33" t="s">
        <v>452</v>
      </c>
      <c r="F135" s="33" t="s">
        <v>452</v>
      </c>
      <c r="G135" s="33" t="s">
        <v>385</v>
      </c>
      <c r="H135" s="33" t="s">
        <v>514</v>
      </c>
      <c r="I135" s="33" t="s">
        <v>452</v>
      </c>
      <c r="J135" s="33" t="s">
        <v>452</v>
      </c>
      <c r="K135" s="33" t="s">
        <v>452</v>
      </c>
      <c r="L135" s="33" t="s">
        <v>452</v>
      </c>
      <c r="M135" s="33" t="s">
        <v>452</v>
      </c>
      <c r="N135" s="33" t="s">
        <v>452</v>
      </c>
    </row>
    <row r="136" spans="1:15" ht="30" x14ac:dyDescent="0.25">
      <c r="A136" s="33" t="s">
        <v>387</v>
      </c>
      <c r="B136" s="33" t="s">
        <v>1222</v>
      </c>
      <c r="C136" s="33" t="s">
        <v>452</v>
      </c>
      <c r="D136" s="33" t="s">
        <v>1223</v>
      </c>
      <c r="E136" s="33" t="s">
        <v>1224</v>
      </c>
      <c r="F136" s="33" t="s">
        <v>1225</v>
      </c>
      <c r="G136" s="33" t="s">
        <v>388</v>
      </c>
      <c r="H136" s="33" t="s">
        <v>1226</v>
      </c>
      <c r="I136" s="33" t="s">
        <v>1227</v>
      </c>
      <c r="J136" s="33" t="s">
        <v>1228</v>
      </c>
      <c r="K136" s="33" t="s">
        <v>1229</v>
      </c>
      <c r="L136" s="33" t="s">
        <v>452</v>
      </c>
      <c r="M136" s="33" t="s">
        <v>452</v>
      </c>
      <c r="N136" s="33" t="s">
        <v>452</v>
      </c>
    </row>
    <row r="138" spans="1:15" ht="30" x14ac:dyDescent="0.25">
      <c r="B138" s="15" t="s">
        <v>1230</v>
      </c>
      <c r="C138" s="15" t="s">
        <v>1231</v>
      </c>
      <c r="D138" s="15" t="s">
        <v>1232</v>
      </c>
      <c r="E138" s="15" t="s">
        <v>1233</v>
      </c>
      <c r="F138" s="15" t="s">
        <v>1234</v>
      </c>
      <c r="G138" s="15" t="s">
        <v>1235</v>
      </c>
      <c r="H138" s="15" t="s">
        <v>1236</v>
      </c>
      <c r="I138" s="15" t="s">
        <v>1237</v>
      </c>
      <c r="J138" s="15" t="s">
        <v>1238</v>
      </c>
      <c r="K138" s="15" t="s">
        <v>1239</v>
      </c>
      <c r="L138" s="15" t="s">
        <v>1240</v>
      </c>
      <c r="M138" s="15" t="s">
        <v>10</v>
      </c>
      <c r="N138" s="15" t="s">
        <v>1241</v>
      </c>
    </row>
    <row r="139" spans="1:15" x14ac:dyDescent="0.25">
      <c r="A139" s="4" t="s">
        <v>1202</v>
      </c>
      <c r="B139" s="37">
        <f>B110</f>
        <v>-33.655655456115277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-33.655655456115277</v>
      </c>
      <c r="L139" s="37">
        <f>SUM(D$140:D$238)</f>
        <v>0</v>
      </c>
      <c r="M139" s="37">
        <f>SUM($E$140:$E$238)-Revenue!$C$77</f>
        <v>-293305118.57316703</v>
      </c>
      <c r="N139" s="37" t="str">
        <f>IF(M$139&gt;0,K139,IF(M$238&gt;0,"",$B$99))</f>
        <v/>
      </c>
      <c r="O139" s="17"/>
    </row>
    <row r="140" spans="1:15" x14ac:dyDescent="0.25">
      <c r="A140" s="4" t="s">
        <v>1242</v>
      </c>
      <c r="B140" s="37">
        <f t="shared" ref="B140:B172" si="1">B12</f>
        <v>-1.4309919980185637</v>
      </c>
      <c r="C140" s="37">
        <f t="shared" ref="C140:C172" si="2">B56</f>
        <v>43635521.514066204</v>
      </c>
      <c r="D140" s="37">
        <f t="shared" ref="D140:D171" si="3">IF(ISERROR(B140),C140,0)</f>
        <v>0</v>
      </c>
      <c r="E140" s="37">
        <f t="shared" ref="E140:E171" si="4">MAX($B$110,B140)*C140</f>
        <v>-62442082.115995616</v>
      </c>
      <c r="F140" s="42">
        <f t="shared" ref="F140:F171" si="5">RANK(B140,B$140:B$238,1)</f>
        <v>13</v>
      </c>
      <c r="G140" s="36">
        <v>1</v>
      </c>
      <c r="H140" s="42">
        <f t="shared" si="0"/>
        <v>1288</v>
      </c>
      <c r="I140" s="42">
        <f t="shared" ref="I140:I171" si="6">RANK(H140,H$140:H$238,1)</f>
        <v>13</v>
      </c>
      <c r="J140" s="42">
        <f t="shared" ref="J140:J171" si="7">MATCH(G140,I$140:I$238,0)</f>
        <v>19</v>
      </c>
      <c r="K140" s="37">
        <f t="shared" ref="K140:K171" si="8">INDEX(B$140:B$238,J140,1)</f>
        <v>-33.655655456115277</v>
      </c>
      <c r="L140" s="37">
        <f t="shared" ref="L140:L171" si="9">L139+INDEX(C$140:C$238,J140,1)</f>
        <v>40262.189243263871</v>
      </c>
      <c r="M140" s="37">
        <f t="shared" ref="M140:M171" si="10">M139+(K140-K139)*L139</f>
        <v>-293305118.57316703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1243</v>
      </c>
      <c r="B141" s="37">
        <f t="shared" si="1"/>
        <v>-1.6942553299250624</v>
      </c>
      <c r="C141" s="37">
        <f t="shared" si="2"/>
        <v>6336611.2788438993</v>
      </c>
      <c r="D141" s="37">
        <f t="shared" si="3"/>
        <v>0</v>
      </c>
      <c r="E141" s="37">
        <f t="shared" si="4"/>
        <v>-10735837.432844542</v>
      </c>
      <c r="F141" s="42">
        <f t="shared" si="5"/>
        <v>10</v>
      </c>
      <c r="G141" s="36">
        <v>2</v>
      </c>
      <c r="H141" s="42">
        <f t="shared" si="0"/>
        <v>992</v>
      </c>
      <c r="I141" s="42">
        <f t="shared" si="6"/>
        <v>10</v>
      </c>
      <c r="J141" s="42">
        <f t="shared" si="7"/>
        <v>11</v>
      </c>
      <c r="K141" s="37">
        <f t="shared" si="8"/>
        <v>-13.621389212973769</v>
      </c>
      <c r="L141" s="37">
        <f t="shared" si="9"/>
        <v>292261.91872160241</v>
      </c>
      <c r="M141" s="37">
        <f t="shared" si="10"/>
        <v>-292498495.15433574</v>
      </c>
      <c r="N141" s="37" t="str">
        <f t="shared" si="11"/>
        <v/>
      </c>
      <c r="O141" s="17"/>
    </row>
    <row r="142" spans="1:15" x14ac:dyDescent="0.25">
      <c r="A142" s="4" t="s">
        <v>1244</v>
      </c>
      <c r="B142" s="37">
        <f t="shared" si="1"/>
        <v>-0.10617125547232918</v>
      </c>
      <c r="C142" s="37">
        <f t="shared" si="2"/>
        <v>495849.4862639457</v>
      </c>
      <c r="D142" s="37">
        <f t="shared" si="3"/>
        <v>0</v>
      </c>
      <c r="E142" s="37">
        <f t="shared" si="4"/>
        <v>-52644.962481952556</v>
      </c>
      <c r="F142" s="42">
        <f t="shared" si="5"/>
        <v>25</v>
      </c>
      <c r="G142" s="36">
        <v>3</v>
      </c>
      <c r="H142" s="42">
        <f t="shared" si="0"/>
        <v>2478</v>
      </c>
      <c r="I142" s="42">
        <f t="shared" si="6"/>
        <v>25</v>
      </c>
      <c r="J142" s="42">
        <f t="shared" si="7"/>
        <v>10</v>
      </c>
      <c r="K142" s="37">
        <f t="shared" si="8"/>
        <v>-13.105842562639054</v>
      </c>
      <c r="L142" s="37">
        <f t="shared" si="9"/>
        <v>292441.06372747949</v>
      </c>
      <c r="M142" s="37">
        <f t="shared" si="10"/>
        <v>-292347820.50111842</v>
      </c>
      <c r="N142" s="37" t="str">
        <f t="shared" si="11"/>
        <v/>
      </c>
      <c r="O142" s="17"/>
    </row>
    <row r="143" spans="1:15" x14ac:dyDescent="0.25">
      <c r="A143" s="4" t="s">
        <v>1245</v>
      </c>
      <c r="B143" s="37">
        <f t="shared" si="1"/>
        <v>-1.2107222848803643</v>
      </c>
      <c r="C143" s="37">
        <f t="shared" si="2"/>
        <v>11936524.726898838</v>
      </c>
      <c r="D143" s="37">
        <f t="shared" si="3"/>
        <v>0</v>
      </c>
      <c r="E143" s="37">
        <f t="shared" si="4"/>
        <v>-14451816.490881927</v>
      </c>
      <c r="F143" s="42">
        <f t="shared" si="5"/>
        <v>16</v>
      </c>
      <c r="G143" s="36">
        <v>4</v>
      </c>
      <c r="H143" s="42">
        <f t="shared" si="0"/>
        <v>1588</v>
      </c>
      <c r="I143" s="42">
        <f t="shared" si="6"/>
        <v>16</v>
      </c>
      <c r="J143" s="42">
        <f t="shared" si="7"/>
        <v>12</v>
      </c>
      <c r="K143" s="37">
        <f t="shared" si="8"/>
        <v>-9.1263806277448598</v>
      </c>
      <c r="L143" s="37">
        <f t="shared" si="9"/>
        <v>1193757.7322715812</v>
      </c>
      <c r="M143" s="37">
        <f t="shared" si="10"/>
        <v>-291184062.41981494</v>
      </c>
      <c r="N143" s="37" t="str">
        <f t="shared" si="11"/>
        <v/>
      </c>
      <c r="O143" s="17"/>
    </row>
    <row r="144" spans="1:15" x14ac:dyDescent="0.25">
      <c r="A144" s="4" t="s">
        <v>1246</v>
      </c>
      <c r="B144" s="37">
        <f t="shared" si="1"/>
        <v>-1.3822579226570144</v>
      </c>
      <c r="C144" s="37">
        <f t="shared" si="2"/>
        <v>4092364.5013398882</v>
      </c>
      <c r="D144" s="37">
        <f t="shared" si="3"/>
        <v>0</v>
      </c>
      <c r="E144" s="37">
        <f t="shared" si="4"/>
        <v>-5656703.2543773828</v>
      </c>
      <c r="F144" s="42">
        <f t="shared" si="5"/>
        <v>14</v>
      </c>
      <c r="G144" s="36">
        <v>5</v>
      </c>
      <c r="H144" s="42">
        <f t="shared" si="0"/>
        <v>1391</v>
      </c>
      <c r="I144" s="42">
        <f t="shared" si="6"/>
        <v>14</v>
      </c>
      <c r="J144" s="42">
        <f t="shared" si="7"/>
        <v>13</v>
      </c>
      <c r="K144" s="37">
        <f t="shared" si="8"/>
        <v>-7.1292269462375923</v>
      </c>
      <c r="L144" s="37">
        <f t="shared" si="9"/>
        <v>1686115.5076207668</v>
      </c>
      <c r="M144" s="37">
        <f t="shared" si="10"/>
        <v>-288799944.76998097</v>
      </c>
      <c r="N144" s="37" t="str">
        <f t="shared" si="11"/>
        <v/>
      </c>
      <c r="O144" s="17"/>
    </row>
    <row r="145" spans="1:15" x14ac:dyDescent="0.25">
      <c r="A145" s="4" t="s">
        <v>1247</v>
      </c>
      <c r="B145" s="37">
        <f t="shared" si="1"/>
        <v>-0.11456677745486524</v>
      </c>
      <c r="C145" s="37">
        <f t="shared" si="2"/>
        <v>186962.70931315649</v>
      </c>
      <c r="D145" s="37">
        <f t="shared" si="3"/>
        <v>0</v>
      </c>
      <c r="E145" s="37">
        <f t="shared" si="4"/>
        <v>-21419.71511023906</v>
      </c>
      <c r="F145" s="42">
        <f t="shared" si="5"/>
        <v>24</v>
      </c>
      <c r="G145" s="36">
        <v>6</v>
      </c>
      <c r="H145" s="42">
        <f t="shared" si="0"/>
        <v>2382</v>
      </c>
      <c r="I145" s="42">
        <f t="shared" si="6"/>
        <v>24</v>
      </c>
      <c r="J145" s="42">
        <f t="shared" si="7"/>
        <v>14</v>
      </c>
      <c r="K145" s="37">
        <f t="shared" si="8"/>
        <v>-5.4060644487076752</v>
      </c>
      <c r="L145" s="37">
        <f t="shared" si="9"/>
        <v>3278982.1410163566</v>
      </c>
      <c r="M145" s="37">
        <f t="shared" si="10"/>
        <v>-285894493.76074523</v>
      </c>
      <c r="N145" s="37" t="str">
        <f t="shared" si="11"/>
        <v/>
      </c>
      <c r="O145" s="17"/>
    </row>
    <row r="146" spans="1:15" x14ac:dyDescent="0.25">
      <c r="A146" s="4" t="s">
        <v>1248</v>
      </c>
      <c r="B146" s="37">
        <f t="shared" si="1"/>
        <v>-1.2455296964096854</v>
      </c>
      <c r="C146" s="37">
        <f t="shared" si="2"/>
        <v>610169.00719428621</v>
      </c>
      <c r="D146" s="37">
        <f t="shared" si="3"/>
        <v>0</v>
      </c>
      <c r="E146" s="37">
        <f t="shared" si="4"/>
        <v>-759983.61828929838</v>
      </c>
      <c r="F146" s="42">
        <f t="shared" si="5"/>
        <v>15</v>
      </c>
      <c r="G146" s="36">
        <v>7</v>
      </c>
      <c r="H146" s="42">
        <f t="shared" si="0"/>
        <v>1492</v>
      </c>
      <c r="I146" s="42">
        <f t="shared" si="6"/>
        <v>15</v>
      </c>
      <c r="J146" s="42">
        <f t="shared" si="7"/>
        <v>17</v>
      </c>
      <c r="K146" s="37">
        <f t="shared" si="8"/>
        <v>-3.0757483885658816</v>
      </c>
      <c r="L146" s="37">
        <f t="shared" si="9"/>
        <v>3284935.3127382621</v>
      </c>
      <c r="M146" s="37">
        <f t="shared" si="10"/>
        <v>-278253429.0166167</v>
      </c>
      <c r="N146" s="37" t="str">
        <f t="shared" si="11"/>
        <v/>
      </c>
      <c r="O146" s="17"/>
    </row>
    <row r="147" spans="1:15" x14ac:dyDescent="0.25">
      <c r="A147" s="4" t="s">
        <v>1249</v>
      </c>
      <c r="B147" s="37">
        <f t="shared" si="1"/>
        <v>-1.0946341684843488</v>
      </c>
      <c r="C147" s="37">
        <f t="shared" si="2"/>
        <v>110114.90224251203</v>
      </c>
      <c r="D147" s="37">
        <f t="shared" si="3"/>
        <v>0</v>
      </c>
      <c r="E147" s="37">
        <f t="shared" si="4"/>
        <v>-120535.53445396751</v>
      </c>
      <c r="F147" s="42">
        <f t="shared" si="5"/>
        <v>17</v>
      </c>
      <c r="G147" s="36">
        <v>8</v>
      </c>
      <c r="H147" s="42">
        <f t="shared" si="0"/>
        <v>1691</v>
      </c>
      <c r="I147" s="42">
        <f t="shared" si="6"/>
        <v>17</v>
      </c>
      <c r="J147" s="42">
        <f t="shared" si="7"/>
        <v>16</v>
      </c>
      <c r="K147" s="37">
        <f t="shared" si="8"/>
        <v>-2.1687345607802904</v>
      </c>
      <c r="L147" s="37">
        <f t="shared" si="9"/>
        <v>3337107.6523466134</v>
      </c>
      <c r="M147" s="37">
        <f t="shared" si="10"/>
        <v>-275273947.26458192</v>
      </c>
      <c r="N147" s="37" t="str">
        <f t="shared" si="11"/>
        <v/>
      </c>
      <c r="O147" s="17"/>
    </row>
    <row r="148" spans="1:15" x14ac:dyDescent="0.25">
      <c r="A148" s="4" t="s">
        <v>1250</v>
      </c>
      <c r="B148" s="37">
        <f t="shared" si="1"/>
        <v>-0.70830655095615302</v>
      </c>
      <c r="C148" s="37">
        <f t="shared" si="2"/>
        <v>4751.455588168843</v>
      </c>
      <c r="D148" s="37">
        <f t="shared" si="3"/>
        <v>0</v>
      </c>
      <c r="E148" s="37">
        <f t="shared" si="4"/>
        <v>-3365.4871196772124</v>
      </c>
      <c r="F148" s="42">
        <f t="shared" si="5"/>
        <v>19</v>
      </c>
      <c r="G148" s="36">
        <v>9</v>
      </c>
      <c r="H148" s="42">
        <f t="shared" si="0"/>
        <v>1890</v>
      </c>
      <c r="I148" s="42">
        <f t="shared" si="6"/>
        <v>19</v>
      </c>
      <c r="J148" s="42">
        <f t="shared" si="7"/>
        <v>15</v>
      </c>
      <c r="K148" s="37">
        <f t="shared" si="8"/>
        <v>-1.8302129027147358</v>
      </c>
      <c r="L148" s="37">
        <f t="shared" si="9"/>
        <v>3378589.8379230038</v>
      </c>
      <c r="M148" s="37">
        <f t="shared" si="10"/>
        <v>-274144264.04896629</v>
      </c>
      <c r="N148" s="37" t="str">
        <f t="shared" si="11"/>
        <v/>
      </c>
      <c r="O148" s="17"/>
    </row>
    <row r="149" spans="1:15" x14ac:dyDescent="0.25">
      <c r="A149" s="4" t="s">
        <v>1251</v>
      </c>
      <c r="B149" s="37">
        <f t="shared" si="1"/>
        <v>-13.105842562639054</v>
      </c>
      <c r="C149" s="37">
        <f t="shared" si="2"/>
        <v>179.1450058770493</v>
      </c>
      <c r="D149" s="37">
        <f t="shared" si="3"/>
        <v>0</v>
      </c>
      <c r="E149" s="37">
        <f t="shared" si="4"/>
        <v>-2347.8462429076562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2</v>
      </c>
      <c r="K149" s="37">
        <f t="shared" si="8"/>
        <v>-1.6942553299250624</v>
      </c>
      <c r="L149" s="37">
        <f t="shared" si="9"/>
        <v>9715201.1167669035</v>
      </c>
      <c r="M149" s="37">
        <f t="shared" si="10"/>
        <v>-273684919.17515039</v>
      </c>
      <c r="N149" s="37" t="str">
        <f t="shared" si="11"/>
        <v/>
      </c>
      <c r="O149" s="17"/>
    </row>
    <row r="150" spans="1:15" x14ac:dyDescent="0.25">
      <c r="A150" s="4" t="s">
        <v>1252</v>
      </c>
      <c r="B150" s="37">
        <f t="shared" si="1"/>
        <v>-13.621389212973769</v>
      </c>
      <c r="C150" s="37">
        <f t="shared" si="2"/>
        <v>251999.72947833853</v>
      </c>
      <c r="D150" s="37">
        <f t="shared" si="3"/>
        <v>0</v>
      </c>
      <c r="E150" s="37">
        <f t="shared" si="4"/>
        <v>-3432586.3967885482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52</v>
      </c>
      <c r="K150" s="37">
        <f t="shared" si="8"/>
        <v>-1.6012597931287127</v>
      </c>
      <c r="L150" s="37">
        <f t="shared" si="9"/>
        <v>10019842.932346754</v>
      </c>
      <c r="M150" s="37">
        <f t="shared" si="10"/>
        <v>-272781448.83221215</v>
      </c>
      <c r="N150" s="37" t="str">
        <f t="shared" si="11"/>
        <v/>
      </c>
      <c r="O150" s="17"/>
    </row>
    <row r="151" spans="1:15" x14ac:dyDescent="0.25">
      <c r="A151" s="4" t="s">
        <v>1253</v>
      </c>
      <c r="B151" s="37">
        <f t="shared" si="1"/>
        <v>-9.1263806277448598</v>
      </c>
      <c r="C151" s="37">
        <f t="shared" si="2"/>
        <v>901316.66854410176</v>
      </c>
      <c r="D151" s="37">
        <f t="shared" si="3"/>
        <v>0</v>
      </c>
      <c r="E151" s="37">
        <f t="shared" si="4"/>
        <v>-8225758.9832644248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18</v>
      </c>
      <c r="K151" s="37">
        <f t="shared" si="8"/>
        <v>-1.5031565532497604</v>
      </c>
      <c r="L151" s="37">
        <f t="shared" si="9"/>
        <v>10019842.932346754</v>
      </c>
      <c r="M151" s="37">
        <f t="shared" si="10"/>
        <v>-271798469.77747071</v>
      </c>
      <c r="N151" s="37" t="str">
        <f t="shared" si="11"/>
        <v/>
      </c>
      <c r="O151" s="17"/>
    </row>
    <row r="152" spans="1:15" x14ac:dyDescent="0.25">
      <c r="A152" s="4" t="s">
        <v>1254</v>
      </c>
      <c r="B152" s="37">
        <f t="shared" si="1"/>
        <v>-7.1292269462375923</v>
      </c>
      <c r="C152" s="37">
        <f t="shared" si="2"/>
        <v>492357.77534918569</v>
      </c>
      <c r="D152" s="37">
        <f t="shared" si="3"/>
        <v>0</v>
      </c>
      <c r="E152" s="37">
        <f t="shared" si="4"/>
        <v>-3510130.3192090094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1</v>
      </c>
      <c r="K152" s="37">
        <f t="shared" si="8"/>
        <v>-1.4309919980185637</v>
      </c>
      <c r="L152" s="37">
        <f t="shared" si="9"/>
        <v>53655364.446412958</v>
      </c>
      <c r="M152" s="37">
        <f t="shared" si="10"/>
        <v>-271075392.26877147</v>
      </c>
      <c r="N152" s="37" t="str">
        <f t="shared" si="11"/>
        <v/>
      </c>
      <c r="O152" s="17"/>
    </row>
    <row r="153" spans="1:15" x14ac:dyDescent="0.25">
      <c r="A153" s="4" t="s">
        <v>1255</v>
      </c>
      <c r="B153" s="37">
        <f t="shared" si="1"/>
        <v>-5.4060644487076752</v>
      </c>
      <c r="C153" s="37">
        <f t="shared" si="2"/>
        <v>1592866.6333955897</v>
      </c>
      <c r="D153" s="37">
        <f t="shared" si="3"/>
        <v>0</v>
      </c>
      <c r="E153" s="37">
        <f t="shared" si="4"/>
        <v>-8611139.6783325784</v>
      </c>
      <c r="F153" s="42">
        <f t="shared" si="5"/>
        <v>6</v>
      </c>
      <c r="G153" s="36">
        <v>14</v>
      </c>
      <c r="H153" s="42">
        <f t="shared" si="0"/>
        <v>608</v>
      </c>
      <c r="I153" s="42">
        <f t="shared" si="6"/>
        <v>6</v>
      </c>
      <c r="J153" s="42">
        <f t="shared" si="7"/>
        <v>5</v>
      </c>
      <c r="K153" s="37">
        <f t="shared" si="8"/>
        <v>-1.3822579226570144</v>
      </c>
      <c r="L153" s="37">
        <f t="shared" si="9"/>
        <v>57747728.947752848</v>
      </c>
      <c r="M153" s="37">
        <f t="shared" si="10"/>
        <v>-268460547.69428861</v>
      </c>
      <c r="N153" s="37" t="str">
        <f t="shared" si="11"/>
        <v/>
      </c>
      <c r="O153" s="17"/>
    </row>
    <row r="154" spans="1:15" x14ac:dyDescent="0.25">
      <c r="A154" s="4" t="s">
        <v>1256</v>
      </c>
      <c r="B154" s="37">
        <f t="shared" si="1"/>
        <v>-1.8302129027147358</v>
      </c>
      <c r="C154" s="37">
        <f t="shared" si="2"/>
        <v>41482.185576390511</v>
      </c>
      <c r="D154" s="37">
        <f t="shared" si="3"/>
        <v>0</v>
      </c>
      <c r="E154" s="37">
        <f t="shared" si="4"/>
        <v>-75921.231274717022</v>
      </c>
      <c r="F154" s="42">
        <f t="shared" si="5"/>
        <v>9</v>
      </c>
      <c r="G154" s="36">
        <v>15</v>
      </c>
      <c r="H154" s="42">
        <f t="shared" si="0"/>
        <v>906</v>
      </c>
      <c r="I154" s="42">
        <f t="shared" si="6"/>
        <v>9</v>
      </c>
      <c r="J154" s="42">
        <f t="shared" si="7"/>
        <v>7</v>
      </c>
      <c r="K154" s="37">
        <f t="shared" si="8"/>
        <v>-1.2455296964096854</v>
      </c>
      <c r="L154" s="37">
        <f t="shared" si="9"/>
        <v>58357897.954947136</v>
      </c>
      <c r="M154" s="37">
        <f t="shared" si="10"/>
        <v>-260564803.14545083</v>
      </c>
      <c r="N154" s="37" t="str">
        <f t="shared" si="11"/>
        <v/>
      </c>
      <c r="O154" s="17"/>
    </row>
    <row r="155" spans="1:15" x14ac:dyDescent="0.25">
      <c r="A155" s="4" t="s">
        <v>1257</v>
      </c>
      <c r="B155" s="37">
        <f t="shared" si="1"/>
        <v>-2.1687345607802904</v>
      </c>
      <c r="C155" s="37">
        <f t="shared" si="2"/>
        <v>52172.339608351118</v>
      </c>
      <c r="D155" s="37">
        <f t="shared" si="3"/>
        <v>0</v>
      </c>
      <c r="E155" s="37">
        <f t="shared" si="4"/>
        <v>-113147.95602539751</v>
      </c>
      <c r="F155" s="42">
        <f t="shared" si="5"/>
        <v>8</v>
      </c>
      <c r="G155" s="36">
        <v>16</v>
      </c>
      <c r="H155" s="42">
        <f t="shared" si="0"/>
        <v>808</v>
      </c>
      <c r="I155" s="42">
        <f t="shared" si="6"/>
        <v>8</v>
      </c>
      <c r="J155" s="42">
        <f t="shared" si="7"/>
        <v>4</v>
      </c>
      <c r="K155" s="37">
        <f t="shared" si="8"/>
        <v>-1.2107222848803643</v>
      </c>
      <c r="L155" s="37">
        <f t="shared" si="9"/>
        <v>70294422.681845978</v>
      </c>
      <c r="M155" s="37">
        <f t="shared" si="10"/>
        <v>-258533515.77534685</v>
      </c>
      <c r="N155" s="37" t="str">
        <f t="shared" si="11"/>
        <v/>
      </c>
      <c r="O155" s="17"/>
    </row>
    <row r="156" spans="1:15" x14ac:dyDescent="0.25">
      <c r="A156" s="4" t="s">
        <v>1258</v>
      </c>
      <c r="B156" s="37">
        <f t="shared" si="1"/>
        <v>-3.0757483885658816</v>
      </c>
      <c r="C156" s="37">
        <f t="shared" si="2"/>
        <v>5953.1717219053098</v>
      </c>
      <c r="D156" s="37">
        <f t="shared" si="3"/>
        <v>0</v>
      </c>
      <c r="E156" s="37">
        <f t="shared" si="4"/>
        <v>-18310.45833050623</v>
      </c>
      <c r="F156" s="42">
        <f t="shared" si="5"/>
        <v>7</v>
      </c>
      <c r="G156" s="36">
        <v>17</v>
      </c>
      <c r="H156" s="42">
        <f t="shared" si="0"/>
        <v>710</v>
      </c>
      <c r="I156" s="42">
        <f t="shared" si="6"/>
        <v>7</v>
      </c>
      <c r="J156" s="42">
        <f t="shared" si="7"/>
        <v>8</v>
      </c>
      <c r="K156" s="37">
        <f t="shared" si="8"/>
        <v>-1.0946341684843488</v>
      </c>
      <c r="L156" s="37">
        <f t="shared" si="9"/>
        <v>70404537.584088489</v>
      </c>
      <c r="M156" s="37">
        <f t="shared" si="10"/>
        <v>-250373168.65306601</v>
      </c>
      <c r="N156" s="37" t="str">
        <f t="shared" si="11"/>
        <v/>
      </c>
      <c r="O156" s="17"/>
    </row>
    <row r="157" spans="1:15" x14ac:dyDescent="0.25">
      <c r="A157" s="4" t="s">
        <v>1259</v>
      </c>
      <c r="B157" s="37">
        <f t="shared" si="1"/>
        <v>-1.5031565532497604</v>
      </c>
      <c r="C157" s="37">
        <f t="shared" si="2"/>
        <v>0</v>
      </c>
      <c r="D157" s="37">
        <f t="shared" si="3"/>
        <v>0</v>
      </c>
      <c r="E157" s="37">
        <f t="shared" si="4"/>
        <v>0</v>
      </c>
      <c r="F157" s="42">
        <f t="shared" si="5"/>
        <v>12</v>
      </c>
      <c r="G157" s="36">
        <v>18</v>
      </c>
      <c r="H157" s="42">
        <f t="shared" si="0"/>
        <v>1206</v>
      </c>
      <c r="I157" s="42">
        <f t="shared" si="6"/>
        <v>12</v>
      </c>
      <c r="J157" s="42">
        <f t="shared" si="7"/>
        <v>85</v>
      </c>
      <c r="K157" s="37">
        <f t="shared" si="8"/>
        <v>-1.0085502725371125</v>
      </c>
      <c r="L157" s="37">
        <f t="shared" si="9"/>
        <v>71278671.288489342</v>
      </c>
      <c r="M157" s="37">
        <f t="shared" si="10"/>
        <v>-244312471.76546404</v>
      </c>
      <c r="N157" s="37" t="str">
        <f t="shared" si="11"/>
        <v/>
      </c>
      <c r="O157" s="17"/>
    </row>
    <row r="158" spans="1:15" x14ac:dyDescent="0.25">
      <c r="A158" s="4" t="s">
        <v>1260</v>
      </c>
      <c r="B158" s="37">
        <f t="shared" si="1"/>
        <v>-33.655655456115277</v>
      </c>
      <c r="C158" s="37">
        <f t="shared" si="2"/>
        <v>40262.189243263871</v>
      </c>
      <c r="D158" s="37">
        <f t="shared" si="3"/>
        <v>0</v>
      </c>
      <c r="E158" s="37">
        <f t="shared" si="4"/>
        <v>-1355050.3690801994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9</v>
      </c>
      <c r="K158" s="37">
        <f t="shared" si="8"/>
        <v>-0.70830655095615302</v>
      </c>
      <c r="L158" s="37">
        <f t="shared" si="9"/>
        <v>71283422.744077504</v>
      </c>
      <c r="M158" s="37">
        <f t="shared" si="10"/>
        <v>-222911498.2284621</v>
      </c>
      <c r="N158" s="37" t="str">
        <f t="shared" si="11"/>
        <v/>
      </c>
      <c r="O158" s="17"/>
    </row>
    <row r="159" spans="1:15" x14ac:dyDescent="0.25">
      <c r="A159" s="4" t="s">
        <v>1261</v>
      </c>
      <c r="B159" s="37">
        <f t="shared" si="1"/>
        <v>0.69266901304071482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44</v>
      </c>
      <c r="K159" s="37">
        <f t="shared" si="8"/>
        <v>-0.5053723963680905</v>
      </c>
      <c r="L159" s="37">
        <f t="shared" si="9"/>
        <v>73099404.246790305</v>
      </c>
      <c r="M159" s="37">
        <f t="shared" si="10"/>
        <v>-208445657.09774926</v>
      </c>
      <c r="N159" s="37" t="str">
        <f t="shared" si="11"/>
        <v/>
      </c>
      <c r="O159" s="17"/>
    </row>
    <row r="160" spans="1:15" x14ac:dyDescent="0.25">
      <c r="A160" s="4" t="s">
        <v>1262</v>
      </c>
      <c r="B160" s="37">
        <f t="shared" si="1"/>
        <v>0.62484849627321171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43</v>
      </c>
      <c r="K160" s="37">
        <f t="shared" si="8"/>
        <v>-0.48605716214827277</v>
      </c>
      <c r="L160" s="37">
        <f t="shared" si="9"/>
        <v>73100893.308405459</v>
      </c>
      <c r="M160" s="37">
        <f t="shared" si="10"/>
        <v>-207033724.98339337</v>
      </c>
      <c r="N160" s="37" t="str">
        <f t="shared" si="11"/>
        <v/>
      </c>
      <c r="O160" s="17"/>
    </row>
    <row r="161" spans="1:15" x14ac:dyDescent="0.25">
      <c r="A161" s="4" t="s">
        <v>1263</v>
      </c>
      <c r="B161" s="37">
        <f t="shared" si="1"/>
        <v>0.69266901304071482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45</v>
      </c>
      <c r="K161" s="37">
        <f t="shared" si="8"/>
        <v>-0.2991123192279414</v>
      </c>
      <c r="L161" s="37">
        <f t="shared" si="9"/>
        <v>79563979.947526753</v>
      </c>
      <c r="M161" s="37">
        <f t="shared" si="10"/>
        <v>-193367889.9665176</v>
      </c>
      <c r="N161" s="37" t="str">
        <f t="shared" si="11"/>
        <v/>
      </c>
      <c r="O161" s="17"/>
    </row>
    <row r="162" spans="1:15" x14ac:dyDescent="0.25">
      <c r="A162" s="4" t="s">
        <v>1264</v>
      </c>
      <c r="B162" s="37">
        <f t="shared" si="1"/>
        <v>0.69266901304071482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46</v>
      </c>
      <c r="K162" s="37">
        <f t="shared" si="8"/>
        <v>-0.17183551511759462</v>
      </c>
      <c r="L162" s="37">
        <f t="shared" si="9"/>
        <v>83192611.794038013</v>
      </c>
      <c r="M162" s="37">
        <f t="shared" si="10"/>
        <v>-183241240.87649667</v>
      </c>
      <c r="N162" s="37" t="str">
        <f t="shared" si="11"/>
        <v/>
      </c>
      <c r="O162" s="17"/>
    </row>
    <row r="163" spans="1:15" x14ac:dyDescent="0.25">
      <c r="A163" s="4" t="s">
        <v>1265</v>
      </c>
      <c r="B163" s="37">
        <f t="shared" si="1"/>
        <v>8.8444935589657767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6</v>
      </c>
      <c r="K163" s="37">
        <f t="shared" si="8"/>
        <v>-0.11456677745486524</v>
      </c>
      <c r="L163" s="37">
        <f t="shared" si="9"/>
        <v>83379574.503351167</v>
      </c>
      <c r="M163" s="37">
        <f t="shared" si="10"/>
        <v>-178476905.01618662</v>
      </c>
      <c r="N163" s="37" t="str">
        <f t="shared" si="11"/>
        <v/>
      </c>
      <c r="O163" s="17"/>
    </row>
    <row r="164" spans="1:15" x14ac:dyDescent="0.25">
      <c r="A164" s="4" t="s">
        <v>1266</v>
      </c>
      <c r="B164" s="37">
        <f t="shared" si="1"/>
        <v>8.8444935589657767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</v>
      </c>
      <c r="K164" s="37">
        <f t="shared" si="8"/>
        <v>-0.10617125547232918</v>
      </c>
      <c r="L164" s="37">
        <f t="shared" si="9"/>
        <v>83875423.989615113</v>
      </c>
      <c r="M164" s="37">
        <f t="shared" si="10"/>
        <v>-177776889.96554923</v>
      </c>
      <c r="N164" s="37" t="str">
        <f t="shared" si="11"/>
        <v/>
      </c>
      <c r="O164" s="17"/>
    </row>
    <row r="165" spans="1:15" x14ac:dyDescent="0.25">
      <c r="A165" s="4" t="s">
        <v>1267</v>
      </c>
      <c r="B165" s="37">
        <f t="shared" si="1"/>
        <v>0.62484849627321171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38</v>
      </c>
      <c r="K165" s="37">
        <f t="shared" si="8"/>
        <v>-0.10571557552376173</v>
      </c>
      <c r="L165" s="37">
        <f t="shared" si="9"/>
        <v>85585146.527588934</v>
      </c>
      <c r="M165" s="37">
        <f t="shared" si="10"/>
        <v>-177738669.61665958</v>
      </c>
      <c r="N165" s="37" t="str">
        <f t="shared" si="11"/>
        <v/>
      </c>
      <c r="O165" s="17"/>
    </row>
    <row r="166" spans="1:15" x14ac:dyDescent="0.25">
      <c r="A166" s="4" t="s">
        <v>1268</v>
      </c>
      <c r="B166" s="37">
        <f t="shared" si="1"/>
        <v>0.62484849627321171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35</v>
      </c>
      <c r="K166" s="37">
        <f t="shared" si="8"/>
        <v>-0.1050312419239664</v>
      </c>
      <c r="L166" s="37">
        <f t="shared" si="9"/>
        <v>91679215.52648145</v>
      </c>
      <c r="M166" s="37">
        <f t="shared" si="10"/>
        <v>-177680100.82524735</v>
      </c>
      <c r="N166" s="37" t="str">
        <f t="shared" si="11"/>
        <v/>
      </c>
      <c r="O166" s="17"/>
    </row>
    <row r="167" spans="1:15" x14ac:dyDescent="0.25">
      <c r="A167" s="4" t="s">
        <v>1269</v>
      </c>
      <c r="B167" s="37">
        <f t="shared" si="1"/>
        <v>8.1080851983105955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77</v>
      </c>
      <c r="K167" s="37">
        <f t="shared" si="8"/>
        <v>-0.10135746199352096</v>
      </c>
      <c r="L167" s="37">
        <f t="shared" si="9"/>
        <v>93304226.074395955</v>
      </c>
      <c r="M167" s="37">
        <f t="shared" si="10"/>
        <v>-177343291.56320718</v>
      </c>
      <c r="N167" s="37" t="str">
        <f t="shared" si="11"/>
        <v/>
      </c>
      <c r="O167" s="17"/>
    </row>
    <row r="168" spans="1:15" x14ac:dyDescent="0.25">
      <c r="A168" s="4" t="s">
        <v>1270</v>
      </c>
      <c r="B168" s="37">
        <f t="shared" si="1"/>
        <v>8.1080851983105955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76</v>
      </c>
      <c r="K168" s="37">
        <f t="shared" si="8"/>
        <v>-9.7492359927975544E-2</v>
      </c>
      <c r="L168" s="37">
        <f t="shared" si="9"/>
        <v>93305547.572443306</v>
      </c>
      <c r="M168" s="37">
        <f t="shared" si="10"/>
        <v>-176982661.20628291</v>
      </c>
      <c r="N168" s="37" t="str">
        <f t="shared" si="11"/>
        <v/>
      </c>
      <c r="O168" s="17"/>
    </row>
    <row r="169" spans="1:15" x14ac:dyDescent="0.25">
      <c r="A169" s="4" t="s">
        <v>1271</v>
      </c>
      <c r="B169" s="37">
        <f t="shared" si="1"/>
        <v>0.39399511232474649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86</v>
      </c>
      <c r="G169" s="36">
        <v>30</v>
      </c>
      <c r="H169" s="42">
        <f t="shared" si="0"/>
        <v>8544</v>
      </c>
      <c r="I169" s="42">
        <f t="shared" si="6"/>
        <v>86</v>
      </c>
      <c r="J169" s="42">
        <f t="shared" si="7"/>
        <v>47</v>
      </c>
      <c r="K169" s="37">
        <f t="shared" si="8"/>
        <v>-8.7514552933247308E-2</v>
      </c>
      <c r="L169" s="37">
        <f t="shared" si="9"/>
        <v>104513212.44659811</v>
      </c>
      <c r="M169" s="37">
        <f t="shared" si="10"/>
        <v>-176051676.46106765</v>
      </c>
      <c r="N169" s="37" t="str">
        <f t="shared" si="11"/>
        <v/>
      </c>
      <c r="O169" s="17"/>
    </row>
    <row r="170" spans="1:15" x14ac:dyDescent="0.25">
      <c r="A170" s="4" t="s">
        <v>1272</v>
      </c>
      <c r="B170" s="37">
        <f t="shared" si="1"/>
        <v>0.39399511232474649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86</v>
      </c>
      <c r="G170" s="36">
        <v>31</v>
      </c>
      <c r="H170" s="42">
        <f t="shared" si="0"/>
        <v>8545</v>
      </c>
      <c r="I170" s="42">
        <f t="shared" si="6"/>
        <v>87</v>
      </c>
      <c r="J170" s="42">
        <f t="shared" si="7"/>
        <v>40</v>
      </c>
      <c r="K170" s="37">
        <f t="shared" si="8"/>
        <v>-8.5620656579073084E-2</v>
      </c>
      <c r="L170" s="37">
        <f t="shared" si="9"/>
        <v>104666845.43577576</v>
      </c>
      <c r="M170" s="37">
        <f t="shared" si="10"/>
        <v>-175853739.269052</v>
      </c>
      <c r="N170" s="37" t="str">
        <f t="shared" si="11"/>
        <v/>
      </c>
      <c r="O170" s="17"/>
    </row>
    <row r="171" spans="1:15" x14ac:dyDescent="0.25">
      <c r="A171" s="4" t="s">
        <v>1273</v>
      </c>
      <c r="B171" s="37">
        <f t="shared" si="1"/>
        <v>5.5853081652771719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41</v>
      </c>
      <c r="K171" s="37">
        <f t="shared" si="8"/>
        <v>-7.2860699652135416E-2</v>
      </c>
      <c r="L171" s="37">
        <f t="shared" si="9"/>
        <v>104695618.80480599</v>
      </c>
      <c r="M171" s="37">
        <f t="shared" si="10"/>
        <v>-174518194.82961306</v>
      </c>
      <c r="N171" s="37" t="str">
        <f t="shared" si="11"/>
        <v/>
      </c>
      <c r="O171" s="17"/>
    </row>
    <row r="172" spans="1:15" x14ac:dyDescent="0.25">
      <c r="A172" s="4" t="s">
        <v>1274</v>
      </c>
      <c r="B172" s="37">
        <f t="shared" si="1"/>
        <v>5.5853081652771719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-6.1940828135790486E-2</v>
      </c>
      <c r="L172" s="37">
        <f t="shared" ref="L172:L203" si="19">L171+INDEX(C$140:C$238,J172,1)</f>
        <v>110186499.46056074</v>
      </c>
      <c r="M172" s="37">
        <f t="shared" ref="M172:M203" si="20">M171+(K172-K171)*L171</f>
        <v>-173374932.12394035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1275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-3.9041565276612705E-2</v>
      </c>
      <c r="L173" s="37">
        <f t="shared" si="19"/>
        <v>113502658.80310945</v>
      </c>
      <c r="M173" s="37">
        <f t="shared" si="20"/>
        <v>-170851742.50926033</v>
      </c>
      <c r="N173" s="37" t="str">
        <f t="shared" si="21"/>
        <v/>
      </c>
      <c r="O173" s="17"/>
    </row>
    <row r="174" spans="1:15" x14ac:dyDescent="0.25">
      <c r="A174" s="4" t="s">
        <v>1276</v>
      </c>
      <c r="B174" s="37">
        <f t="shared" si="22"/>
        <v>-0.1050312419239664</v>
      </c>
      <c r="C174" s="37">
        <f t="shared" si="23"/>
        <v>6094068.998892514</v>
      </c>
      <c r="D174" s="37">
        <f t="shared" si="13"/>
        <v>0</v>
      </c>
      <c r="E174" s="37">
        <f t="shared" si="14"/>
        <v>-640067.63532402343</v>
      </c>
      <c r="F174" s="42">
        <f t="shared" si="15"/>
        <v>27</v>
      </c>
      <c r="G174" s="36">
        <v>35</v>
      </c>
      <c r="H174" s="42">
        <f t="shared" si="12"/>
        <v>2708</v>
      </c>
      <c r="I174" s="42">
        <f t="shared" si="16"/>
        <v>27</v>
      </c>
      <c r="J174" s="42">
        <f t="shared" si="17"/>
        <v>42</v>
      </c>
      <c r="K174" s="37">
        <f t="shared" si="18"/>
        <v>-3.288877895423014E-2</v>
      </c>
      <c r="L174" s="37">
        <f t="shared" si="19"/>
        <v>113504510.77145718</v>
      </c>
      <c r="M174" s="37">
        <f t="shared" si="20"/>
        <v>-170153384.90262249</v>
      </c>
      <c r="N174" s="37" t="str">
        <f t="shared" si="21"/>
        <v/>
      </c>
      <c r="O174" s="17"/>
    </row>
    <row r="175" spans="1:15" x14ac:dyDescent="0.25">
      <c r="A175" s="4" t="s">
        <v>1277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-2.306159513215407E-2</v>
      </c>
      <c r="L175" s="37">
        <f t="shared" si="19"/>
        <v>125903478.23434928</v>
      </c>
      <c r="M175" s="37">
        <f t="shared" si="20"/>
        <v>-169037955.21063656</v>
      </c>
      <c r="N175" s="37" t="str">
        <f t="shared" si="21"/>
        <v/>
      </c>
      <c r="O175" s="17"/>
    </row>
    <row r="176" spans="1:15" x14ac:dyDescent="0.25">
      <c r="A176" s="4" t="s">
        <v>1278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125903478.23434928</v>
      </c>
      <c r="M176" s="37">
        <f t="shared" si="20"/>
        <v>-166134420.16986603</v>
      </c>
      <c r="N176" s="37" t="str">
        <f t="shared" si="21"/>
        <v/>
      </c>
      <c r="O176" s="17"/>
    </row>
    <row r="177" spans="1:15" x14ac:dyDescent="0.25">
      <c r="A177" s="4" t="s">
        <v>1279</v>
      </c>
      <c r="B177" s="37">
        <f t="shared" si="22"/>
        <v>-0.10571557552376173</v>
      </c>
      <c r="C177" s="37">
        <f t="shared" si="23"/>
        <v>1709722.5379738221</v>
      </c>
      <c r="D177" s="37">
        <f t="shared" si="13"/>
        <v>0</v>
      </c>
      <c r="E177" s="37">
        <f t="shared" si="14"/>
        <v>-180744.30208784918</v>
      </c>
      <c r="F177" s="42">
        <f t="shared" si="15"/>
        <v>26</v>
      </c>
      <c r="G177" s="36">
        <v>38</v>
      </c>
      <c r="H177" s="42">
        <f t="shared" si="12"/>
        <v>2612</v>
      </c>
      <c r="I177" s="42">
        <f t="shared" si="16"/>
        <v>26</v>
      </c>
      <c r="J177" s="42">
        <f t="shared" si="17"/>
        <v>36</v>
      </c>
      <c r="K177" s="37">
        <f t="shared" si="18"/>
        <v>0</v>
      </c>
      <c r="L177" s="37">
        <f t="shared" si="19"/>
        <v>125903478.23434928</v>
      </c>
      <c r="M177" s="37">
        <f t="shared" si="20"/>
        <v>-166134420.16986603</v>
      </c>
      <c r="N177" s="37" t="str">
        <f t="shared" si="21"/>
        <v/>
      </c>
      <c r="O177" s="17"/>
    </row>
    <row r="178" spans="1:15" x14ac:dyDescent="0.25">
      <c r="A178" s="4" t="s">
        <v>1280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125903478.23434928</v>
      </c>
      <c r="M178" s="37">
        <f t="shared" si="20"/>
        <v>-166134420.16986603</v>
      </c>
      <c r="N178" s="37" t="str">
        <f t="shared" si="21"/>
        <v/>
      </c>
      <c r="O178" s="17"/>
    </row>
    <row r="179" spans="1:15" x14ac:dyDescent="0.25">
      <c r="A179" s="4" t="s">
        <v>1281</v>
      </c>
      <c r="B179" s="37">
        <f t="shared" si="22"/>
        <v>-8.5620656579073084E-2</v>
      </c>
      <c r="C179" s="37">
        <f t="shared" si="23"/>
        <v>153632.9891776398</v>
      </c>
      <c r="D179" s="37">
        <f t="shared" si="13"/>
        <v>0</v>
      </c>
      <c r="E179" s="37">
        <f t="shared" si="14"/>
        <v>-13154.15740559515</v>
      </c>
      <c r="F179" s="42">
        <f t="shared" si="15"/>
        <v>31</v>
      </c>
      <c r="G179" s="36">
        <v>40</v>
      </c>
      <c r="H179" s="42">
        <f t="shared" si="12"/>
        <v>3109</v>
      </c>
      <c r="I179" s="42">
        <f t="shared" si="16"/>
        <v>31</v>
      </c>
      <c r="J179" s="42">
        <f t="shared" si="17"/>
        <v>39</v>
      </c>
      <c r="K179" s="37">
        <f t="shared" si="18"/>
        <v>0</v>
      </c>
      <c r="L179" s="37">
        <f t="shared" si="19"/>
        <v>125903478.23434928</v>
      </c>
      <c r="M179" s="37">
        <f t="shared" si="20"/>
        <v>-166134420.16986603</v>
      </c>
      <c r="N179" s="37" t="str">
        <f t="shared" si="21"/>
        <v/>
      </c>
      <c r="O179" s="17"/>
    </row>
    <row r="180" spans="1:15" x14ac:dyDescent="0.25">
      <c r="A180" s="4" t="s">
        <v>1282</v>
      </c>
      <c r="B180" s="37">
        <f t="shared" si="22"/>
        <v>-7.2860699652135416E-2</v>
      </c>
      <c r="C180" s="37">
        <f t="shared" si="23"/>
        <v>28773.369030231497</v>
      </c>
      <c r="D180" s="37">
        <f t="shared" si="13"/>
        <v>0</v>
      </c>
      <c r="E180" s="37">
        <f t="shared" si="14"/>
        <v>-2096.447798891752</v>
      </c>
      <c r="F180" s="42">
        <f t="shared" si="15"/>
        <v>32</v>
      </c>
      <c r="G180" s="36">
        <v>41</v>
      </c>
      <c r="H180" s="42">
        <f t="shared" si="12"/>
        <v>3209</v>
      </c>
      <c r="I180" s="42">
        <f t="shared" si="16"/>
        <v>32</v>
      </c>
      <c r="J180" s="42">
        <f t="shared" si="17"/>
        <v>48</v>
      </c>
      <c r="K180" s="37">
        <f t="shared" si="18"/>
        <v>0</v>
      </c>
      <c r="L180" s="37">
        <f t="shared" si="19"/>
        <v>125903478.23434928</v>
      </c>
      <c r="M180" s="37">
        <f t="shared" si="20"/>
        <v>-166134420.16986603</v>
      </c>
      <c r="N180" s="37" t="str">
        <f t="shared" si="21"/>
        <v/>
      </c>
      <c r="O180" s="17"/>
    </row>
    <row r="181" spans="1:15" x14ac:dyDescent="0.25">
      <c r="A181" s="4" t="s">
        <v>1283</v>
      </c>
      <c r="B181" s="37">
        <f t="shared" si="22"/>
        <v>-3.288877895423014E-2</v>
      </c>
      <c r="C181" s="37">
        <f t="shared" si="23"/>
        <v>1851.9683477307067</v>
      </c>
      <c r="D181" s="37">
        <f t="shared" si="13"/>
        <v>0</v>
      </c>
      <c r="E181" s="37">
        <f t="shared" si="14"/>
        <v>-60.908977618746029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125903478.23434928</v>
      </c>
      <c r="M181" s="37">
        <f t="shared" si="20"/>
        <v>-166134420.16986603</v>
      </c>
      <c r="N181" s="37" t="str">
        <f t="shared" si="21"/>
        <v/>
      </c>
      <c r="O181" s="17"/>
    </row>
    <row r="182" spans="1:15" x14ac:dyDescent="0.25">
      <c r="A182" s="4" t="s">
        <v>1284</v>
      </c>
      <c r="B182" s="37">
        <f t="shared" si="22"/>
        <v>-0.48605716214827277</v>
      </c>
      <c r="C182" s="37">
        <f t="shared" si="23"/>
        <v>1489.0616151495542</v>
      </c>
      <c r="D182" s="37">
        <f t="shared" si="13"/>
        <v>0</v>
      </c>
      <c r="E182" s="37">
        <f t="shared" si="14"/>
        <v>-723.76906292351578</v>
      </c>
      <c r="F182" s="42">
        <f t="shared" si="15"/>
        <v>21</v>
      </c>
      <c r="G182" s="36">
        <v>43</v>
      </c>
      <c r="H182" s="42">
        <f t="shared" si="12"/>
        <v>2122</v>
      </c>
      <c r="I182" s="42">
        <f t="shared" si="16"/>
        <v>21</v>
      </c>
      <c r="J182" s="42">
        <f t="shared" si="17"/>
        <v>50</v>
      </c>
      <c r="K182" s="37">
        <f t="shared" si="18"/>
        <v>0</v>
      </c>
      <c r="L182" s="37">
        <f t="shared" si="19"/>
        <v>125903478.23434928</v>
      </c>
      <c r="M182" s="37">
        <f t="shared" si="20"/>
        <v>-166134420.16986603</v>
      </c>
      <c r="N182" s="37" t="str">
        <f t="shared" si="21"/>
        <v/>
      </c>
      <c r="O182" s="17"/>
    </row>
    <row r="183" spans="1:15" x14ac:dyDescent="0.25">
      <c r="A183" s="4" t="s">
        <v>1285</v>
      </c>
      <c r="B183" s="37">
        <f t="shared" si="22"/>
        <v>-0.5053723963680905</v>
      </c>
      <c r="C183" s="37">
        <f t="shared" si="23"/>
        <v>1815981.5027127946</v>
      </c>
      <c r="D183" s="37">
        <f t="shared" si="13"/>
        <v>0</v>
      </c>
      <c r="E183" s="37">
        <f t="shared" si="14"/>
        <v>-917746.92378609104</v>
      </c>
      <c r="F183" s="42">
        <f t="shared" si="15"/>
        <v>20</v>
      </c>
      <c r="G183" s="36">
        <v>44</v>
      </c>
      <c r="H183" s="42">
        <f t="shared" si="12"/>
        <v>2024</v>
      </c>
      <c r="I183" s="42">
        <f t="shared" si="16"/>
        <v>20</v>
      </c>
      <c r="J183" s="42">
        <f t="shared" si="17"/>
        <v>51</v>
      </c>
      <c r="K183" s="37">
        <f t="shared" si="18"/>
        <v>0</v>
      </c>
      <c r="L183" s="37">
        <f t="shared" si="19"/>
        <v>125903478.23434928</v>
      </c>
      <c r="M183" s="37">
        <f t="shared" si="20"/>
        <v>-166134420.16986603</v>
      </c>
      <c r="N183" s="37" t="str">
        <f t="shared" si="21"/>
        <v/>
      </c>
      <c r="O183" s="17"/>
    </row>
    <row r="184" spans="1:15" x14ac:dyDescent="0.25">
      <c r="A184" s="4" t="s">
        <v>1286</v>
      </c>
      <c r="B184" s="37">
        <f t="shared" si="22"/>
        <v>-0.2991123192279414</v>
      </c>
      <c r="C184" s="37">
        <f t="shared" si="23"/>
        <v>6463086.6391212977</v>
      </c>
      <c r="D184" s="37">
        <f t="shared" si="13"/>
        <v>0</v>
      </c>
      <c r="E184" s="37">
        <f t="shared" si="14"/>
        <v>-1933188.8339986925</v>
      </c>
      <c r="F184" s="42">
        <f t="shared" si="15"/>
        <v>22</v>
      </c>
      <c r="G184" s="36">
        <v>45</v>
      </c>
      <c r="H184" s="42">
        <f t="shared" si="12"/>
        <v>2223</v>
      </c>
      <c r="I184" s="42">
        <f t="shared" si="16"/>
        <v>22</v>
      </c>
      <c r="J184" s="42">
        <f t="shared" si="17"/>
        <v>53</v>
      </c>
      <c r="K184" s="37">
        <f t="shared" si="18"/>
        <v>0</v>
      </c>
      <c r="L184" s="37">
        <f t="shared" si="19"/>
        <v>125903478.23434928</v>
      </c>
      <c r="M184" s="37">
        <f t="shared" si="20"/>
        <v>-166134420.16986603</v>
      </c>
      <c r="N184" s="37" t="str">
        <f t="shared" si="21"/>
        <v/>
      </c>
      <c r="O184" s="17"/>
    </row>
    <row r="185" spans="1:15" x14ac:dyDescent="0.25">
      <c r="A185" s="4" t="s">
        <v>1287</v>
      </c>
      <c r="B185" s="37">
        <f t="shared" si="22"/>
        <v>-0.17183551511759462</v>
      </c>
      <c r="C185" s="37">
        <f t="shared" si="23"/>
        <v>3628631.846511255</v>
      </c>
      <c r="D185" s="37">
        <f t="shared" si="13"/>
        <v>0</v>
      </c>
      <c r="E185" s="37">
        <f t="shared" si="14"/>
        <v>-623527.82251737011</v>
      </c>
      <c r="F185" s="42">
        <f t="shared" si="15"/>
        <v>23</v>
      </c>
      <c r="G185" s="36">
        <v>46</v>
      </c>
      <c r="H185" s="42">
        <f t="shared" si="12"/>
        <v>2323</v>
      </c>
      <c r="I185" s="42">
        <f t="shared" si="16"/>
        <v>23</v>
      </c>
      <c r="J185" s="42">
        <f t="shared" si="17"/>
        <v>54</v>
      </c>
      <c r="K185" s="37">
        <f t="shared" si="18"/>
        <v>0</v>
      </c>
      <c r="L185" s="37">
        <f t="shared" si="19"/>
        <v>125903478.23434928</v>
      </c>
      <c r="M185" s="37">
        <f t="shared" si="20"/>
        <v>-166134420.16986603</v>
      </c>
      <c r="N185" s="37" t="str">
        <f t="shared" si="21"/>
        <v/>
      </c>
      <c r="O185" s="17"/>
    </row>
    <row r="186" spans="1:15" x14ac:dyDescent="0.25">
      <c r="A186" s="4" t="s">
        <v>1288</v>
      </c>
      <c r="B186" s="37">
        <f t="shared" si="22"/>
        <v>-8.7514552933247308E-2</v>
      </c>
      <c r="C186" s="37">
        <f t="shared" si="23"/>
        <v>11207664.874154799</v>
      </c>
      <c r="D186" s="37">
        <f t="shared" si="13"/>
        <v>0</v>
      </c>
      <c r="E186" s="37">
        <f t="shared" si="14"/>
        <v>-980833.78088731668</v>
      </c>
      <c r="F186" s="42">
        <f t="shared" si="15"/>
        <v>30</v>
      </c>
      <c r="G186" s="36">
        <v>47</v>
      </c>
      <c r="H186" s="42">
        <f t="shared" si="12"/>
        <v>3017</v>
      </c>
      <c r="I186" s="42">
        <f t="shared" si="16"/>
        <v>30</v>
      </c>
      <c r="J186" s="42">
        <f t="shared" si="17"/>
        <v>55</v>
      </c>
      <c r="K186" s="37">
        <f t="shared" si="18"/>
        <v>0</v>
      </c>
      <c r="L186" s="37">
        <f t="shared" si="19"/>
        <v>125903478.23434928</v>
      </c>
      <c r="M186" s="37">
        <f t="shared" si="20"/>
        <v>-166134420.16986603</v>
      </c>
      <c r="N186" s="37" t="str">
        <f t="shared" si="21"/>
        <v/>
      </c>
      <c r="O186" s="17"/>
    </row>
    <row r="187" spans="1:15" x14ac:dyDescent="0.25">
      <c r="A187" s="4" t="s">
        <v>1289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125903478.23434928</v>
      </c>
      <c r="M187" s="37">
        <f t="shared" si="20"/>
        <v>-166134420.16986603</v>
      </c>
      <c r="N187" s="37" t="str">
        <f t="shared" si="21"/>
        <v/>
      </c>
      <c r="O187" s="17"/>
    </row>
    <row r="188" spans="1:15" x14ac:dyDescent="0.25">
      <c r="A188" s="4" t="s">
        <v>1290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125903478.23434928</v>
      </c>
      <c r="M188" s="37">
        <f t="shared" si="20"/>
        <v>-166134420.16986603</v>
      </c>
      <c r="N188" s="37" t="str">
        <f t="shared" si="21"/>
        <v/>
      </c>
      <c r="O188" s="17"/>
    </row>
    <row r="189" spans="1:15" x14ac:dyDescent="0.25">
      <c r="A189" s="4" t="s">
        <v>1291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125903478.23434928</v>
      </c>
      <c r="M189" s="37">
        <f t="shared" si="20"/>
        <v>-166134420.16986603</v>
      </c>
      <c r="N189" s="37" t="str">
        <f t="shared" si="21"/>
        <v/>
      </c>
      <c r="O189" s="17"/>
    </row>
    <row r="190" spans="1:15" x14ac:dyDescent="0.25">
      <c r="A190" s="4" t="s">
        <v>1292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125903478.23434928</v>
      </c>
      <c r="M190" s="37">
        <f t="shared" si="20"/>
        <v>-166134420.16986603</v>
      </c>
      <c r="N190" s="37" t="str">
        <f t="shared" si="21"/>
        <v/>
      </c>
      <c r="O190" s="17"/>
    </row>
    <row r="191" spans="1:15" x14ac:dyDescent="0.25">
      <c r="A191" s="4" t="s">
        <v>1293</v>
      </c>
      <c r="B191" s="37">
        <f t="shared" si="22"/>
        <v>-1.6012597931287127</v>
      </c>
      <c r="C191" s="37">
        <f t="shared" si="23"/>
        <v>304641.81557984976</v>
      </c>
      <c r="D191" s="37">
        <f t="shared" si="13"/>
        <v>0</v>
      </c>
      <c r="E191" s="37">
        <f t="shared" si="14"/>
        <v>-487810.69059374568</v>
      </c>
      <c r="F191" s="42">
        <f t="shared" si="15"/>
        <v>11</v>
      </c>
      <c r="G191" s="36">
        <v>52</v>
      </c>
      <c r="H191" s="42">
        <f t="shared" si="12"/>
        <v>1141</v>
      </c>
      <c r="I191" s="42">
        <f t="shared" si="16"/>
        <v>11</v>
      </c>
      <c r="J191" s="42">
        <f t="shared" si="17"/>
        <v>64</v>
      </c>
      <c r="K191" s="37">
        <f t="shared" si="18"/>
        <v>0</v>
      </c>
      <c r="L191" s="37">
        <f t="shared" si="19"/>
        <v>125903478.23434928</v>
      </c>
      <c r="M191" s="37">
        <f t="shared" si="20"/>
        <v>-166134420.16986603</v>
      </c>
      <c r="N191" s="37" t="str">
        <f t="shared" si="21"/>
        <v/>
      </c>
      <c r="O191" s="17"/>
    </row>
    <row r="192" spans="1:15" x14ac:dyDescent="0.25">
      <c r="A192" s="4" t="s">
        <v>1294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125903478.23434928</v>
      </c>
      <c r="M192" s="37">
        <f t="shared" si="20"/>
        <v>-166134420.16986603</v>
      </c>
      <c r="N192" s="37" t="str">
        <f t="shared" si="21"/>
        <v/>
      </c>
      <c r="O192" s="17"/>
    </row>
    <row r="193" spans="1:15" x14ac:dyDescent="0.25">
      <c r="A193" s="4" t="s">
        <v>1295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125903478.23434928</v>
      </c>
      <c r="M193" s="37">
        <f t="shared" si="20"/>
        <v>-166134420.16986603</v>
      </c>
      <c r="N193" s="37" t="str">
        <f t="shared" si="21"/>
        <v/>
      </c>
      <c r="O193" s="17"/>
    </row>
    <row r="194" spans="1:15" x14ac:dyDescent="0.25">
      <c r="A194" s="4" t="s">
        <v>1296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125903478.23434928</v>
      </c>
      <c r="M194" s="37">
        <f t="shared" si="20"/>
        <v>-166134420.16986603</v>
      </c>
      <c r="N194" s="37" t="str">
        <f t="shared" si="21"/>
        <v/>
      </c>
      <c r="O194" s="17"/>
    </row>
    <row r="195" spans="1:15" x14ac:dyDescent="0.25">
      <c r="A195" s="4" t="s">
        <v>1297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125903478.23434928</v>
      </c>
      <c r="M195" s="37">
        <f t="shared" si="20"/>
        <v>-166134420.16986603</v>
      </c>
      <c r="N195" s="37" t="str">
        <f t="shared" si="21"/>
        <v/>
      </c>
      <c r="O195" s="17"/>
    </row>
    <row r="196" spans="1:15" x14ac:dyDescent="0.25">
      <c r="A196" s="4" t="s">
        <v>1298</v>
      </c>
      <c r="B196" s="37">
        <f t="shared" si="22"/>
        <v>0.32806306183569284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84</v>
      </c>
      <c r="G196" s="36">
        <v>57</v>
      </c>
      <c r="H196" s="42">
        <f t="shared" si="12"/>
        <v>8373</v>
      </c>
      <c r="I196" s="42">
        <f t="shared" si="16"/>
        <v>84</v>
      </c>
      <c r="J196" s="42">
        <f t="shared" si="17"/>
        <v>71</v>
      </c>
      <c r="K196" s="37">
        <f t="shared" si="18"/>
        <v>0</v>
      </c>
      <c r="L196" s="37">
        <f t="shared" si="19"/>
        <v>125903478.23434928</v>
      </c>
      <c r="M196" s="37">
        <f t="shared" si="20"/>
        <v>-166134420.16986603</v>
      </c>
      <c r="N196" s="37" t="str">
        <f t="shared" si="21"/>
        <v/>
      </c>
      <c r="O196" s="17"/>
    </row>
    <row r="197" spans="1:15" x14ac:dyDescent="0.25">
      <c r="A197" s="4" t="s">
        <v>1299</v>
      </c>
      <c r="B197" s="37">
        <f t="shared" si="22"/>
        <v>0.32806306183569284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84</v>
      </c>
      <c r="G197" s="36">
        <v>58</v>
      </c>
      <c r="H197" s="42">
        <f t="shared" si="12"/>
        <v>8374</v>
      </c>
      <c r="I197" s="42">
        <f t="shared" si="16"/>
        <v>85</v>
      </c>
      <c r="J197" s="42">
        <f t="shared" si="17"/>
        <v>72</v>
      </c>
      <c r="K197" s="37">
        <f t="shared" si="18"/>
        <v>0</v>
      </c>
      <c r="L197" s="37">
        <f t="shared" si="19"/>
        <v>125903478.23434928</v>
      </c>
      <c r="M197" s="37">
        <f t="shared" si="20"/>
        <v>-166134420.16986603</v>
      </c>
      <c r="N197" s="37" t="str">
        <f t="shared" si="21"/>
        <v/>
      </c>
      <c r="O197" s="17"/>
    </row>
    <row r="198" spans="1:15" x14ac:dyDescent="0.25">
      <c r="A198" s="4" t="s">
        <v>1300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125903478.23434928</v>
      </c>
      <c r="M198" s="37">
        <f t="shared" si="20"/>
        <v>-166134420.16986603</v>
      </c>
      <c r="N198" s="37" t="str">
        <f t="shared" si="21"/>
        <v/>
      </c>
      <c r="O198" s="17"/>
    </row>
    <row r="199" spans="1:15" x14ac:dyDescent="0.25">
      <c r="A199" s="4" t="s">
        <v>1301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125903478.23434928</v>
      </c>
      <c r="M199" s="37">
        <f t="shared" si="20"/>
        <v>-166134420.16986603</v>
      </c>
      <c r="N199" s="37" t="str">
        <f t="shared" si="21"/>
        <v/>
      </c>
      <c r="O199" s="17"/>
    </row>
    <row r="200" spans="1:15" x14ac:dyDescent="0.25">
      <c r="A200" s="4" t="s">
        <v>1302</v>
      </c>
      <c r="B200" s="37">
        <f t="shared" si="22"/>
        <v>0.27943425312006187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82</v>
      </c>
      <c r="G200" s="36">
        <v>61</v>
      </c>
      <c r="H200" s="42">
        <f t="shared" si="12"/>
        <v>8179</v>
      </c>
      <c r="I200" s="42">
        <f t="shared" si="16"/>
        <v>82</v>
      </c>
      <c r="J200" s="42">
        <f t="shared" si="17"/>
        <v>75</v>
      </c>
      <c r="K200" s="37">
        <f t="shared" si="18"/>
        <v>0</v>
      </c>
      <c r="L200" s="37">
        <f t="shared" si="19"/>
        <v>125903478.23434928</v>
      </c>
      <c r="M200" s="37">
        <f t="shared" si="20"/>
        <v>-166134420.16986603</v>
      </c>
      <c r="N200" s="37" t="str">
        <f t="shared" si="21"/>
        <v/>
      </c>
      <c r="O200" s="17"/>
    </row>
    <row r="201" spans="1:15" x14ac:dyDescent="0.25">
      <c r="A201" s="4" t="s">
        <v>1303</v>
      </c>
      <c r="B201" s="37">
        <f t="shared" si="22"/>
        <v>0.27943425312006187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82</v>
      </c>
      <c r="G201" s="36">
        <v>62</v>
      </c>
      <c r="H201" s="42">
        <f t="shared" si="12"/>
        <v>8180</v>
      </c>
      <c r="I201" s="42">
        <f t="shared" si="16"/>
        <v>83</v>
      </c>
      <c r="J201" s="42">
        <f t="shared" si="17"/>
        <v>81</v>
      </c>
      <c r="K201" s="37">
        <f t="shared" si="18"/>
        <v>0</v>
      </c>
      <c r="L201" s="37">
        <f t="shared" si="19"/>
        <v>125903478.23434928</v>
      </c>
      <c r="M201" s="37">
        <f t="shared" si="20"/>
        <v>-166134420.16986603</v>
      </c>
      <c r="N201" s="37" t="str">
        <f t="shared" si="21"/>
        <v/>
      </c>
      <c r="O201" s="17"/>
    </row>
    <row r="202" spans="1:15" x14ac:dyDescent="0.25">
      <c r="A202" s="4" t="s">
        <v>1304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125903478.23434928</v>
      </c>
      <c r="M202" s="37">
        <f t="shared" si="20"/>
        <v>-166134420.16986603</v>
      </c>
      <c r="N202" s="37" t="str">
        <f t="shared" si="21"/>
        <v/>
      </c>
      <c r="O202" s="17"/>
    </row>
    <row r="203" spans="1:15" x14ac:dyDescent="0.25">
      <c r="A203" s="4" t="s">
        <v>1305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125903478.23434928</v>
      </c>
      <c r="M203" s="37">
        <f t="shared" si="20"/>
        <v>-166134420.16986603</v>
      </c>
      <c r="N203" s="37" t="str">
        <f t="shared" si="21"/>
        <v/>
      </c>
      <c r="O203" s="17"/>
    </row>
    <row r="204" spans="1:15" x14ac:dyDescent="0.25">
      <c r="A204" s="4" t="s">
        <v>1306</v>
      </c>
      <c r="B204" s="37">
        <f t="shared" si="22"/>
        <v>0.11604429413731568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125903478.23434928</v>
      </c>
      <c r="M204" s="37">
        <f t="shared" ref="M204:M238" si="32">M203+(K204-K203)*L203</f>
        <v>-166134420.16986603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1307</v>
      </c>
      <c r="B205" s="37">
        <f t="shared" si="22"/>
        <v>0.11604429413731568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125903478.23434928</v>
      </c>
      <c r="M205" s="37">
        <f t="shared" si="32"/>
        <v>-166134420.16986603</v>
      </c>
      <c r="N205" s="37" t="str">
        <f t="shared" si="33"/>
        <v/>
      </c>
      <c r="O205" s="17"/>
    </row>
    <row r="206" spans="1:15" x14ac:dyDescent="0.25">
      <c r="A206" s="4" t="s">
        <v>1308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125903478.23434928</v>
      </c>
      <c r="M206" s="37">
        <f t="shared" si="32"/>
        <v>-166134420.16986603</v>
      </c>
      <c r="N206" s="37" t="str">
        <f t="shared" si="33"/>
        <v/>
      </c>
      <c r="O206" s="17"/>
    </row>
    <row r="207" spans="1:15" x14ac:dyDescent="0.25">
      <c r="A207" s="4" t="s">
        <v>1309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125903478.23434928</v>
      </c>
      <c r="M207" s="37">
        <f t="shared" si="32"/>
        <v>-166134420.16986603</v>
      </c>
      <c r="N207" s="37" t="str">
        <f t="shared" si="33"/>
        <v/>
      </c>
      <c r="O207" s="17"/>
    </row>
    <row r="208" spans="1:15" x14ac:dyDescent="0.25">
      <c r="A208" s="4" t="s">
        <v>1310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125903478.23434928</v>
      </c>
      <c r="M208" s="37">
        <f t="shared" si="32"/>
        <v>-166134420.16986603</v>
      </c>
      <c r="N208" s="37" t="str">
        <f t="shared" si="33"/>
        <v/>
      </c>
      <c r="O208" s="17"/>
    </row>
    <row r="209" spans="1:15" x14ac:dyDescent="0.25">
      <c r="A209" s="4" t="s">
        <v>1311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125903478.23434928</v>
      </c>
      <c r="M209" s="37">
        <f t="shared" si="32"/>
        <v>-166134420.16986603</v>
      </c>
      <c r="N209" s="37" t="str">
        <f t="shared" si="33"/>
        <v/>
      </c>
      <c r="O209" s="17"/>
    </row>
    <row r="210" spans="1:15" x14ac:dyDescent="0.25">
      <c r="A210" s="4" t="s">
        <v>1312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125903478.23434928</v>
      </c>
      <c r="M210" s="37">
        <f t="shared" si="32"/>
        <v>-166134420.16986603</v>
      </c>
      <c r="N210" s="37" t="str">
        <f t="shared" si="33"/>
        <v/>
      </c>
      <c r="O210" s="17"/>
    </row>
    <row r="211" spans="1:15" x14ac:dyDescent="0.25">
      <c r="A211" s="4" t="s">
        <v>1313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125903478.23434928</v>
      </c>
      <c r="M211" s="37">
        <f t="shared" si="32"/>
        <v>-166134420.16986603</v>
      </c>
      <c r="N211" s="37" t="str">
        <f t="shared" si="33"/>
        <v/>
      </c>
      <c r="O211" s="17"/>
    </row>
    <row r="212" spans="1:15" x14ac:dyDescent="0.25">
      <c r="A212" s="4" t="s">
        <v>1314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125903478.23434928</v>
      </c>
      <c r="M212" s="37">
        <f t="shared" si="32"/>
        <v>-166134420.16986603</v>
      </c>
      <c r="N212" s="37" t="str">
        <f t="shared" si="33"/>
        <v/>
      </c>
      <c r="O212" s="17"/>
    </row>
    <row r="213" spans="1:15" x14ac:dyDescent="0.25">
      <c r="A213" s="4" t="s">
        <v>1315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2.7706600232467009E-2</v>
      </c>
      <c r="L213" s="37">
        <f t="shared" si="31"/>
        <v>125903478.23434928</v>
      </c>
      <c r="M213" s="37">
        <f t="shared" si="32"/>
        <v>-162646062.83054981</v>
      </c>
      <c r="N213" s="37" t="str">
        <f t="shared" si="33"/>
        <v/>
      </c>
      <c r="O213" s="17"/>
    </row>
    <row r="214" spans="1:15" x14ac:dyDescent="0.25">
      <c r="A214" s="4" t="s">
        <v>1316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2.7706600232467009E-2</v>
      </c>
      <c r="L214" s="37">
        <f t="shared" si="31"/>
        <v>125903478.23434928</v>
      </c>
      <c r="M214" s="37">
        <f t="shared" si="32"/>
        <v>-162646062.83054981</v>
      </c>
      <c r="N214" s="37" t="str">
        <f t="shared" si="33"/>
        <v/>
      </c>
      <c r="O214" s="17"/>
    </row>
    <row r="215" spans="1:15" x14ac:dyDescent="0.25">
      <c r="A215" s="4" t="s">
        <v>1317</v>
      </c>
      <c r="B215" s="37">
        <f t="shared" si="34"/>
        <v>-9.7492359927975544E-2</v>
      </c>
      <c r="C215" s="37">
        <f t="shared" si="35"/>
        <v>1321.4980473460798</v>
      </c>
      <c r="D215" s="37">
        <f t="shared" si="25"/>
        <v>0</v>
      </c>
      <c r="E215" s="37">
        <f t="shared" si="26"/>
        <v>-128.83596327598087</v>
      </c>
      <c r="F215" s="42">
        <f t="shared" si="27"/>
        <v>29</v>
      </c>
      <c r="G215" s="36">
        <v>76</v>
      </c>
      <c r="H215" s="42">
        <f t="shared" si="24"/>
        <v>2947</v>
      </c>
      <c r="I215" s="42">
        <f t="shared" si="28"/>
        <v>29</v>
      </c>
      <c r="J215" s="42">
        <f t="shared" si="29"/>
        <v>94</v>
      </c>
      <c r="K215" s="37">
        <f t="shared" si="30"/>
        <v>5.7099868560825565E-2</v>
      </c>
      <c r="L215" s="37">
        <f t="shared" si="31"/>
        <v>125903478.23434928</v>
      </c>
      <c r="M215" s="37">
        <f t="shared" si="32"/>
        <v>-158945348.11133394</v>
      </c>
      <c r="N215" s="37" t="str">
        <f t="shared" si="33"/>
        <v/>
      </c>
      <c r="O215" s="17"/>
    </row>
    <row r="216" spans="1:15" x14ac:dyDescent="0.25">
      <c r="A216" s="4" t="s">
        <v>1318</v>
      </c>
      <c r="B216" s="37">
        <f t="shared" si="34"/>
        <v>-0.10135746199352096</v>
      </c>
      <c r="C216" s="37">
        <f t="shared" si="35"/>
        <v>1625010.547914498</v>
      </c>
      <c r="D216" s="37">
        <f t="shared" si="25"/>
        <v>0</v>
      </c>
      <c r="E216" s="37">
        <f t="shared" si="26"/>
        <v>-164706.9448493144</v>
      </c>
      <c r="F216" s="42">
        <f t="shared" si="27"/>
        <v>28</v>
      </c>
      <c r="G216" s="36">
        <v>77</v>
      </c>
      <c r="H216" s="42">
        <f t="shared" si="24"/>
        <v>2849</v>
      </c>
      <c r="I216" s="42">
        <f t="shared" si="28"/>
        <v>28</v>
      </c>
      <c r="J216" s="42">
        <f t="shared" si="29"/>
        <v>95</v>
      </c>
      <c r="K216" s="37">
        <f t="shared" si="30"/>
        <v>5.7099868560825565E-2</v>
      </c>
      <c r="L216" s="37">
        <f t="shared" si="31"/>
        <v>125903478.23434928</v>
      </c>
      <c r="M216" s="37">
        <f t="shared" si="32"/>
        <v>-158945348.11133394</v>
      </c>
      <c r="N216" s="37" t="str">
        <f t="shared" si="33"/>
        <v/>
      </c>
      <c r="O216" s="17"/>
    </row>
    <row r="217" spans="1:15" x14ac:dyDescent="0.25">
      <c r="A217" s="4" t="s">
        <v>1319</v>
      </c>
      <c r="B217" s="37">
        <f t="shared" si="34"/>
        <v>-6.1940828135790486E-2</v>
      </c>
      <c r="C217" s="37">
        <f t="shared" si="35"/>
        <v>5490880.6557547469</v>
      </c>
      <c r="D217" s="37">
        <f t="shared" si="25"/>
        <v>0</v>
      </c>
      <c r="E217" s="37">
        <f t="shared" si="26"/>
        <v>-340109.69501224137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6.5800175675982051E-2</v>
      </c>
      <c r="L217" s="37">
        <f t="shared" si="31"/>
        <v>125903478.23434928</v>
      </c>
      <c r="M217" s="37">
        <f t="shared" si="32"/>
        <v>-157849949.18382868</v>
      </c>
      <c r="N217" s="37" t="str">
        <f t="shared" si="33"/>
        <v/>
      </c>
      <c r="O217" s="17"/>
    </row>
    <row r="218" spans="1:15" x14ac:dyDescent="0.25">
      <c r="A218" s="4" t="s">
        <v>1320</v>
      </c>
      <c r="B218" s="37">
        <f t="shared" si="34"/>
        <v>-3.9041565276612705E-2</v>
      </c>
      <c r="C218" s="37">
        <f t="shared" si="35"/>
        <v>3316159.3425487098</v>
      </c>
      <c r="D218" s="37">
        <f t="shared" si="25"/>
        <v>0</v>
      </c>
      <c r="E218" s="37">
        <f t="shared" si="26"/>
        <v>-129468.05143976453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6.5800175675982051E-2</v>
      </c>
      <c r="L218" s="37">
        <f t="shared" si="31"/>
        <v>125903478.23434928</v>
      </c>
      <c r="M218" s="37">
        <f t="shared" si="32"/>
        <v>-157849949.18382868</v>
      </c>
      <c r="N218" s="37" t="str">
        <f t="shared" si="33"/>
        <v/>
      </c>
      <c r="O218" s="17"/>
    </row>
    <row r="219" spans="1:15" x14ac:dyDescent="0.25">
      <c r="A219" s="4" t="s">
        <v>1321</v>
      </c>
      <c r="B219" s="37">
        <f t="shared" si="34"/>
        <v>-2.306159513215407E-2</v>
      </c>
      <c r="C219" s="37">
        <f t="shared" si="35"/>
        <v>12398967.462892096</v>
      </c>
      <c r="D219" s="37">
        <f t="shared" si="25"/>
        <v>0</v>
      </c>
      <c r="E219" s="37">
        <f t="shared" si="26"/>
        <v>-285939.96768596908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0.11604429413731568</v>
      </c>
      <c r="L219" s="37">
        <f t="shared" si="31"/>
        <v>125903478.23434928</v>
      </c>
      <c r="M219" s="37">
        <f t="shared" si="32"/>
        <v>-151524039.90872809</v>
      </c>
      <c r="N219" s="37" t="str">
        <f t="shared" si="33"/>
        <v/>
      </c>
      <c r="O219" s="17"/>
    </row>
    <row r="220" spans="1:15" x14ac:dyDescent="0.25">
      <c r="A220" s="4" t="s">
        <v>1322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0.11604429413731568</v>
      </c>
      <c r="L220" s="37">
        <f t="shared" si="31"/>
        <v>125903478.23434928</v>
      </c>
      <c r="M220" s="37">
        <f t="shared" si="32"/>
        <v>-151524039.90872809</v>
      </c>
      <c r="N220" s="37" t="str">
        <f t="shared" si="33"/>
        <v/>
      </c>
      <c r="O220" s="17"/>
    </row>
    <row r="221" spans="1:15" x14ac:dyDescent="0.25">
      <c r="A221" s="4" t="s">
        <v>1323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61</v>
      </c>
      <c r="K221" s="37">
        <f t="shared" si="30"/>
        <v>0.27943425312006187</v>
      </c>
      <c r="L221" s="37">
        <f t="shared" si="31"/>
        <v>125903478.23434928</v>
      </c>
      <c r="M221" s="37">
        <f t="shared" si="32"/>
        <v>-130952675.7642327</v>
      </c>
      <c r="N221" s="37" t="str">
        <f t="shared" si="33"/>
        <v/>
      </c>
      <c r="O221" s="17"/>
    </row>
    <row r="222" spans="1:15" x14ac:dyDescent="0.25">
      <c r="A222" s="4" t="s">
        <v>1324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62</v>
      </c>
      <c r="K222" s="37">
        <f t="shared" si="30"/>
        <v>0.27943425312006187</v>
      </c>
      <c r="L222" s="37">
        <f t="shared" si="31"/>
        <v>125903478.23434928</v>
      </c>
      <c r="M222" s="37">
        <f t="shared" si="32"/>
        <v>-130952675.7642327</v>
      </c>
      <c r="N222" s="37" t="str">
        <f t="shared" si="33"/>
        <v/>
      </c>
      <c r="O222" s="17"/>
    </row>
    <row r="223" spans="1:15" x14ac:dyDescent="0.25">
      <c r="A223" s="4" t="s">
        <v>1325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57</v>
      </c>
      <c r="K223" s="37">
        <f t="shared" si="30"/>
        <v>0.32806306183569284</v>
      </c>
      <c r="L223" s="37">
        <f t="shared" si="31"/>
        <v>125903478.23434928</v>
      </c>
      <c r="M223" s="37">
        <f t="shared" si="32"/>
        <v>-124830139.60454191</v>
      </c>
      <c r="N223" s="37" t="str">
        <f t="shared" si="33"/>
        <v/>
      </c>
      <c r="O223" s="17"/>
    </row>
    <row r="224" spans="1:15" x14ac:dyDescent="0.25">
      <c r="A224" s="4" t="s">
        <v>1326</v>
      </c>
      <c r="B224" s="37">
        <f t="shared" si="34"/>
        <v>-1.0085502725371125</v>
      </c>
      <c r="C224" s="37">
        <f t="shared" si="35"/>
        <v>874133.70440085395</v>
      </c>
      <c r="D224" s="37">
        <f t="shared" si="25"/>
        <v>0</v>
      </c>
      <c r="E224" s="37">
        <f t="shared" si="26"/>
        <v>-881607.78580735694</v>
      </c>
      <c r="F224" s="42">
        <f t="shared" si="27"/>
        <v>18</v>
      </c>
      <c r="G224" s="36">
        <v>85</v>
      </c>
      <c r="H224" s="42">
        <f t="shared" si="24"/>
        <v>1867</v>
      </c>
      <c r="I224" s="42">
        <f t="shared" si="28"/>
        <v>18</v>
      </c>
      <c r="J224" s="42">
        <f t="shared" si="29"/>
        <v>58</v>
      </c>
      <c r="K224" s="37">
        <f t="shared" si="30"/>
        <v>0.32806306183569284</v>
      </c>
      <c r="L224" s="37">
        <f t="shared" si="31"/>
        <v>125903478.23434928</v>
      </c>
      <c r="M224" s="37">
        <f t="shared" si="32"/>
        <v>-124830139.60454191</v>
      </c>
      <c r="N224" s="37" t="str">
        <f t="shared" si="33"/>
        <v/>
      </c>
      <c r="O224" s="17"/>
    </row>
    <row r="225" spans="1:15" x14ac:dyDescent="0.25">
      <c r="A225" s="4" t="s">
        <v>1327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30</v>
      </c>
      <c r="K225" s="37">
        <f t="shared" si="30"/>
        <v>0.39399511232474649</v>
      </c>
      <c r="L225" s="37">
        <f t="shared" si="31"/>
        <v>125903478.23434928</v>
      </c>
      <c r="M225" s="37">
        <f t="shared" si="32"/>
        <v>-116529065.12084733</v>
      </c>
      <c r="N225" s="37" t="str">
        <f t="shared" si="33"/>
        <v/>
      </c>
      <c r="O225" s="17"/>
    </row>
    <row r="226" spans="1:15" x14ac:dyDescent="0.25">
      <c r="A226" s="4" t="s">
        <v>1328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31</v>
      </c>
      <c r="K226" s="37">
        <f t="shared" si="30"/>
        <v>0.39399511232474649</v>
      </c>
      <c r="L226" s="37">
        <f t="shared" si="31"/>
        <v>125903478.23434928</v>
      </c>
      <c r="M226" s="37">
        <f t="shared" si="32"/>
        <v>-116529065.12084733</v>
      </c>
      <c r="N226" s="37" t="str">
        <f t="shared" si="33"/>
        <v/>
      </c>
      <c r="O226" s="17"/>
    </row>
    <row r="227" spans="1:15" x14ac:dyDescent="0.25">
      <c r="A227" s="4" t="s">
        <v>1329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0.62484849627321171</v>
      </c>
      <c r="L227" s="37">
        <f t="shared" si="31"/>
        <v>125903478.23434928</v>
      </c>
      <c r="M227" s="37">
        <f t="shared" si="32"/>
        <v>-87463821.119565859</v>
      </c>
      <c r="N227" s="37" t="str">
        <f t="shared" si="33"/>
        <v/>
      </c>
      <c r="O227" s="17"/>
    </row>
    <row r="228" spans="1:15" x14ac:dyDescent="0.25">
      <c r="A228" s="4" t="s">
        <v>1330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0.62484849627321171</v>
      </c>
      <c r="L228" s="37">
        <f t="shared" si="31"/>
        <v>125903478.23434928</v>
      </c>
      <c r="M228" s="37">
        <f t="shared" si="32"/>
        <v>-87463821.119565859</v>
      </c>
      <c r="N228" s="37" t="str">
        <f t="shared" si="33"/>
        <v/>
      </c>
      <c r="O228" s="17"/>
    </row>
    <row r="229" spans="1:15" x14ac:dyDescent="0.25">
      <c r="A229" s="4" t="s">
        <v>1331</v>
      </c>
      <c r="B229" s="37">
        <f t="shared" si="34"/>
        <v>6.5800175675982051E-2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0.62484849627321171</v>
      </c>
      <c r="L229" s="37">
        <f t="shared" si="31"/>
        <v>125903478.23434928</v>
      </c>
      <c r="M229" s="37">
        <f t="shared" si="32"/>
        <v>-87463821.119565859</v>
      </c>
      <c r="N229" s="37" t="str">
        <f t="shared" si="33"/>
        <v/>
      </c>
      <c r="O229" s="17"/>
    </row>
    <row r="230" spans="1:15" x14ac:dyDescent="0.25">
      <c r="A230" s="4" t="s">
        <v>1332</v>
      </c>
      <c r="B230" s="37">
        <f t="shared" si="34"/>
        <v>6.5800175675982051E-2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0.69266901304071482</v>
      </c>
      <c r="L230" s="37">
        <f t="shared" si="31"/>
        <v>125903478.23434928</v>
      </c>
      <c r="M230" s="37">
        <f t="shared" si="32"/>
        <v>-78924982.162886202</v>
      </c>
      <c r="N230" s="37" t="str">
        <f t="shared" si="33"/>
        <v/>
      </c>
      <c r="O230" s="17"/>
    </row>
    <row r="231" spans="1:15" x14ac:dyDescent="0.25">
      <c r="A231" s="4" t="s">
        <v>1333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0.69266901304071482</v>
      </c>
      <c r="L231" s="37">
        <f t="shared" si="31"/>
        <v>125903478.23434928</v>
      </c>
      <c r="M231" s="37">
        <f t="shared" si="32"/>
        <v>-78924982.162886202</v>
      </c>
      <c r="N231" s="37" t="str">
        <f t="shared" si="33"/>
        <v/>
      </c>
      <c r="O231" s="17"/>
    </row>
    <row r="232" spans="1:15" x14ac:dyDescent="0.25">
      <c r="A232" s="4" t="s">
        <v>1334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0.69266901304071482</v>
      </c>
      <c r="L232" s="37">
        <f t="shared" si="31"/>
        <v>125903478.23434928</v>
      </c>
      <c r="M232" s="37">
        <f t="shared" si="32"/>
        <v>-78924982.162886202</v>
      </c>
      <c r="N232" s="37" t="str">
        <f t="shared" si="33"/>
        <v/>
      </c>
      <c r="O232" s="17"/>
    </row>
    <row r="233" spans="1:15" x14ac:dyDescent="0.25">
      <c r="A233" s="4" t="s">
        <v>1335</v>
      </c>
      <c r="B233" s="37">
        <f t="shared" si="34"/>
        <v>5.7099868560825565E-2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5.5853081652771719</v>
      </c>
      <c r="L233" s="37">
        <f t="shared" si="31"/>
        <v>125903478.23434928</v>
      </c>
      <c r="M233" s="37">
        <f t="shared" si="32"/>
        <v>537075304.84924173</v>
      </c>
      <c r="N233" s="37">
        <f t="shared" si="33"/>
        <v>1.3195379706717336</v>
      </c>
      <c r="O233" s="17"/>
    </row>
    <row r="234" spans="1:15" x14ac:dyDescent="0.25">
      <c r="A234" s="4" t="s">
        <v>1336</v>
      </c>
      <c r="B234" s="37">
        <f t="shared" si="34"/>
        <v>5.7099868560825565E-2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5.5853081652771719</v>
      </c>
      <c r="L234" s="37">
        <f t="shared" si="31"/>
        <v>125903478.23434928</v>
      </c>
      <c r="M234" s="37">
        <f t="shared" si="32"/>
        <v>537075304.84924173</v>
      </c>
      <c r="N234" s="37" t="str">
        <f t="shared" si="33"/>
        <v/>
      </c>
      <c r="O234" s="17"/>
    </row>
    <row r="235" spans="1:15" x14ac:dyDescent="0.25">
      <c r="A235" s="4" t="s">
        <v>1337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8.1080851983105955</v>
      </c>
      <c r="L235" s="37">
        <f t="shared" si="31"/>
        <v>125903478.23434928</v>
      </c>
      <c r="M235" s="37">
        <f t="shared" si="32"/>
        <v>854701708.11788166</v>
      </c>
      <c r="N235" s="37" t="str">
        <f t="shared" si="33"/>
        <v/>
      </c>
      <c r="O235" s="17"/>
    </row>
    <row r="236" spans="1:15" x14ac:dyDescent="0.25">
      <c r="A236" s="4" t="s">
        <v>1338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8.1080851983105955</v>
      </c>
      <c r="L236" s="37">
        <f t="shared" si="31"/>
        <v>125903478.23434928</v>
      </c>
      <c r="M236" s="37">
        <f t="shared" si="32"/>
        <v>854701708.11788166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1339</v>
      </c>
      <c r="B237" s="37">
        <f t="shared" si="34"/>
        <v>2.7706600232467009E-2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8.8444935589657767</v>
      </c>
      <c r="L237" s="37">
        <f t="shared" si="31"/>
        <v>125903478.23434928</v>
      </c>
      <c r="M237" s="37">
        <f t="shared" si="32"/>
        <v>947418082.12522411</v>
      </c>
      <c r="N237" s="37" t="str">
        <f t="shared" si="41"/>
        <v/>
      </c>
      <c r="O237" s="17"/>
    </row>
    <row r="238" spans="1:15" x14ac:dyDescent="0.25">
      <c r="A238" s="4" t="s">
        <v>1340</v>
      </c>
      <c r="B238" s="37">
        <f t="shared" si="34"/>
        <v>2.7706600232467009E-2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8.8444935589657767</v>
      </c>
      <c r="L238" s="37">
        <f t="shared" si="31"/>
        <v>125903478.23434928</v>
      </c>
      <c r="M238" s="37">
        <f t="shared" si="32"/>
        <v>947418082.12522411</v>
      </c>
      <c r="N238" s="37" t="str">
        <f t="shared" si="41"/>
        <v/>
      </c>
      <c r="O238" s="17"/>
    </row>
    <row r="240" spans="1:15" ht="21" customHeight="1" x14ac:dyDescent="0.3">
      <c r="A240" s="1" t="s">
        <v>1341</v>
      </c>
    </row>
    <row r="241" spans="1:3" x14ac:dyDescent="0.25">
      <c r="A241" s="2" t="s">
        <v>381</v>
      </c>
    </row>
    <row r="242" spans="1:3" x14ac:dyDescent="0.25">
      <c r="A242" s="32" t="s">
        <v>1342</v>
      </c>
    </row>
    <row r="243" spans="1:3" x14ac:dyDescent="0.25">
      <c r="A243" s="2" t="s">
        <v>1343</v>
      </c>
    </row>
    <row r="245" spans="1:3" ht="30" x14ac:dyDescent="0.25">
      <c r="B245" s="15" t="s">
        <v>1344</v>
      </c>
    </row>
    <row r="246" spans="1:3" x14ac:dyDescent="0.25">
      <c r="A246" s="4" t="s">
        <v>1344</v>
      </c>
      <c r="B246" s="37">
        <f>MIN($N$139:$N$238)</f>
        <v>1.3195379706717336</v>
      </c>
      <c r="C246" s="17"/>
    </row>
    <row r="248" spans="1:3" ht="21" customHeight="1" x14ac:dyDescent="0.3">
      <c r="A248" s="1" t="s">
        <v>1345</v>
      </c>
    </row>
    <row r="249" spans="1:3" x14ac:dyDescent="0.25">
      <c r="A249" s="2" t="s">
        <v>381</v>
      </c>
    </row>
    <row r="250" spans="1:3" x14ac:dyDescent="0.25">
      <c r="A250" s="32" t="s">
        <v>1080</v>
      </c>
    </row>
    <row r="251" spans="1:3" x14ac:dyDescent="0.25">
      <c r="A251" s="32" t="s">
        <v>1346</v>
      </c>
    </row>
    <row r="252" spans="1:3" x14ac:dyDescent="0.25">
      <c r="A252" s="32" t="s">
        <v>1347</v>
      </c>
    </row>
    <row r="253" spans="1:3" x14ac:dyDescent="0.25">
      <c r="A253" s="32" t="s">
        <v>1348</v>
      </c>
    </row>
    <row r="254" spans="1:3" x14ac:dyDescent="0.25">
      <c r="A254" s="32" t="s">
        <v>1349</v>
      </c>
    </row>
    <row r="255" spans="1:3" x14ac:dyDescent="0.25">
      <c r="A255" s="32" t="s">
        <v>1350</v>
      </c>
    </row>
    <row r="256" spans="1:3" x14ac:dyDescent="0.25">
      <c r="A256" s="32" t="s">
        <v>1351</v>
      </c>
    </row>
    <row r="257" spans="1:6" x14ac:dyDescent="0.25">
      <c r="A257" s="32" t="s">
        <v>1352</v>
      </c>
    </row>
    <row r="258" spans="1:6" x14ac:dyDescent="0.25">
      <c r="A258" s="32" t="s">
        <v>1353</v>
      </c>
    </row>
    <row r="259" spans="1:6" x14ac:dyDescent="0.25">
      <c r="A259" s="32" t="s">
        <v>1354</v>
      </c>
    </row>
    <row r="260" spans="1:6" x14ac:dyDescent="0.25">
      <c r="A260" s="32" t="s">
        <v>1355</v>
      </c>
    </row>
    <row r="261" spans="1:6" x14ac:dyDescent="0.25">
      <c r="A261" s="33" t="s">
        <v>384</v>
      </c>
      <c r="B261" s="33" t="s">
        <v>514</v>
      </c>
      <c r="C261" s="33" t="s">
        <v>514</v>
      </c>
      <c r="D261" s="33" t="s">
        <v>514</v>
      </c>
      <c r="E261" s="33" t="s">
        <v>514</v>
      </c>
    </row>
    <row r="262" spans="1:6" ht="30" x14ac:dyDescent="0.25">
      <c r="A262" s="33" t="s">
        <v>387</v>
      </c>
      <c r="B262" s="33" t="s">
        <v>1356</v>
      </c>
      <c r="C262" s="33" t="s">
        <v>1357</v>
      </c>
      <c r="D262" s="33" t="s">
        <v>1358</v>
      </c>
      <c r="E262" s="33" t="s">
        <v>1359</v>
      </c>
    </row>
    <row r="264" spans="1:6" ht="30" x14ac:dyDescent="0.25">
      <c r="B264" s="15" t="s">
        <v>1360</v>
      </c>
      <c r="C264" s="15" t="s">
        <v>1361</v>
      </c>
      <c r="D264" s="15" t="s">
        <v>1362</v>
      </c>
      <c r="E264" s="15" t="s">
        <v>1363</v>
      </c>
    </row>
    <row r="265" spans="1:6" x14ac:dyDescent="0.25">
      <c r="A265" s="4" t="s">
        <v>182</v>
      </c>
      <c r="B265" s="37">
        <f>IF(Loads!$B46&lt;0,0,MAX($B$246,$B12))</f>
        <v>1.3195379706717336</v>
      </c>
      <c r="C265" s="10"/>
      <c r="D265" s="10"/>
      <c r="E265" s="42">
        <f>0+10*($B265*Loads!B334+$C265*Loads!C334+$D265*Loads!D334)</f>
        <v>57578727.507873699</v>
      </c>
      <c r="F265" s="17"/>
    </row>
    <row r="266" spans="1:6" x14ac:dyDescent="0.25">
      <c r="A266" s="4" t="s">
        <v>183</v>
      </c>
      <c r="B266" s="37">
        <f>IF(Loads!$B47&lt;0,0,MAX($B$246,$B13))</f>
        <v>1.3195379706717336</v>
      </c>
      <c r="C266" s="37">
        <f>IF(Loads!$B47&lt;0,0,MAX($B$246,$C13))</f>
        <v>1.3195379706717336</v>
      </c>
      <c r="D266" s="10"/>
      <c r="E266" s="42">
        <f>0+10*($B266*Loads!B335+$C266*Loads!C335+$D266*Loads!D335)</f>
        <v>16402754.62775345</v>
      </c>
      <c r="F266" s="17"/>
    </row>
    <row r="267" spans="1:6" x14ac:dyDescent="0.25">
      <c r="A267" s="4" t="s">
        <v>228</v>
      </c>
      <c r="B267" s="37">
        <f>IF(Loads!$B48&lt;0,0,MAX($B$246,$B14))</f>
        <v>1.3195379706717336</v>
      </c>
      <c r="C267" s="10"/>
      <c r="D267" s="10"/>
      <c r="E267" s="42">
        <f>0+10*($B267*Loads!B336+$C267*Loads!C336+$D267*Loads!D336)</f>
        <v>654292.22486334865</v>
      </c>
      <c r="F267" s="17"/>
    </row>
    <row r="268" spans="1:6" x14ac:dyDescent="0.25">
      <c r="A268" s="4" t="s">
        <v>184</v>
      </c>
      <c r="B268" s="37">
        <f>IF(Loads!$B49&lt;0,0,MAX($B$246,$B15))</f>
        <v>1.3195379706717336</v>
      </c>
      <c r="C268" s="10"/>
      <c r="D268" s="10"/>
      <c r="E268" s="42">
        <f>0+10*($B268*Loads!B337+$C268*Loads!C337+$D268*Loads!D337)</f>
        <v>15750697.615005061</v>
      </c>
      <c r="F268" s="17"/>
    </row>
    <row r="269" spans="1:6" x14ac:dyDescent="0.25">
      <c r="A269" s="4" t="s">
        <v>185</v>
      </c>
      <c r="B269" s="37">
        <f>IF(Loads!$B50&lt;0,0,MAX($B$246,$B16))</f>
        <v>1.3195379706717336</v>
      </c>
      <c r="C269" s="37">
        <f>IF(Loads!$B50&lt;0,0,MAX($B$246,$C16))</f>
        <v>1.3195379706717336</v>
      </c>
      <c r="D269" s="10"/>
      <c r="E269" s="42">
        <f>0+10*($B269*Loads!B338+$C269*Loads!C338+$D269*Loads!D338)</f>
        <v>7656074.1575167794</v>
      </c>
      <c r="F269" s="17"/>
    </row>
    <row r="270" spans="1:6" x14ac:dyDescent="0.25">
      <c r="A270" s="4" t="s">
        <v>229</v>
      </c>
      <c r="B270" s="37">
        <f>IF(Loads!$B51&lt;0,0,MAX($B$246,$B17))</f>
        <v>1.3195379706717336</v>
      </c>
      <c r="C270" s="10"/>
      <c r="D270" s="10"/>
      <c r="E270" s="42">
        <f>0+10*($B270*Loads!B339+$C270*Loads!C339+$D270*Loads!D339)</f>
        <v>246704.39403837171</v>
      </c>
      <c r="F270" s="17"/>
    </row>
    <row r="271" spans="1:6" x14ac:dyDescent="0.25">
      <c r="A271" s="4" t="s">
        <v>186</v>
      </c>
      <c r="B271" s="37">
        <f>IF(Loads!$B52&lt;0,0,MAX($B$246,$B18))</f>
        <v>1.3195379706717336</v>
      </c>
      <c r="C271" s="37">
        <f>IF(Loads!$B52&lt;0,0,MAX($B$246,$C18))</f>
        <v>1.3195379706717336</v>
      </c>
      <c r="D271" s="10"/>
      <c r="E271" s="42">
        <f>0+10*($B271*Loads!B340+$C271*Loads!C340+$D271*Loads!D340)</f>
        <v>1007865.7362876303</v>
      </c>
      <c r="F271" s="17"/>
    </row>
    <row r="272" spans="1:6" x14ac:dyDescent="0.25">
      <c r="A272" s="4" t="s">
        <v>187</v>
      </c>
      <c r="B272" s="37">
        <f>IF(Loads!$B53&lt;0,0,MAX($B$246,$B19))</f>
        <v>1.3195379706717336</v>
      </c>
      <c r="C272" s="37">
        <f>IF(Loads!$B53&lt;0,0,MAX($B$246,$C19))</f>
        <v>1.3195379706717336</v>
      </c>
      <c r="D272" s="10"/>
      <c r="E272" s="42">
        <f>0+10*($B272*Loads!B341+$C272*Loads!C341+$D272*Loads!D341)</f>
        <v>183268.34762534124</v>
      </c>
      <c r="F272" s="17"/>
    </row>
    <row r="273" spans="1:6" x14ac:dyDescent="0.25">
      <c r="A273" s="4" t="s">
        <v>207</v>
      </c>
      <c r="B273" s="37">
        <f>IF(Loads!$B54&lt;0,0,MAX($B$246,$B20))</f>
        <v>1.3195379706717336</v>
      </c>
      <c r="C273" s="37">
        <f>IF(Loads!$B54&lt;0,0,MAX($B$246,$C20))</f>
        <v>1.3195379706717336</v>
      </c>
      <c r="D273" s="10"/>
      <c r="E273" s="42">
        <f>0+10*($B273*Loads!B342+$C273*Loads!C342+$D273*Loads!D342)</f>
        <v>8713.4686198620439</v>
      </c>
      <c r="F273" s="17"/>
    </row>
    <row r="274" spans="1:6" x14ac:dyDescent="0.25">
      <c r="A274" s="4" t="s">
        <v>188</v>
      </c>
      <c r="B274" s="37">
        <f>IF(Loads!$B55&lt;0,0,MAX($B$246,$B21))</f>
        <v>1.3195379706717336</v>
      </c>
      <c r="C274" s="37">
        <f>IF(Loads!$B55&lt;0,0,MAX($B$246,$C21))</f>
        <v>1.3195379706717336</v>
      </c>
      <c r="D274" s="37">
        <f>IF(Loads!$B55&lt;0,0,MAX($B$246,$D21))</f>
        <v>1.3195379706717336</v>
      </c>
      <c r="E274" s="42">
        <f>0+10*($B274*Loads!B343+$C274*Loads!C343+$D274*Loads!D343)</f>
        <v>3945.0288310122987</v>
      </c>
      <c r="F274" s="17"/>
    </row>
    <row r="275" spans="1:6" x14ac:dyDescent="0.25">
      <c r="A275" s="4" t="s">
        <v>189</v>
      </c>
      <c r="B275" s="37">
        <f>IF(Loads!$B56&lt;0,0,MAX($B$246,$B22))</f>
        <v>1.3195379706717336</v>
      </c>
      <c r="C275" s="37">
        <f>IF(Loads!$B56&lt;0,0,MAX($B$246,$C22))</f>
        <v>1.3195379706717336</v>
      </c>
      <c r="D275" s="37">
        <f>IF(Loads!$B56&lt;0,0,MAX($B$246,$D22))</f>
        <v>1.3195379706717336</v>
      </c>
      <c r="E275" s="42">
        <f>0+10*($B275*Loads!B344+$C275*Loads!C344+$D275*Loads!D344)</f>
        <v>4873042.8792279772</v>
      </c>
      <c r="F275" s="17"/>
    </row>
    <row r="276" spans="1:6" x14ac:dyDescent="0.25">
      <c r="A276" s="4" t="s">
        <v>190</v>
      </c>
      <c r="B276" s="37">
        <f>IF(Loads!$B57&lt;0,0,MAX($B$246,$B23))</f>
        <v>1.3195379706717336</v>
      </c>
      <c r="C276" s="37">
        <f>IF(Loads!$B57&lt;0,0,MAX($B$246,$C23))</f>
        <v>1.3195379706717336</v>
      </c>
      <c r="D276" s="37">
        <f>IF(Loads!$B57&lt;0,0,MAX($B$246,$D23))</f>
        <v>1.3195379706717336</v>
      </c>
      <c r="E276" s="42">
        <f>0+10*($B276*Loads!B345+$C276*Loads!C345+$D276*Loads!D345)</f>
        <v>16963035.3135003</v>
      </c>
      <c r="F276" s="17"/>
    </row>
    <row r="277" spans="1:6" x14ac:dyDescent="0.25">
      <c r="A277" s="4" t="s">
        <v>191</v>
      </c>
      <c r="B277" s="37">
        <f>IF(Loads!$B58&lt;0,0,MAX($B$246,$B24))</f>
        <v>1.3195379706717336</v>
      </c>
      <c r="C277" s="37">
        <f>IF(Loads!$B58&lt;0,0,MAX($B$246,$C24))</f>
        <v>1.3195379706717336</v>
      </c>
      <c r="D277" s="37">
        <f>IF(Loads!$B58&lt;0,0,MAX($B$246,$D24))</f>
        <v>1.3195379706717336</v>
      </c>
      <c r="E277" s="42">
        <f>0+10*($B277*Loads!B346+$C277*Loads!C346+$D277*Loads!D346)</f>
        <v>9813600.4520798363</v>
      </c>
      <c r="F277" s="17"/>
    </row>
    <row r="278" spans="1:6" x14ac:dyDescent="0.25">
      <c r="A278" s="4" t="s">
        <v>208</v>
      </c>
      <c r="B278" s="37">
        <f>IF(Loads!$B59&lt;0,0,MAX($B$246,$B25))</f>
        <v>1.3195379706717336</v>
      </c>
      <c r="C278" s="37">
        <f>IF(Loads!$B59&lt;0,0,MAX($B$246,$C25))</f>
        <v>1.3195379706717336</v>
      </c>
      <c r="D278" s="37">
        <f>IF(Loads!$B59&lt;0,0,MAX($B$246,$D25))</f>
        <v>1.3195379706717336</v>
      </c>
      <c r="E278" s="42">
        <f>0+10*($B278*Loads!B347+$C278*Loads!C347+$D278*Loads!D347)</f>
        <v>33251695.733402118</v>
      </c>
      <c r="F278" s="17"/>
    </row>
    <row r="279" spans="1:6" x14ac:dyDescent="0.25">
      <c r="A279" s="4" t="s">
        <v>230</v>
      </c>
      <c r="B279" s="37">
        <f>IF(Loads!$B60&lt;0,0,MAX($B$246,$B26))</f>
        <v>1.3195379706717336</v>
      </c>
      <c r="C279" s="10"/>
      <c r="D279" s="10"/>
      <c r="E279" s="42">
        <f>0+10*($B279*Loads!B348+$C279*Loads!C348+$D279*Loads!D348)</f>
        <v>54737.318974498594</v>
      </c>
      <c r="F279" s="17"/>
    </row>
    <row r="280" spans="1:6" x14ac:dyDescent="0.25">
      <c r="A280" s="4" t="s">
        <v>231</v>
      </c>
      <c r="B280" s="37">
        <f>IF(Loads!$B61&lt;0,0,MAX($B$246,$B27))</f>
        <v>1.3195379706717336</v>
      </c>
      <c r="C280" s="10"/>
      <c r="D280" s="10"/>
      <c r="E280" s="42">
        <f>0+10*($B280*Loads!B349+$C280*Loads!C349+$D280*Loads!D349)</f>
        <v>68843.383132000148</v>
      </c>
      <c r="F280" s="17"/>
    </row>
    <row r="281" spans="1:6" x14ac:dyDescent="0.25">
      <c r="A281" s="4" t="s">
        <v>232</v>
      </c>
      <c r="B281" s="37">
        <f>IF(Loads!$B62&lt;0,0,MAX($B$246,$B28))</f>
        <v>1.3195379706717336</v>
      </c>
      <c r="C281" s="10"/>
      <c r="D281" s="10"/>
      <c r="E281" s="42">
        <f>0+10*($B281*Loads!B350+$C281*Loads!C350+$D281*Loads!D350)</f>
        <v>7855.4361329832827</v>
      </c>
      <c r="F281" s="17"/>
    </row>
    <row r="282" spans="1:6" x14ac:dyDescent="0.25">
      <c r="A282" s="4" t="s">
        <v>233</v>
      </c>
      <c r="B282" s="37">
        <f>IF(Loads!$B63&lt;0,0,MAX($B$246,$B29))</f>
        <v>1.3195379706717336</v>
      </c>
      <c r="C282" s="10"/>
      <c r="D282" s="10"/>
      <c r="E282" s="42">
        <f>0+10*($B282*Loads!B351+$C282*Loads!C351+$D282*Loads!D351)</f>
        <v>0</v>
      </c>
      <c r="F282" s="17"/>
    </row>
    <row r="283" spans="1:6" x14ac:dyDescent="0.25">
      <c r="A283" s="4" t="s">
        <v>234</v>
      </c>
      <c r="B283" s="37">
        <f>IF(Loads!$B64&lt;0,0,MAX($B$246,$B30))</f>
        <v>1.3195379706717336</v>
      </c>
      <c r="C283" s="37">
        <f>IF(Loads!$B64&lt;0,0,MAX($B$246,$C30))</f>
        <v>1.3195379706717336</v>
      </c>
      <c r="D283" s="37">
        <f>IF(Loads!$B64&lt;0,0,MAX($B$246,$D30))</f>
        <v>1.3195379706717336</v>
      </c>
      <c r="E283" s="42">
        <f>0+10*($B283*Loads!B352+$C283*Loads!C352+$D283*Loads!D352)</f>
        <v>1608566.5450017131</v>
      </c>
      <c r="F283" s="17"/>
    </row>
    <row r="284" spans="1:6" x14ac:dyDescent="0.25">
      <c r="A284" s="4" t="s">
        <v>192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193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194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195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196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197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198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199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200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201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209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210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211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212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South West in April 19 (no data version)</v>
      </c>
    </row>
    <row r="3" spans="1:8" ht="21" customHeight="1" x14ac:dyDescent="0.3">
      <c r="A3" s="1" t="s">
        <v>1364</v>
      </c>
    </row>
    <row r="4" spans="1:8" x14ac:dyDescent="0.25">
      <c r="A4" s="2" t="s">
        <v>381</v>
      </c>
    </row>
    <row r="5" spans="1:8" x14ac:dyDescent="0.25">
      <c r="A5" s="32" t="s">
        <v>1172</v>
      </c>
    </row>
    <row r="6" spans="1:8" x14ac:dyDescent="0.25">
      <c r="A6" s="32" t="s">
        <v>1365</v>
      </c>
    </row>
    <row r="7" spans="1:8" x14ac:dyDescent="0.25">
      <c r="A7" s="32" t="s">
        <v>1366</v>
      </c>
    </row>
    <row r="8" spans="1:8" x14ac:dyDescent="0.25">
      <c r="A8" s="32" t="s">
        <v>1367</v>
      </c>
    </row>
    <row r="9" spans="1:8" x14ac:dyDescent="0.25">
      <c r="A9" s="32" t="s">
        <v>1368</v>
      </c>
    </row>
    <row r="10" spans="1:8" x14ac:dyDescent="0.25">
      <c r="A10" s="32" t="s">
        <v>1369</v>
      </c>
    </row>
    <row r="11" spans="1:8" x14ac:dyDescent="0.25">
      <c r="A11" s="32" t="s">
        <v>1370</v>
      </c>
    </row>
    <row r="12" spans="1:8" x14ac:dyDescent="0.25">
      <c r="A12" s="32" t="s">
        <v>1371</v>
      </c>
    </row>
    <row r="13" spans="1:8" x14ac:dyDescent="0.25">
      <c r="A13" s="32" t="s">
        <v>1372</v>
      </c>
    </row>
    <row r="14" spans="1:8" x14ac:dyDescent="0.25">
      <c r="A14" s="32" t="s">
        <v>1373</v>
      </c>
    </row>
    <row r="15" spans="1:8" x14ac:dyDescent="0.25">
      <c r="A15" s="33" t="s">
        <v>384</v>
      </c>
      <c r="B15" s="33" t="s">
        <v>514</v>
      </c>
      <c r="C15" s="33" t="s">
        <v>514</v>
      </c>
      <c r="D15" s="33" t="s">
        <v>514</v>
      </c>
      <c r="E15" s="33" t="s">
        <v>443</v>
      </c>
      <c r="F15" s="33" t="s">
        <v>443</v>
      </c>
      <c r="G15" s="33" t="s">
        <v>443</v>
      </c>
      <c r="H15" s="33" t="s">
        <v>443</v>
      </c>
    </row>
    <row r="16" spans="1:8" x14ac:dyDescent="0.25">
      <c r="A16" s="33" t="s">
        <v>387</v>
      </c>
      <c r="B16" s="33" t="s">
        <v>1374</v>
      </c>
      <c r="C16" s="33" t="s">
        <v>1375</v>
      </c>
      <c r="D16" s="33" t="s">
        <v>1376</v>
      </c>
      <c r="E16" s="33" t="s">
        <v>1377</v>
      </c>
      <c r="F16" s="33" t="s">
        <v>1378</v>
      </c>
      <c r="G16" s="33" t="s">
        <v>1379</v>
      </c>
      <c r="H16" s="33" t="s">
        <v>1380</v>
      </c>
    </row>
    <row r="18" spans="1:9" ht="30" x14ac:dyDescent="0.25">
      <c r="B18" s="15" t="s">
        <v>1381</v>
      </c>
      <c r="C18" s="15" t="s">
        <v>1382</v>
      </c>
      <c r="D18" s="15" t="s">
        <v>1383</v>
      </c>
      <c r="E18" s="15" t="s">
        <v>1384</v>
      </c>
      <c r="F18" s="15" t="s">
        <v>1385</v>
      </c>
      <c r="G18" s="15" t="s">
        <v>1386</v>
      </c>
      <c r="H18" s="15" t="s">
        <v>1138</v>
      </c>
    </row>
    <row r="19" spans="1:9" x14ac:dyDescent="0.25">
      <c r="A19" s="4" t="s">
        <v>182</v>
      </c>
      <c r="B19" s="45">
        <f>Aggreg!$B315+Adder!$B265</f>
        <v>2.7505299686902971</v>
      </c>
      <c r="C19" s="10"/>
      <c r="D19" s="10"/>
      <c r="E19" s="45">
        <f>Aggreg!$E315</f>
        <v>5.0245629741352893</v>
      </c>
      <c r="F19" s="10"/>
      <c r="G19" s="10"/>
      <c r="H19" s="10"/>
      <c r="I19" s="17"/>
    </row>
    <row r="20" spans="1:9" x14ac:dyDescent="0.25">
      <c r="A20" s="4" t="s">
        <v>183</v>
      </c>
      <c r="B20" s="45">
        <f>Aggreg!$B316+Adder!$B266</f>
        <v>3.0137933005967961</v>
      </c>
      <c r="C20" s="45">
        <f>Aggreg!$C316+Adder!$C266</f>
        <v>1.4245692125957001</v>
      </c>
      <c r="D20" s="10"/>
      <c r="E20" s="45">
        <f>Aggreg!$E316</f>
        <v>5.0245629741352893</v>
      </c>
      <c r="F20" s="10"/>
      <c r="G20" s="10"/>
      <c r="H20" s="10"/>
      <c r="I20" s="17"/>
    </row>
    <row r="21" spans="1:9" x14ac:dyDescent="0.25">
      <c r="A21" s="4" t="s">
        <v>228</v>
      </c>
      <c r="B21" s="45">
        <f>Aggreg!$B317+Adder!$B267</f>
        <v>1.4257092261440627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184</v>
      </c>
      <c r="B22" s="45">
        <f>Aggreg!$B318+Adder!$B268</f>
        <v>2.5302602555520979</v>
      </c>
      <c r="C22" s="10"/>
      <c r="D22" s="10"/>
      <c r="E22" s="45">
        <f>Aggreg!$E318</f>
        <v>9.3791013252063635</v>
      </c>
      <c r="F22" s="10"/>
      <c r="G22" s="10"/>
      <c r="H22" s="10"/>
      <c r="I22" s="17"/>
    </row>
    <row r="23" spans="1:9" x14ac:dyDescent="0.25">
      <c r="A23" s="4" t="s">
        <v>185</v>
      </c>
      <c r="B23" s="45">
        <f>Aggreg!$B319+Adder!$B269</f>
        <v>2.701795893328748</v>
      </c>
      <c r="C23" s="45">
        <f>Aggreg!$C319+Adder!$C269</f>
        <v>1.4252535461954954</v>
      </c>
      <c r="D23" s="10"/>
      <c r="E23" s="45">
        <f>Aggreg!$E319</f>
        <v>9.3791013252063635</v>
      </c>
      <c r="F23" s="10"/>
      <c r="G23" s="10"/>
      <c r="H23" s="10"/>
      <c r="I23" s="17"/>
    </row>
    <row r="24" spans="1:9" x14ac:dyDescent="0.25">
      <c r="A24" s="4" t="s">
        <v>229</v>
      </c>
      <c r="B24" s="45">
        <f>Aggreg!$B320+Adder!$B270</f>
        <v>1.4341047481265989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186</v>
      </c>
      <c r="B25" s="45">
        <f>Aggreg!$B321+Adder!$B271</f>
        <v>2.565067667081419</v>
      </c>
      <c r="C25" s="45">
        <f>Aggreg!$C321+Adder!$C271</f>
        <v>1.4051586272508068</v>
      </c>
      <c r="D25" s="10"/>
      <c r="E25" s="45">
        <f>Aggreg!$E321</f>
        <v>23.466378464070779</v>
      </c>
      <c r="F25" s="10"/>
      <c r="G25" s="10"/>
      <c r="H25" s="10"/>
      <c r="I25" s="17"/>
    </row>
    <row r="26" spans="1:9" x14ac:dyDescent="0.25">
      <c r="A26" s="4" t="s">
        <v>187</v>
      </c>
      <c r="B26" s="45">
        <f>Aggreg!$B322+Adder!$B272</f>
        <v>2.4141721391560824</v>
      </c>
      <c r="C26" s="45">
        <f>Aggreg!$C322+Adder!$C272</f>
        <v>1.3923986703238691</v>
      </c>
      <c r="D26" s="10"/>
      <c r="E26" s="45">
        <f>Aggreg!$E322</f>
        <v>21.408064439699917</v>
      </c>
      <c r="F26" s="10"/>
      <c r="G26" s="10"/>
      <c r="H26" s="10"/>
      <c r="I26" s="17"/>
    </row>
    <row r="27" spans="1:9" x14ac:dyDescent="0.25">
      <c r="A27" s="4" t="s">
        <v>207</v>
      </c>
      <c r="B27" s="45">
        <f>Aggreg!$B323+Adder!$B273</f>
        <v>2.0278445216278866</v>
      </c>
      <c r="C27" s="45">
        <f>Aggreg!$C323+Adder!$C273</f>
        <v>1.3524267496259637</v>
      </c>
      <c r="D27" s="10"/>
      <c r="E27" s="45">
        <f>Aggreg!$E323</f>
        <v>143.55436254763353</v>
      </c>
      <c r="F27" s="10"/>
      <c r="G27" s="10"/>
      <c r="H27" s="10"/>
      <c r="I27" s="17"/>
    </row>
    <row r="28" spans="1:9" x14ac:dyDescent="0.25">
      <c r="A28" s="4" t="s">
        <v>188</v>
      </c>
      <c r="B28" s="45">
        <f>Aggreg!$B324+Adder!$B274</f>
        <v>14.425380533310788</v>
      </c>
      <c r="C28" s="45">
        <f>Aggreg!$C324+Adder!$C274</f>
        <v>1.8055951328200064</v>
      </c>
      <c r="D28" s="45">
        <f>Aggreg!$D324+Adder!$D274</f>
        <v>1.4170303305997092</v>
      </c>
      <c r="E28" s="45">
        <f>Aggreg!$E324</f>
        <v>5.0245629741352893</v>
      </c>
      <c r="F28" s="10"/>
      <c r="G28" s="10"/>
      <c r="H28" s="10"/>
      <c r="I28" s="17"/>
    </row>
    <row r="29" spans="1:9" x14ac:dyDescent="0.25">
      <c r="A29" s="4" t="s">
        <v>189</v>
      </c>
      <c r="B29" s="45">
        <f>Aggreg!$B325+Adder!$B275</f>
        <v>14.940927183645503</v>
      </c>
      <c r="C29" s="45">
        <f>Aggreg!$C325+Adder!$C275</f>
        <v>1.8249103670398241</v>
      </c>
      <c r="D29" s="45">
        <f>Aggreg!$D325+Adder!$D275</f>
        <v>1.4208954326652545</v>
      </c>
      <c r="E29" s="45">
        <f>Aggreg!$E325</f>
        <v>9.3791013252063635</v>
      </c>
      <c r="F29" s="10"/>
      <c r="G29" s="10"/>
      <c r="H29" s="10"/>
      <c r="I29" s="17"/>
    </row>
    <row r="30" spans="1:9" x14ac:dyDescent="0.25">
      <c r="A30" s="4" t="s">
        <v>190</v>
      </c>
      <c r="B30" s="45">
        <f>Aggreg!$B326+Adder!$B276</f>
        <v>10.445918598416593</v>
      </c>
      <c r="C30" s="45">
        <f>Aggreg!$C326+Adder!$C276</f>
        <v>1.6186502898996751</v>
      </c>
      <c r="D30" s="45">
        <f>Aggreg!$D326+Adder!$D276</f>
        <v>1.3814787988075241</v>
      </c>
      <c r="E30" s="45">
        <f>Aggreg!$E326</f>
        <v>11.998753381487354</v>
      </c>
      <c r="F30" s="45">
        <f>Aggreg!$F326</f>
        <v>3.2850649518703907</v>
      </c>
      <c r="G30" s="45">
        <f>Aggreg!$G326</f>
        <v>7.2760693243412025</v>
      </c>
      <c r="H30" s="45">
        <f>Aggreg!$H326</f>
        <v>0.14959067141529125</v>
      </c>
      <c r="I30" s="17"/>
    </row>
    <row r="31" spans="1:9" x14ac:dyDescent="0.25">
      <c r="A31" s="4" t="s">
        <v>191</v>
      </c>
      <c r="B31" s="45">
        <f>Aggreg!$B327+Adder!$B277</f>
        <v>8.448764916909326</v>
      </c>
      <c r="C31" s="45">
        <f>Aggreg!$C327+Adder!$C277</f>
        <v>1.4913734857893282</v>
      </c>
      <c r="D31" s="45">
        <f>Aggreg!$D327+Adder!$D277</f>
        <v>1.3585795359483464</v>
      </c>
      <c r="E31" s="45">
        <f>Aggreg!$E327</f>
        <v>9.3667264649691493</v>
      </c>
      <c r="F31" s="45">
        <f>Aggreg!$F327</f>
        <v>3.3569504908428947</v>
      </c>
      <c r="G31" s="45">
        <f>Aggreg!$G327</f>
        <v>6.7302070624328332</v>
      </c>
      <c r="H31" s="45">
        <f>Aggreg!$H327</f>
        <v>0.10436498108296204</v>
      </c>
      <c r="I31" s="17"/>
    </row>
    <row r="32" spans="1:9" x14ac:dyDescent="0.25">
      <c r="A32" s="4" t="s">
        <v>208</v>
      </c>
      <c r="B32" s="45">
        <f>Aggreg!$B328+Adder!$B278</f>
        <v>6.7256024193794088</v>
      </c>
      <c r="C32" s="45">
        <f>Aggreg!$C328+Adder!$C278</f>
        <v>1.4070525236049809</v>
      </c>
      <c r="D32" s="45">
        <f>Aggreg!$D328+Adder!$D278</f>
        <v>1.3425995658038876</v>
      </c>
      <c r="E32" s="45">
        <f>Aggreg!$E328</f>
        <v>101.15815052324123</v>
      </c>
      <c r="F32" s="45">
        <f>Aggreg!$F328</f>
        <v>2.8217369447586713</v>
      </c>
      <c r="G32" s="45">
        <f>Aggreg!$G328</f>
        <v>6.7043373216935445</v>
      </c>
      <c r="H32" s="45">
        <f>Aggreg!$H328</f>
        <v>7.1607028488013133E-2</v>
      </c>
      <c r="I32" s="17"/>
    </row>
    <row r="33" spans="1:9" x14ac:dyDescent="0.25">
      <c r="A33" s="4" t="s">
        <v>230</v>
      </c>
      <c r="B33" s="45">
        <f>Aggreg!$B329+Adder!$B279</f>
        <v>3.1497508733864694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231</v>
      </c>
      <c r="B34" s="45">
        <f>Aggreg!$B330+Adder!$B280</f>
        <v>3.488272531452024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232</v>
      </c>
      <c r="B35" s="45">
        <f>Aggreg!$B331+Adder!$B281</f>
        <v>4.3952863592376152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233</v>
      </c>
      <c r="B36" s="45">
        <f>Aggreg!$B332+Adder!$B282</f>
        <v>2.822694523921494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234</v>
      </c>
      <c r="B37" s="45">
        <f>Aggreg!$B333+Adder!$B283</f>
        <v>34.975193426787008</v>
      </c>
      <c r="C37" s="45">
        <f>Aggreg!$C333+Adder!$C283</f>
        <v>2.9207977638004463</v>
      </c>
      <c r="D37" s="45">
        <f>Aggreg!$D333+Adder!$D283</f>
        <v>2.3280882432088461</v>
      </c>
      <c r="E37" s="10"/>
      <c r="F37" s="10"/>
      <c r="G37" s="10"/>
      <c r="H37" s="10"/>
      <c r="I37" s="17"/>
    </row>
    <row r="38" spans="1:9" x14ac:dyDescent="0.25">
      <c r="A38" s="4" t="s">
        <v>192</v>
      </c>
      <c r="B38" s="45">
        <f>Aggreg!$B334+Adder!$B284</f>
        <v>-0.69266901304071482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193</v>
      </c>
      <c r="B39" s="45">
        <f>Aggreg!$B335+Adder!$B285</f>
        <v>-0.62484849627321171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194</v>
      </c>
      <c r="B40" s="45">
        <f>Aggreg!$B336+Adder!$B286</f>
        <v>-0.69266901304071482</v>
      </c>
      <c r="C40" s="10"/>
      <c r="D40" s="10"/>
      <c r="E40" s="45">
        <f>Aggreg!$E336</f>
        <v>0</v>
      </c>
      <c r="F40" s="10"/>
      <c r="G40" s="10"/>
      <c r="H40" s="45">
        <f>Aggreg!$H336</f>
        <v>0.152423224818484</v>
      </c>
      <c r="I40" s="17"/>
    </row>
    <row r="41" spans="1:9" x14ac:dyDescent="0.25">
      <c r="A41" s="4" t="s">
        <v>195</v>
      </c>
      <c r="B41" s="45">
        <f>Aggreg!$B337+Adder!$B287</f>
        <v>-0.69266901304071482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196</v>
      </c>
      <c r="B42" s="45">
        <f>Aggreg!$B338+Adder!$B288</f>
        <v>-8.8444935589657767</v>
      </c>
      <c r="C42" s="45">
        <f>Aggreg!$C338+Adder!$C288</f>
        <v>-0.32806306183569284</v>
      </c>
      <c r="D42" s="45">
        <f>Aggreg!$D338+Adder!$D288</f>
        <v>-6.5800175675982051E-2</v>
      </c>
      <c r="E42" s="45">
        <f>Aggreg!$E338</f>
        <v>0</v>
      </c>
      <c r="F42" s="10"/>
      <c r="G42" s="10"/>
      <c r="H42" s="45">
        <f>Aggreg!$H338</f>
        <v>0.152423224818484</v>
      </c>
      <c r="I42" s="17"/>
    </row>
    <row r="43" spans="1:9" x14ac:dyDescent="0.25">
      <c r="A43" s="4" t="s">
        <v>197</v>
      </c>
      <c r="B43" s="45">
        <f>Aggreg!$B339+Adder!$B289</f>
        <v>-8.8444935589657767</v>
      </c>
      <c r="C43" s="45">
        <f>Aggreg!$C339+Adder!$C289</f>
        <v>-0.32806306183569284</v>
      </c>
      <c r="D43" s="45">
        <f>Aggreg!$D339+Adder!$D289</f>
        <v>-6.5800175675982051E-2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198</v>
      </c>
      <c r="B44" s="45">
        <f>Aggreg!$B340+Adder!$B290</f>
        <v>-0.62484849627321171</v>
      </c>
      <c r="C44" s="10"/>
      <c r="D44" s="10"/>
      <c r="E44" s="45">
        <f>Aggreg!$E340</f>
        <v>0</v>
      </c>
      <c r="F44" s="10"/>
      <c r="G44" s="10"/>
      <c r="H44" s="45">
        <f>Aggreg!$H340</f>
        <v>0.12511964659384955</v>
      </c>
      <c r="I44" s="17"/>
    </row>
    <row r="45" spans="1:9" x14ac:dyDescent="0.25">
      <c r="A45" s="4" t="s">
        <v>199</v>
      </c>
      <c r="B45" s="45">
        <f>Aggreg!$B341+Adder!$B291</f>
        <v>-0.62484849627321171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200</v>
      </c>
      <c r="B46" s="45">
        <f>Aggreg!$B342+Adder!$B292</f>
        <v>-8.1080851983105955</v>
      </c>
      <c r="C46" s="45">
        <f>Aggreg!$C342+Adder!$C292</f>
        <v>-0.27943425312006187</v>
      </c>
      <c r="D46" s="45">
        <f>Aggreg!$D342+Adder!$D292</f>
        <v>-5.7099868560825565E-2</v>
      </c>
      <c r="E46" s="45">
        <f>Aggreg!$E342</f>
        <v>0</v>
      </c>
      <c r="F46" s="10"/>
      <c r="G46" s="10"/>
      <c r="H46" s="45">
        <f>Aggreg!$H342</f>
        <v>0.12511964659384955</v>
      </c>
      <c r="I46" s="17"/>
    </row>
    <row r="47" spans="1:9" x14ac:dyDescent="0.25">
      <c r="A47" s="4" t="s">
        <v>201</v>
      </c>
      <c r="B47" s="45">
        <f>Aggreg!$B343+Adder!$B293</f>
        <v>-8.1080851983105955</v>
      </c>
      <c r="C47" s="45">
        <f>Aggreg!$C343+Adder!$C293</f>
        <v>-0.27943425312006187</v>
      </c>
      <c r="D47" s="45">
        <f>Aggreg!$D343+Adder!$D293</f>
        <v>-5.7099868560825565E-2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209</v>
      </c>
      <c r="B48" s="45">
        <f>Aggreg!$B344+Adder!$B294</f>
        <v>-0.39399511232474649</v>
      </c>
      <c r="C48" s="10"/>
      <c r="D48" s="10"/>
      <c r="E48" s="45">
        <f>Aggreg!$E344</f>
        <v>41.588307092770108</v>
      </c>
      <c r="F48" s="10"/>
      <c r="G48" s="10"/>
      <c r="H48" s="45">
        <f>Aggreg!$H344</f>
        <v>9.6110328451073548E-2</v>
      </c>
      <c r="I48" s="17"/>
    </row>
    <row r="49" spans="1:9" x14ac:dyDescent="0.25">
      <c r="A49" s="4" t="s">
        <v>210</v>
      </c>
      <c r="B49" s="45">
        <f>Aggreg!$B345+Adder!$B295</f>
        <v>-0.39399511232474649</v>
      </c>
      <c r="C49" s="10"/>
      <c r="D49" s="10"/>
      <c r="E49" s="45">
        <f>Aggreg!$E345</f>
        <v>41.588307092770108</v>
      </c>
      <c r="F49" s="10"/>
      <c r="G49" s="10"/>
      <c r="H49" s="10"/>
      <c r="I49" s="17"/>
    </row>
    <row r="50" spans="1:9" x14ac:dyDescent="0.25">
      <c r="A50" s="4" t="s">
        <v>211</v>
      </c>
      <c r="B50" s="45">
        <f>Aggreg!$B346+Adder!$B296</f>
        <v>-5.5853081652771719</v>
      </c>
      <c r="C50" s="45">
        <f>Aggreg!$C346+Adder!$C296</f>
        <v>-0.11604429413731568</v>
      </c>
      <c r="D50" s="45">
        <f>Aggreg!$D346+Adder!$D296</f>
        <v>-2.7706600232467009E-2</v>
      </c>
      <c r="E50" s="45">
        <f>Aggreg!$E346</f>
        <v>41.588307092770108</v>
      </c>
      <c r="F50" s="10"/>
      <c r="G50" s="10"/>
      <c r="H50" s="45">
        <f>Aggreg!$H346</f>
        <v>9.6110328451073548E-2</v>
      </c>
      <c r="I50" s="17"/>
    </row>
    <row r="51" spans="1:9" x14ac:dyDescent="0.25">
      <c r="A51" s="4" t="s">
        <v>212</v>
      </c>
      <c r="B51" s="45">
        <f>Aggreg!$B347+Adder!$B297</f>
        <v>-5.5853081652771719</v>
      </c>
      <c r="C51" s="45">
        <f>Aggreg!$C347+Adder!$C297</f>
        <v>-0.11604429413731568</v>
      </c>
      <c r="D51" s="45">
        <f>Aggreg!$D347+Adder!$D297</f>
        <v>-2.7706600232467009E-2</v>
      </c>
      <c r="E51" s="45">
        <f>Aggreg!$E347</f>
        <v>41.588307092770108</v>
      </c>
      <c r="F51" s="10"/>
      <c r="G51" s="10"/>
      <c r="H51" s="10"/>
      <c r="I51" s="17"/>
    </row>
    <row r="53" spans="1:9" ht="21" customHeight="1" x14ac:dyDescent="0.3">
      <c r="A53" s="1" t="s">
        <v>1387</v>
      </c>
    </row>
    <row r="55" spans="1:9" ht="30" x14ac:dyDescent="0.25">
      <c r="B55" s="15" t="s">
        <v>1381</v>
      </c>
      <c r="C55" s="15" t="s">
        <v>1382</v>
      </c>
      <c r="D55" s="15" t="s">
        <v>1383</v>
      </c>
      <c r="E55" s="15" t="s">
        <v>1384</v>
      </c>
      <c r="F55" s="15" t="s">
        <v>1385</v>
      </c>
      <c r="G55" s="15" t="s">
        <v>1386</v>
      </c>
      <c r="H55" s="15" t="s">
        <v>1138</v>
      </c>
    </row>
    <row r="56" spans="1:9" x14ac:dyDescent="0.25">
      <c r="A56" s="4" t="s">
        <v>1388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1389</v>
      </c>
    </row>
    <row r="59" spans="1:9" x14ac:dyDescent="0.25">
      <c r="A59" s="2" t="s">
        <v>381</v>
      </c>
    </row>
    <row r="60" spans="1:9" x14ac:dyDescent="0.25">
      <c r="A60" s="32" t="s">
        <v>1390</v>
      </c>
    </row>
    <row r="61" spans="1:9" x14ac:dyDescent="0.25">
      <c r="A61" s="32" t="s">
        <v>1391</v>
      </c>
    </row>
    <row r="62" spans="1:9" x14ac:dyDescent="0.25">
      <c r="A62" s="32" t="s">
        <v>1392</v>
      </c>
    </row>
    <row r="63" spans="1:9" x14ac:dyDescent="0.25">
      <c r="A63" s="32" t="s">
        <v>1393</v>
      </c>
    </row>
    <row r="64" spans="1:9" x14ac:dyDescent="0.25">
      <c r="A64" s="32" t="s">
        <v>1394</v>
      </c>
    </row>
    <row r="65" spans="1:9" x14ac:dyDescent="0.25">
      <c r="A65" s="32" t="s">
        <v>1395</v>
      </c>
    </row>
    <row r="66" spans="1:9" x14ac:dyDescent="0.25">
      <c r="A66" s="32" t="s">
        <v>1396</v>
      </c>
    </row>
    <row r="67" spans="1:9" x14ac:dyDescent="0.25">
      <c r="A67" s="32" t="s">
        <v>1397</v>
      </c>
    </row>
    <row r="68" spans="1:9" x14ac:dyDescent="0.25">
      <c r="A68" s="32" t="s">
        <v>1398</v>
      </c>
    </row>
    <row r="69" spans="1:9" x14ac:dyDescent="0.25">
      <c r="A69" s="32" t="s">
        <v>1399</v>
      </c>
    </row>
    <row r="70" spans="1:9" x14ac:dyDescent="0.25">
      <c r="A70" s="32" t="s">
        <v>1400</v>
      </c>
    </row>
    <row r="71" spans="1:9" x14ac:dyDescent="0.25">
      <c r="A71" s="32" t="s">
        <v>1401</v>
      </c>
    </row>
    <row r="72" spans="1:9" x14ac:dyDescent="0.25">
      <c r="A72" s="32" t="s">
        <v>1402</v>
      </c>
    </row>
    <row r="73" spans="1:9" x14ac:dyDescent="0.25">
      <c r="A73" s="32" t="s">
        <v>1403</v>
      </c>
    </row>
    <row r="74" spans="1:9" x14ac:dyDescent="0.25">
      <c r="A74" s="33" t="s">
        <v>384</v>
      </c>
      <c r="B74" s="33" t="s">
        <v>514</v>
      </c>
      <c r="C74" s="33" t="s">
        <v>514</v>
      </c>
      <c r="D74" s="33" t="s">
        <v>514</v>
      </c>
      <c r="E74" s="33" t="s">
        <v>514</v>
      </c>
      <c r="F74" s="33" t="s">
        <v>514</v>
      </c>
      <c r="G74" s="33" t="s">
        <v>514</v>
      </c>
      <c r="H74" s="33" t="s">
        <v>514</v>
      </c>
    </row>
    <row r="75" spans="1:9" x14ac:dyDescent="0.25">
      <c r="A75" s="33" t="s">
        <v>387</v>
      </c>
      <c r="B75" s="33" t="s">
        <v>1404</v>
      </c>
      <c r="C75" s="33" t="s">
        <v>1405</v>
      </c>
      <c r="D75" s="33" t="s">
        <v>1406</v>
      </c>
      <c r="E75" s="33" t="s">
        <v>1407</v>
      </c>
      <c r="F75" s="33" t="s">
        <v>1408</v>
      </c>
      <c r="G75" s="33" t="s">
        <v>1409</v>
      </c>
      <c r="H75" s="33" t="s">
        <v>1410</v>
      </c>
    </row>
    <row r="77" spans="1:9" ht="30" x14ac:dyDescent="0.25">
      <c r="B77" s="15" t="s">
        <v>1381</v>
      </c>
      <c r="C77" s="15" t="s">
        <v>1382</v>
      </c>
      <c r="D77" s="15" t="s">
        <v>1383</v>
      </c>
      <c r="E77" s="15" t="s">
        <v>1384</v>
      </c>
      <c r="F77" s="15" t="s">
        <v>1385</v>
      </c>
      <c r="G77" s="15" t="s">
        <v>1386</v>
      </c>
      <c r="H77" s="15" t="s">
        <v>1138</v>
      </c>
    </row>
    <row r="78" spans="1:9" x14ac:dyDescent="0.25">
      <c r="A78" s="4" t="s">
        <v>182</v>
      </c>
      <c r="B78" s="45">
        <f t="shared" ref="B78:B110" si="0">ROUND(B19,B$56)-B19</f>
        <v>4.7003130970280083E-4</v>
      </c>
      <c r="C78" s="10"/>
      <c r="D78" s="10"/>
      <c r="E78" s="45">
        <f>ROUND(E19,E$56)-E19</f>
        <v>-4.5629741352897213E-3</v>
      </c>
      <c r="F78" s="10"/>
      <c r="G78" s="10"/>
      <c r="H78" s="10"/>
      <c r="I78" s="17"/>
    </row>
    <row r="79" spans="1:9" x14ac:dyDescent="0.25">
      <c r="A79" s="4" t="s">
        <v>183</v>
      </c>
      <c r="B79" s="45">
        <f t="shared" si="0"/>
        <v>2.0669940320372504E-4</v>
      </c>
      <c r="C79" s="45">
        <f>ROUND(C20,C$56)-C20</f>
        <v>4.3078740429991491E-4</v>
      </c>
      <c r="D79" s="10"/>
      <c r="E79" s="45">
        <f>ROUND(E20,E$56)-E20</f>
        <v>-4.5629741352897213E-3</v>
      </c>
      <c r="F79" s="10"/>
      <c r="G79" s="10"/>
      <c r="H79" s="10"/>
      <c r="I79" s="17"/>
    </row>
    <row r="80" spans="1:9" x14ac:dyDescent="0.25">
      <c r="A80" s="4" t="s">
        <v>228</v>
      </c>
      <c r="B80" s="45">
        <f t="shared" si="0"/>
        <v>2.9077385593723193E-4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184</v>
      </c>
      <c r="B81" s="45">
        <f t="shared" si="0"/>
        <v>-2.6025555209807649E-4</v>
      </c>
      <c r="C81" s="10"/>
      <c r="D81" s="10"/>
      <c r="E81" s="45">
        <f>ROUND(E22,E$56)-E22</f>
        <v>8.9867479363725522E-4</v>
      </c>
      <c r="F81" s="10"/>
      <c r="G81" s="10"/>
      <c r="H81" s="10"/>
      <c r="I81" s="17"/>
    </row>
    <row r="82" spans="1:9" x14ac:dyDescent="0.25">
      <c r="A82" s="4" t="s">
        <v>185</v>
      </c>
      <c r="B82" s="45">
        <f t="shared" si="0"/>
        <v>2.0410667125192461E-4</v>
      </c>
      <c r="C82" s="45">
        <f>ROUND(C23,C$56)-C23</f>
        <v>-2.5354619549533552E-4</v>
      </c>
      <c r="D82" s="10"/>
      <c r="E82" s="45">
        <f>ROUND(E23,E$56)-E23</f>
        <v>8.9867479363725522E-4</v>
      </c>
      <c r="F82" s="10"/>
      <c r="G82" s="10"/>
      <c r="H82" s="10"/>
      <c r="I82" s="17"/>
    </row>
    <row r="83" spans="1:9" x14ac:dyDescent="0.25">
      <c r="A83" s="4" t="s">
        <v>229</v>
      </c>
      <c r="B83" s="45">
        <f t="shared" si="0"/>
        <v>-1.047481265989969E-4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186</v>
      </c>
      <c r="B84" s="45">
        <f t="shared" si="0"/>
        <v>-6.7667081419031661E-5</v>
      </c>
      <c r="C84" s="45">
        <f t="shared" ref="C84:C91" si="1">ROUND(C25,C$56)-C25</f>
        <v>-1.5862725080673101E-4</v>
      </c>
      <c r="D84" s="10"/>
      <c r="E84" s="45">
        <f t="shared" ref="E84:E91" si="2">ROUND(E25,E$56)-E25</f>
        <v>3.6215359292199878E-3</v>
      </c>
      <c r="F84" s="10"/>
      <c r="G84" s="10"/>
      <c r="H84" s="10"/>
      <c r="I84" s="17"/>
    </row>
    <row r="85" spans="1:9" x14ac:dyDescent="0.25">
      <c r="A85" s="4" t="s">
        <v>187</v>
      </c>
      <c r="B85" s="45">
        <f t="shared" si="0"/>
        <v>-1.7213915608227381E-4</v>
      </c>
      <c r="C85" s="45">
        <f t="shared" si="1"/>
        <v>-3.9867032386919909E-4</v>
      </c>
      <c r="D85" s="10"/>
      <c r="E85" s="45">
        <f t="shared" si="2"/>
        <v>1.9355603000832389E-3</v>
      </c>
      <c r="F85" s="10"/>
      <c r="G85" s="10"/>
      <c r="H85" s="10"/>
      <c r="I85" s="17"/>
    </row>
    <row r="86" spans="1:9" x14ac:dyDescent="0.25">
      <c r="A86" s="4" t="s">
        <v>207</v>
      </c>
      <c r="B86" s="45">
        <f t="shared" si="0"/>
        <v>1.5547837211338233E-4</v>
      </c>
      <c r="C86" s="45">
        <f t="shared" si="1"/>
        <v>-4.2674962596356281E-4</v>
      </c>
      <c r="D86" s="10"/>
      <c r="E86" s="45">
        <f t="shared" si="2"/>
        <v>-4.362547633519398E-3</v>
      </c>
      <c r="F86" s="10"/>
      <c r="G86" s="10"/>
      <c r="H86" s="10"/>
      <c r="I86" s="17"/>
    </row>
    <row r="87" spans="1:9" x14ac:dyDescent="0.25">
      <c r="A87" s="4" t="s">
        <v>188</v>
      </c>
      <c r="B87" s="45">
        <f t="shared" si="0"/>
        <v>-3.8053331078735653E-4</v>
      </c>
      <c r="C87" s="45">
        <f t="shared" si="1"/>
        <v>4.0486717999366206E-4</v>
      </c>
      <c r="D87" s="45">
        <f>ROUND(D28,D$56)-D28</f>
        <v>-3.0330599709138539E-5</v>
      </c>
      <c r="E87" s="45">
        <f t="shared" si="2"/>
        <v>-4.5629741352897213E-3</v>
      </c>
      <c r="F87" s="10"/>
      <c r="G87" s="10"/>
      <c r="H87" s="10"/>
      <c r="I87" s="17"/>
    </row>
    <row r="88" spans="1:9" x14ac:dyDescent="0.25">
      <c r="A88" s="4" t="s">
        <v>189</v>
      </c>
      <c r="B88" s="45">
        <f t="shared" si="0"/>
        <v>7.281635449807311E-5</v>
      </c>
      <c r="C88" s="45">
        <f t="shared" si="1"/>
        <v>8.9632960175833887E-5</v>
      </c>
      <c r="D88" s="45">
        <f>ROUND(D29,D$56)-D29</f>
        <v>1.0456733474550894E-4</v>
      </c>
      <c r="E88" s="45">
        <f t="shared" si="2"/>
        <v>8.9867479363725522E-4</v>
      </c>
      <c r="F88" s="10"/>
      <c r="G88" s="10"/>
      <c r="H88" s="10"/>
      <c r="I88" s="17"/>
    </row>
    <row r="89" spans="1:9" x14ac:dyDescent="0.25">
      <c r="A89" s="4" t="s">
        <v>190</v>
      </c>
      <c r="B89" s="45">
        <f t="shared" si="0"/>
        <v>8.1401583406304212E-5</v>
      </c>
      <c r="C89" s="45">
        <f t="shared" si="1"/>
        <v>3.4971010032491812E-4</v>
      </c>
      <c r="D89" s="45">
        <f>ROUND(D30,D$56)-D30</f>
        <v>-4.7879880752410564E-4</v>
      </c>
      <c r="E89" s="45">
        <f t="shared" si="2"/>
        <v>1.2466185126456253E-3</v>
      </c>
      <c r="F89" s="45">
        <f t="shared" ref="F89:H91" si="3">ROUND(F30,F$56)-F30</f>
        <v>4.9350481296093207E-3</v>
      </c>
      <c r="G89" s="45">
        <f t="shared" si="3"/>
        <v>3.9306756587977887E-3</v>
      </c>
      <c r="H89" s="45">
        <f t="shared" si="3"/>
        <v>4.0932858470874023E-4</v>
      </c>
      <c r="I89" s="17"/>
    </row>
    <row r="90" spans="1:9" x14ac:dyDescent="0.25">
      <c r="A90" s="4" t="s">
        <v>191</v>
      </c>
      <c r="B90" s="45">
        <f t="shared" si="0"/>
        <v>2.3508309067388211E-4</v>
      </c>
      <c r="C90" s="45">
        <f t="shared" si="1"/>
        <v>-3.734857893280541E-4</v>
      </c>
      <c r="D90" s="45">
        <f>ROUND(D31,D$56)-D31</f>
        <v>4.204640516536351E-4</v>
      </c>
      <c r="E90" s="45">
        <f t="shared" si="2"/>
        <v>3.2735350308499278E-3</v>
      </c>
      <c r="F90" s="45">
        <f t="shared" si="3"/>
        <v>3.0495091571052235E-3</v>
      </c>
      <c r="G90" s="45">
        <f t="shared" si="3"/>
        <v>-2.0706243283274972E-4</v>
      </c>
      <c r="H90" s="45">
        <f t="shared" si="3"/>
        <v>-3.6498108296204035E-4</v>
      </c>
      <c r="I90" s="17"/>
    </row>
    <row r="91" spans="1:9" x14ac:dyDescent="0.25">
      <c r="A91" s="4" t="s">
        <v>208</v>
      </c>
      <c r="B91" s="45">
        <f t="shared" si="0"/>
        <v>3.9758062059114252E-4</v>
      </c>
      <c r="C91" s="45">
        <f t="shared" si="1"/>
        <v>-5.252360498086972E-5</v>
      </c>
      <c r="D91" s="45">
        <f>ROUND(D32,D$56)-D32</f>
        <v>4.0043419611235365E-4</v>
      </c>
      <c r="E91" s="45">
        <f t="shared" si="2"/>
        <v>1.8494767587640126E-3</v>
      </c>
      <c r="F91" s="45">
        <f t="shared" si="3"/>
        <v>-1.736944758671477E-3</v>
      </c>
      <c r="G91" s="45">
        <f t="shared" si="3"/>
        <v>-4.3373216935442827E-3</v>
      </c>
      <c r="H91" s="45">
        <f t="shared" si="3"/>
        <v>3.9297151198686153E-4</v>
      </c>
      <c r="I91" s="17"/>
    </row>
    <row r="92" spans="1:9" x14ac:dyDescent="0.25">
      <c r="A92" s="4" t="s">
        <v>230</v>
      </c>
      <c r="B92" s="45">
        <f t="shared" si="0"/>
        <v>2.4912661353049259E-4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231</v>
      </c>
      <c r="B93" s="45">
        <f t="shared" si="0"/>
        <v>-2.7253145202399409E-4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232</v>
      </c>
      <c r="B94" s="45">
        <f t="shared" si="0"/>
        <v>-2.8635923761566318E-4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233</v>
      </c>
      <c r="B95" s="45">
        <f t="shared" si="0"/>
        <v>3.0547607850595071E-4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234</v>
      </c>
      <c r="B96" s="45">
        <f t="shared" si="0"/>
        <v>-1.9342678700695615E-4</v>
      </c>
      <c r="C96" s="45">
        <f>ROUND(C37,C$56)-C37</f>
        <v>2.0223619955350713E-4</v>
      </c>
      <c r="D96" s="45">
        <f>ROUND(D37,D$56)-D37</f>
        <v>-8.8243208846261467E-5</v>
      </c>
      <c r="E96" s="10"/>
      <c r="F96" s="10"/>
      <c r="G96" s="10"/>
      <c r="H96" s="10"/>
      <c r="I96" s="17"/>
    </row>
    <row r="97" spans="1:9" x14ac:dyDescent="0.25">
      <c r="A97" s="4" t="s">
        <v>192</v>
      </c>
      <c r="B97" s="45">
        <f t="shared" si="0"/>
        <v>-3.3098695928512889E-4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193</v>
      </c>
      <c r="B98" s="45">
        <f t="shared" si="0"/>
        <v>-1.5150372678829349E-4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194</v>
      </c>
      <c r="B99" s="45">
        <f t="shared" si="0"/>
        <v>-3.3098695928512889E-4</v>
      </c>
      <c r="C99" s="10"/>
      <c r="D99" s="10"/>
      <c r="E99" s="45">
        <f t="shared" si="4"/>
        <v>0</v>
      </c>
      <c r="F99" s="10"/>
      <c r="G99" s="10"/>
      <c r="H99" s="45">
        <f>ROUND(H40,H$56)-H40</f>
        <v>-4.2322481848400262E-4</v>
      </c>
      <c r="I99" s="17"/>
    </row>
    <row r="100" spans="1:9" x14ac:dyDescent="0.25">
      <c r="A100" s="4" t="s">
        <v>195</v>
      </c>
      <c r="B100" s="45">
        <f t="shared" si="0"/>
        <v>-3.3098695928512889E-4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196</v>
      </c>
      <c r="B101" s="45">
        <f t="shared" si="0"/>
        <v>4.9355896577729652E-4</v>
      </c>
      <c r="C101" s="45">
        <f>ROUND(C42,C$56)-C42</f>
        <v>6.3061835692823642E-5</v>
      </c>
      <c r="D101" s="45">
        <f>ROUND(D42,D$56)-D42</f>
        <v>-1.9982432401795258E-4</v>
      </c>
      <c r="E101" s="45">
        <f t="shared" si="4"/>
        <v>0</v>
      </c>
      <c r="F101" s="10"/>
      <c r="G101" s="10"/>
      <c r="H101" s="45">
        <f>ROUND(H42,H$56)-H42</f>
        <v>-4.2322481848400262E-4</v>
      </c>
      <c r="I101" s="17"/>
    </row>
    <row r="102" spans="1:9" x14ac:dyDescent="0.25">
      <c r="A102" s="4" t="s">
        <v>197</v>
      </c>
      <c r="B102" s="45">
        <f t="shared" si="0"/>
        <v>4.9355896577729652E-4</v>
      </c>
      <c r="C102" s="45">
        <f>ROUND(C43,C$56)-C43</f>
        <v>6.3061835692823642E-5</v>
      </c>
      <c r="D102" s="45">
        <f>ROUND(D43,D$56)-D43</f>
        <v>-1.9982432401795258E-4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198</v>
      </c>
      <c r="B103" s="45">
        <f t="shared" si="0"/>
        <v>-1.5150372678829349E-4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-1.1964659384955389E-4</v>
      </c>
      <c r="I103" s="17"/>
    </row>
    <row r="104" spans="1:9" x14ac:dyDescent="0.25">
      <c r="A104" s="4" t="s">
        <v>199</v>
      </c>
      <c r="B104" s="45">
        <f t="shared" si="0"/>
        <v>-1.5150372678829349E-4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200</v>
      </c>
      <c r="B105" s="45">
        <f t="shared" si="0"/>
        <v>8.5198310594947202E-5</v>
      </c>
      <c r="C105" s="45">
        <f>ROUND(C46,C$56)-C46</f>
        <v>4.3425312006184491E-4</v>
      </c>
      <c r="D105" s="45">
        <f>ROUND(D46,D$56)-D46</f>
        <v>9.9868560825562558E-5</v>
      </c>
      <c r="E105" s="45">
        <f t="shared" si="4"/>
        <v>0</v>
      </c>
      <c r="F105" s="10"/>
      <c r="G105" s="10"/>
      <c r="H105" s="45">
        <f>ROUND(H46,H$56)-H46</f>
        <v>-1.1964659384955389E-4</v>
      </c>
      <c r="I105" s="17"/>
    </row>
    <row r="106" spans="1:9" x14ac:dyDescent="0.25">
      <c r="A106" s="4" t="s">
        <v>201</v>
      </c>
      <c r="B106" s="45">
        <f t="shared" si="0"/>
        <v>8.5198310594947202E-5</v>
      </c>
      <c r="C106" s="45">
        <f>ROUND(C47,C$56)-C47</f>
        <v>4.3425312006184491E-4</v>
      </c>
      <c r="D106" s="45">
        <f>ROUND(D47,D$56)-D47</f>
        <v>9.9868560825562558E-5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209</v>
      </c>
      <c r="B107" s="45">
        <f t="shared" si="0"/>
        <v>-4.8876752535287338E-6</v>
      </c>
      <c r="C107" s="10"/>
      <c r="D107" s="10"/>
      <c r="E107" s="45">
        <f t="shared" si="4"/>
        <v>1.6929072298950132E-3</v>
      </c>
      <c r="F107" s="10"/>
      <c r="G107" s="10"/>
      <c r="H107" s="45">
        <f>ROUND(H48,H$56)-H48</f>
        <v>-1.1032845107354639E-4</v>
      </c>
      <c r="I107" s="17"/>
    </row>
    <row r="108" spans="1:9" x14ac:dyDescent="0.25">
      <c r="A108" s="4" t="s">
        <v>210</v>
      </c>
      <c r="B108" s="45">
        <f t="shared" si="0"/>
        <v>-4.8876752535287338E-6</v>
      </c>
      <c r="C108" s="10"/>
      <c r="D108" s="10"/>
      <c r="E108" s="45">
        <f t="shared" si="4"/>
        <v>1.6929072298950132E-3</v>
      </c>
      <c r="F108" s="10"/>
      <c r="G108" s="10"/>
      <c r="H108" s="10"/>
      <c r="I108" s="17"/>
    </row>
    <row r="109" spans="1:9" x14ac:dyDescent="0.25">
      <c r="A109" s="4" t="s">
        <v>211</v>
      </c>
      <c r="B109" s="45">
        <f t="shared" si="0"/>
        <v>3.0816527717192344E-4</v>
      </c>
      <c r="C109" s="45">
        <f>ROUND(C50,C$56)-C50</f>
        <v>4.4294137315672999E-5</v>
      </c>
      <c r="D109" s="45">
        <f>ROUND(D50,D$56)-D50</f>
        <v>-2.9339976753299177E-4</v>
      </c>
      <c r="E109" s="45">
        <f t="shared" si="4"/>
        <v>1.6929072298950132E-3</v>
      </c>
      <c r="F109" s="10"/>
      <c r="G109" s="10"/>
      <c r="H109" s="45">
        <f>ROUND(H50,H$56)-H50</f>
        <v>-1.1032845107354639E-4</v>
      </c>
      <c r="I109" s="17"/>
    </row>
    <row r="110" spans="1:9" x14ac:dyDescent="0.25">
      <c r="A110" s="4" t="s">
        <v>212</v>
      </c>
      <c r="B110" s="45">
        <f t="shared" si="0"/>
        <v>3.0816527717192344E-4</v>
      </c>
      <c r="C110" s="45">
        <f>ROUND(C51,C$56)-C51</f>
        <v>4.4294137315672999E-5</v>
      </c>
      <c r="D110" s="45">
        <f>ROUND(D51,D$56)-D51</f>
        <v>-2.9339976753299177E-4</v>
      </c>
      <c r="E110" s="45">
        <f t="shared" si="4"/>
        <v>1.6929072298950132E-3</v>
      </c>
      <c r="F110" s="10"/>
      <c r="G110" s="10"/>
      <c r="H110" s="10"/>
      <c r="I110" s="17"/>
    </row>
    <row r="112" spans="1:9" ht="21" customHeight="1" x14ac:dyDescent="0.3">
      <c r="A112" s="1" t="s">
        <v>1411</v>
      </c>
    </row>
    <row r="113" spans="1:8" x14ac:dyDescent="0.25">
      <c r="A113" s="2" t="s">
        <v>381</v>
      </c>
    </row>
    <row r="114" spans="1:8" x14ac:dyDescent="0.25">
      <c r="A114" s="32" t="s">
        <v>1390</v>
      </c>
    </row>
    <row r="115" spans="1:8" x14ac:dyDescent="0.25">
      <c r="A115" s="32" t="s">
        <v>1412</v>
      </c>
    </row>
    <row r="116" spans="1:8" x14ac:dyDescent="0.25">
      <c r="A116" s="32" t="s">
        <v>1392</v>
      </c>
    </row>
    <row r="117" spans="1:8" x14ac:dyDescent="0.25">
      <c r="A117" s="32" t="s">
        <v>1413</v>
      </c>
    </row>
    <row r="118" spans="1:8" x14ac:dyDescent="0.25">
      <c r="A118" s="32" t="s">
        <v>1394</v>
      </c>
    </row>
    <row r="119" spans="1:8" x14ac:dyDescent="0.25">
      <c r="A119" s="32" t="s">
        <v>1414</v>
      </c>
    </row>
    <row r="120" spans="1:8" x14ac:dyDescent="0.25">
      <c r="A120" s="32" t="s">
        <v>1396</v>
      </c>
    </row>
    <row r="121" spans="1:8" x14ac:dyDescent="0.25">
      <c r="A121" s="32" t="s">
        <v>1415</v>
      </c>
    </row>
    <row r="122" spans="1:8" x14ac:dyDescent="0.25">
      <c r="A122" s="32" t="s">
        <v>1398</v>
      </c>
    </row>
    <row r="123" spans="1:8" x14ac:dyDescent="0.25">
      <c r="A123" s="32" t="s">
        <v>1416</v>
      </c>
    </row>
    <row r="124" spans="1:8" x14ac:dyDescent="0.25">
      <c r="A124" s="32" t="s">
        <v>1400</v>
      </c>
    </row>
    <row r="125" spans="1:8" x14ac:dyDescent="0.25">
      <c r="A125" s="32" t="s">
        <v>1417</v>
      </c>
    </row>
    <row r="126" spans="1:8" x14ac:dyDescent="0.25">
      <c r="A126" s="32" t="s">
        <v>1402</v>
      </c>
    </row>
    <row r="127" spans="1:8" x14ac:dyDescent="0.25">
      <c r="A127" s="32" t="s">
        <v>1418</v>
      </c>
    </row>
    <row r="128" spans="1:8" x14ac:dyDescent="0.25">
      <c r="A128" s="33" t="s">
        <v>384</v>
      </c>
      <c r="B128" s="33" t="s">
        <v>514</v>
      </c>
      <c r="C128" s="33" t="s">
        <v>514</v>
      </c>
      <c r="D128" s="33" t="s">
        <v>514</v>
      </c>
      <c r="E128" s="33" t="s">
        <v>514</v>
      </c>
      <c r="F128" s="33" t="s">
        <v>514</v>
      </c>
      <c r="G128" s="33" t="s">
        <v>514</v>
      </c>
      <c r="H128" s="33" t="s">
        <v>514</v>
      </c>
    </row>
    <row r="129" spans="1:9" x14ac:dyDescent="0.25">
      <c r="A129" s="33" t="s">
        <v>387</v>
      </c>
      <c r="B129" s="33" t="s">
        <v>1374</v>
      </c>
      <c r="C129" s="33" t="s">
        <v>1375</v>
      </c>
      <c r="D129" s="33" t="s">
        <v>1376</v>
      </c>
      <c r="E129" s="33" t="s">
        <v>1419</v>
      </c>
      <c r="F129" s="33" t="s">
        <v>1420</v>
      </c>
      <c r="G129" s="33" t="s">
        <v>1421</v>
      </c>
      <c r="H129" s="33" t="s">
        <v>1422</v>
      </c>
    </row>
    <row r="131" spans="1:9" ht="30" x14ac:dyDescent="0.25">
      <c r="B131" s="15" t="s">
        <v>1381</v>
      </c>
      <c r="C131" s="15" t="s">
        <v>1382</v>
      </c>
      <c r="D131" s="15" t="s">
        <v>1383</v>
      </c>
      <c r="E131" s="15" t="s">
        <v>1384</v>
      </c>
      <c r="F131" s="15" t="s">
        <v>1385</v>
      </c>
      <c r="G131" s="15" t="s">
        <v>1386</v>
      </c>
      <c r="H131" s="15" t="s">
        <v>1138</v>
      </c>
    </row>
    <row r="132" spans="1:9" x14ac:dyDescent="0.25">
      <c r="A132" s="4" t="s">
        <v>182</v>
      </c>
      <c r="B132" s="37">
        <f t="shared" ref="B132:B164" si="5">B19+B78</f>
        <v>2.7509999999999999</v>
      </c>
      <c r="C132" s="10"/>
      <c r="D132" s="10"/>
      <c r="E132" s="46">
        <f>E19+E78</f>
        <v>5.0199999999999996</v>
      </c>
      <c r="F132" s="10"/>
      <c r="G132" s="10"/>
      <c r="H132" s="10"/>
      <c r="I132" s="17"/>
    </row>
    <row r="133" spans="1:9" x14ac:dyDescent="0.25">
      <c r="A133" s="4" t="s">
        <v>183</v>
      </c>
      <c r="B133" s="37">
        <f t="shared" si="5"/>
        <v>3.0139999999999998</v>
      </c>
      <c r="C133" s="37">
        <f>C20+C79</f>
        <v>1.425</v>
      </c>
      <c r="D133" s="10"/>
      <c r="E133" s="46">
        <f>E20+E79</f>
        <v>5.0199999999999996</v>
      </c>
      <c r="F133" s="10"/>
      <c r="G133" s="10"/>
      <c r="H133" s="10"/>
      <c r="I133" s="17"/>
    </row>
    <row r="134" spans="1:9" x14ac:dyDescent="0.25">
      <c r="A134" s="4" t="s">
        <v>228</v>
      </c>
      <c r="B134" s="37">
        <f t="shared" si="5"/>
        <v>1.4259999999999999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184</v>
      </c>
      <c r="B135" s="37">
        <f t="shared" si="5"/>
        <v>2.5299999999999998</v>
      </c>
      <c r="C135" s="10"/>
      <c r="D135" s="10"/>
      <c r="E135" s="46">
        <f>E22+E81</f>
        <v>9.3800000000000008</v>
      </c>
      <c r="F135" s="10"/>
      <c r="G135" s="10"/>
      <c r="H135" s="10"/>
      <c r="I135" s="17"/>
    </row>
    <row r="136" spans="1:9" x14ac:dyDescent="0.25">
      <c r="A136" s="4" t="s">
        <v>185</v>
      </c>
      <c r="B136" s="37">
        <f t="shared" si="5"/>
        <v>2.702</v>
      </c>
      <c r="C136" s="37">
        <f>C23+C82</f>
        <v>1.425</v>
      </c>
      <c r="D136" s="10"/>
      <c r="E136" s="46">
        <f>E23+E82</f>
        <v>9.3800000000000008</v>
      </c>
      <c r="F136" s="10"/>
      <c r="G136" s="10"/>
      <c r="H136" s="10"/>
      <c r="I136" s="17"/>
    </row>
    <row r="137" spans="1:9" x14ac:dyDescent="0.25">
      <c r="A137" s="4" t="s">
        <v>229</v>
      </c>
      <c r="B137" s="37">
        <f t="shared" si="5"/>
        <v>1.4339999999999999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186</v>
      </c>
      <c r="B138" s="37">
        <f t="shared" si="5"/>
        <v>2.5649999999999999</v>
      </c>
      <c r="C138" s="37">
        <f t="shared" ref="C138:C145" si="6">C25+C84</f>
        <v>1.405</v>
      </c>
      <c r="D138" s="10"/>
      <c r="E138" s="46">
        <f t="shared" ref="E138:E145" si="7">E25+E84</f>
        <v>23.47</v>
      </c>
      <c r="F138" s="10"/>
      <c r="G138" s="10"/>
      <c r="H138" s="10"/>
      <c r="I138" s="17"/>
    </row>
    <row r="139" spans="1:9" x14ac:dyDescent="0.25">
      <c r="A139" s="4" t="s">
        <v>187</v>
      </c>
      <c r="B139" s="37">
        <f t="shared" si="5"/>
        <v>2.4140000000000001</v>
      </c>
      <c r="C139" s="37">
        <f t="shared" si="6"/>
        <v>1.3919999999999999</v>
      </c>
      <c r="D139" s="10"/>
      <c r="E139" s="46">
        <f t="shared" si="7"/>
        <v>21.41</v>
      </c>
      <c r="F139" s="10"/>
      <c r="G139" s="10"/>
      <c r="H139" s="10"/>
      <c r="I139" s="17"/>
    </row>
    <row r="140" spans="1:9" x14ac:dyDescent="0.25">
      <c r="A140" s="4" t="s">
        <v>207</v>
      </c>
      <c r="B140" s="37">
        <f t="shared" si="5"/>
        <v>2.028</v>
      </c>
      <c r="C140" s="37">
        <f t="shared" si="6"/>
        <v>1.3520000000000001</v>
      </c>
      <c r="D140" s="10"/>
      <c r="E140" s="46">
        <f t="shared" si="7"/>
        <v>143.55000000000001</v>
      </c>
      <c r="F140" s="10"/>
      <c r="G140" s="10"/>
      <c r="H140" s="10"/>
      <c r="I140" s="17"/>
    </row>
    <row r="141" spans="1:9" x14ac:dyDescent="0.25">
      <c r="A141" s="4" t="s">
        <v>188</v>
      </c>
      <c r="B141" s="37">
        <f t="shared" si="5"/>
        <v>14.425000000000001</v>
      </c>
      <c r="C141" s="37">
        <f t="shared" si="6"/>
        <v>1.806</v>
      </c>
      <c r="D141" s="37">
        <f>D28+D87</f>
        <v>1.417</v>
      </c>
      <c r="E141" s="46">
        <f t="shared" si="7"/>
        <v>5.0199999999999996</v>
      </c>
      <c r="F141" s="10"/>
      <c r="G141" s="10"/>
      <c r="H141" s="10"/>
      <c r="I141" s="17"/>
    </row>
    <row r="142" spans="1:9" x14ac:dyDescent="0.25">
      <c r="A142" s="4" t="s">
        <v>189</v>
      </c>
      <c r="B142" s="37">
        <f t="shared" si="5"/>
        <v>14.941000000000001</v>
      </c>
      <c r="C142" s="37">
        <f t="shared" si="6"/>
        <v>1.825</v>
      </c>
      <c r="D142" s="37">
        <f>D29+D88</f>
        <v>1.421</v>
      </c>
      <c r="E142" s="46">
        <f t="shared" si="7"/>
        <v>9.3800000000000008</v>
      </c>
      <c r="F142" s="10"/>
      <c r="G142" s="10"/>
      <c r="H142" s="10"/>
      <c r="I142" s="17"/>
    </row>
    <row r="143" spans="1:9" x14ac:dyDescent="0.25">
      <c r="A143" s="4" t="s">
        <v>190</v>
      </c>
      <c r="B143" s="37">
        <f t="shared" si="5"/>
        <v>10.446</v>
      </c>
      <c r="C143" s="37">
        <f t="shared" si="6"/>
        <v>1.619</v>
      </c>
      <c r="D143" s="37">
        <f>D30+D89</f>
        <v>1.381</v>
      </c>
      <c r="E143" s="46">
        <f t="shared" si="7"/>
        <v>12</v>
      </c>
      <c r="F143" s="46">
        <f t="shared" ref="F143:H145" si="8">F30+F89</f>
        <v>3.29</v>
      </c>
      <c r="G143" s="46">
        <f t="shared" si="8"/>
        <v>7.28</v>
      </c>
      <c r="H143" s="37">
        <f t="shared" si="8"/>
        <v>0.15</v>
      </c>
      <c r="I143" s="17"/>
    </row>
    <row r="144" spans="1:9" x14ac:dyDescent="0.25">
      <c r="A144" s="4" t="s">
        <v>191</v>
      </c>
      <c r="B144" s="37">
        <f t="shared" si="5"/>
        <v>8.4489999999999998</v>
      </c>
      <c r="C144" s="37">
        <f t="shared" si="6"/>
        <v>1.4910000000000001</v>
      </c>
      <c r="D144" s="37">
        <f>D31+D90</f>
        <v>1.359</v>
      </c>
      <c r="E144" s="46">
        <f t="shared" si="7"/>
        <v>9.3699999999999992</v>
      </c>
      <c r="F144" s="46">
        <f t="shared" si="8"/>
        <v>3.36</v>
      </c>
      <c r="G144" s="46">
        <f t="shared" si="8"/>
        <v>6.73</v>
      </c>
      <c r="H144" s="37">
        <f t="shared" si="8"/>
        <v>0.104</v>
      </c>
      <c r="I144" s="17"/>
    </row>
    <row r="145" spans="1:9" x14ac:dyDescent="0.25">
      <c r="A145" s="4" t="s">
        <v>208</v>
      </c>
      <c r="B145" s="37">
        <f t="shared" si="5"/>
        <v>6.726</v>
      </c>
      <c r="C145" s="37">
        <f t="shared" si="6"/>
        <v>1.407</v>
      </c>
      <c r="D145" s="37">
        <f>D32+D91</f>
        <v>1.343</v>
      </c>
      <c r="E145" s="46">
        <f t="shared" si="7"/>
        <v>101.16</v>
      </c>
      <c r="F145" s="46">
        <f t="shared" si="8"/>
        <v>2.82</v>
      </c>
      <c r="G145" s="46">
        <f t="shared" si="8"/>
        <v>6.7</v>
      </c>
      <c r="H145" s="37">
        <f t="shared" si="8"/>
        <v>7.1999999999999995E-2</v>
      </c>
      <c r="I145" s="17"/>
    </row>
    <row r="146" spans="1:9" x14ac:dyDescent="0.25">
      <c r="A146" s="4" t="s">
        <v>230</v>
      </c>
      <c r="B146" s="37">
        <f t="shared" si="5"/>
        <v>3.15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231</v>
      </c>
      <c r="B147" s="37">
        <f t="shared" si="5"/>
        <v>3.488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232</v>
      </c>
      <c r="B148" s="37">
        <f t="shared" si="5"/>
        <v>4.3949999999999996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233</v>
      </c>
      <c r="B149" s="37">
        <f t="shared" si="5"/>
        <v>2.823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234</v>
      </c>
      <c r="B150" s="37">
        <f t="shared" si="5"/>
        <v>34.975000000000001</v>
      </c>
      <c r="C150" s="37">
        <f>C37+C96</f>
        <v>2.9209999999999998</v>
      </c>
      <c r="D150" s="37">
        <f>D37+D96</f>
        <v>2.3279999999999998</v>
      </c>
      <c r="E150" s="10"/>
      <c r="F150" s="10"/>
      <c r="G150" s="10"/>
      <c r="H150" s="10"/>
      <c r="I150" s="17"/>
    </row>
    <row r="151" spans="1:9" x14ac:dyDescent="0.25">
      <c r="A151" s="4" t="s">
        <v>192</v>
      </c>
      <c r="B151" s="37">
        <f t="shared" si="5"/>
        <v>-0.69299999999999995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193</v>
      </c>
      <c r="B152" s="37">
        <f t="shared" si="5"/>
        <v>-0.625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194</v>
      </c>
      <c r="B153" s="37">
        <f t="shared" si="5"/>
        <v>-0.69299999999999995</v>
      </c>
      <c r="C153" s="10"/>
      <c r="D153" s="10"/>
      <c r="E153" s="46">
        <f t="shared" si="9"/>
        <v>0</v>
      </c>
      <c r="F153" s="10"/>
      <c r="G153" s="10"/>
      <c r="H153" s="37">
        <f>H40+H99</f>
        <v>0.152</v>
      </c>
      <c r="I153" s="17"/>
    </row>
    <row r="154" spans="1:9" x14ac:dyDescent="0.25">
      <c r="A154" s="4" t="s">
        <v>195</v>
      </c>
      <c r="B154" s="37">
        <f t="shared" si="5"/>
        <v>-0.69299999999999995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196</v>
      </c>
      <c r="B155" s="37">
        <f t="shared" si="5"/>
        <v>-8.8439999999999994</v>
      </c>
      <c r="C155" s="37">
        <f>C42+C101</f>
        <v>-0.32800000000000001</v>
      </c>
      <c r="D155" s="37">
        <f>D42+D101</f>
        <v>-6.6000000000000003E-2</v>
      </c>
      <c r="E155" s="46">
        <f t="shared" si="9"/>
        <v>0</v>
      </c>
      <c r="F155" s="10"/>
      <c r="G155" s="10"/>
      <c r="H155" s="37">
        <f>H42+H101</f>
        <v>0.152</v>
      </c>
      <c r="I155" s="17"/>
    </row>
    <row r="156" spans="1:9" x14ac:dyDescent="0.25">
      <c r="A156" s="4" t="s">
        <v>197</v>
      </c>
      <c r="B156" s="37">
        <f t="shared" si="5"/>
        <v>-8.8439999999999994</v>
      </c>
      <c r="C156" s="37">
        <f>C43+C102</f>
        <v>-0.32800000000000001</v>
      </c>
      <c r="D156" s="37">
        <f>D43+D102</f>
        <v>-6.6000000000000003E-2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198</v>
      </c>
      <c r="B157" s="37">
        <f t="shared" si="5"/>
        <v>-0.625</v>
      </c>
      <c r="C157" s="10"/>
      <c r="D157" s="10"/>
      <c r="E157" s="46">
        <f t="shared" si="9"/>
        <v>0</v>
      </c>
      <c r="F157" s="10"/>
      <c r="G157" s="10"/>
      <c r="H157" s="37">
        <f>H44+H103</f>
        <v>0.125</v>
      </c>
      <c r="I157" s="17"/>
    </row>
    <row r="158" spans="1:9" x14ac:dyDescent="0.25">
      <c r="A158" s="4" t="s">
        <v>199</v>
      </c>
      <c r="B158" s="37">
        <f t="shared" si="5"/>
        <v>-0.625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200</v>
      </c>
      <c r="B159" s="37">
        <f t="shared" si="5"/>
        <v>-8.1080000000000005</v>
      </c>
      <c r="C159" s="37">
        <f>C46+C105</f>
        <v>-0.27900000000000003</v>
      </c>
      <c r="D159" s="37">
        <f>D46+D105</f>
        <v>-5.7000000000000002E-2</v>
      </c>
      <c r="E159" s="46">
        <f t="shared" si="9"/>
        <v>0</v>
      </c>
      <c r="F159" s="10"/>
      <c r="G159" s="10"/>
      <c r="H159" s="37">
        <f>H46+H105</f>
        <v>0.125</v>
      </c>
      <c r="I159" s="17"/>
    </row>
    <row r="160" spans="1:9" x14ac:dyDescent="0.25">
      <c r="A160" s="4" t="s">
        <v>201</v>
      </c>
      <c r="B160" s="37">
        <f t="shared" si="5"/>
        <v>-8.1080000000000005</v>
      </c>
      <c r="C160" s="37">
        <f>C47+C106</f>
        <v>-0.27900000000000003</v>
      </c>
      <c r="D160" s="37">
        <f>D47+D106</f>
        <v>-5.7000000000000002E-2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209</v>
      </c>
      <c r="B161" s="37">
        <f t="shared" si="5"/>
        <v>-0.39400000000000002</v>
      </c>
      <c r="C161" s="10"/>
      <c r="D161" s="10"/>
      <c r="E161" s="46">
        <f t="shared" si="9"/>
        <v>41.59</v>
      </c>
      <c r="F161" s="10"/>
      <c r="G161" s="10"/>
      <c r="H161" s="37">
        <f>H48+H107</f>
        <v>9.6000000000000002E-2</v>
      </c>
      <c r="I161" s="17"/>
    </row>
    <row r="162" spans="1:9" x14ac:dyDescent="0.25">
      <c r="A162" s="4" t="s">
        <v>210</v>
      </c>
      <c r="B162" s="37">
        <f t="shared" si="5"/>
        <v>-0.39400000000000002</v>
      </c>
      <c r="C162" s="10"/>
      <c r="D162" s="10"/>
      <c r="E162" s="46">
        <f t="shared" si="9"/>
        <v>41.59</v>
      </c>
      <c r="F162" s="10"/>
      <c r="G162" s="10"/>
      <c r="H162" s="10"/>
      <c r="I162" s="17"/>
    </row>
    <row r="163" spans="1:9" x14ac:dyDescent="0.25">
      <c r="A163" s="4" t="s">
        <v>211</v>
      </c>
      <c r="B163" s="37">
        <f t="shared" si="5"/>
        <v>-5.585</v>
      </c>
      <c r="C163" s="37">
        <f>C50+C109</f>
        <v>-0.11600000000000001</v>
      </c>
      <c r="D163" s="37">
        <f>D50+D109</f>
        <v>-2.8000000000000001E-2</v>
      </c>
      <c r="E163" s="46">
        <f t="shared" si="9"/>
        <v>41.59</v>
      </c>
      <c r="F163" s="10"/>
      <c r="G163" s="10"/>
      <c r="H163" s="37">
        <f>H50+H109</f>
        <v>9.6000000000000002E-2</v>
      </c>
      <c r="I163" s="17"/>
    </row>
    <row r="164" spans="1:9" x14ac:dyDescent="0.25">
      <c r="A164" s="4" t="s">
        <v>212</v>
      </c>
      <c r="B164" s="37">
        <f t="shared" si="5"/>
        <v>-5.585</v>
      </c>
      <c r="C164" s="37">
        <f>C51+C110</f>
        <v>-0.11600000000000001</v>
      </c>
      <c r="D164" s="37">
        <f>D51+D110</f>
        <v>-2.8000000000000001E-2</v>
      </c>
      <c r="E164" s="46">
        <f t="shared" si="9"/>
        <v>41.59</v>
      </c>
      <c r="F164" s="10"/>
      <c r="G164" s="10"/>
      <c r="H164" s="10"/>
      <c r="I164" s="17"/>
    </row>
    <row r="166" spans="1:9" ht="21" customHeight="1" x14ac:dyDescent="0.3">
      <c r="A166" s="1" t="s">
        <v>1423</v>
      </c>
    </row>
    <row r="167" spans="1:9" x14ac:dyDescent="0.25">
      <c r="A167" s="2" t="s">
        <v>381</v>
      </c>
    </row>
    <row r="168" spans="1:9" x14ac:dyDescent="0.25">
      <c r="A168" s="32" t="s">
        <v>510</v>
      </c>
    </row>
    <row r="169" spans="1:9" x14ac:dyDescent="0.25">
      <c r="A169" s="32" t="s">
        <v>1424</v>
      </c>
    </row>
    <row r="170" spans="1:9" x14ac:dyDescent="0.25">
      <c r="A170" s="32" t="s">
        <v>1141</v>
      </c>
    </row>
    <row r="171" spans="1:9" x14ac:dyDescent="0.25">
      <c r="A171" s="32" t="s">
        <v>1425</v>
      </c>
    </row>
    <row r="172" spans="1:9" x14ac:dyDescent="0.25">
      <c r="A172" s="32" t="s">
        <v>1143</v>
      </c>
    </row>
    <row r="173" spans="1:9" x14ac:dyDescent="0.25">
      <c r="A173" s="32" t="s">
        <v>1426</v>
      </c>
    </row>
    <row r="174" spans="1:9" x14ac:dyDescent="0.25">
      <c r="A174" s="32" t="s">
        <v>1145</v>
      </c>
    </row>
    <row r="175" spans="1:9" x14ac:dyDescent="0.25">
      <c r="A175" s="32" t="s">
        <v>1427</v>
      </c>
    </row>
    <row r="176" spans="1:9" x14ac:dyDescent="0.25">
      <c r="A176" s="32" t="s">
        <v>1147</v>
      </c>
    </row>
    <row r="177" spans="1:3" x14ac:dyDescent="0.25">
      <c r="A177" s="32" t="s">
        <v>1428</v>
      </c>
    </row>
    <row r="178" spans="1:3" x14ac:dyDescent="0.25">
      <c r="A178" s="32" t="s">
        <v>1149</v>
      </c>
    </row>
    <row r="179" spans="1:3" x14ac:dyDescent="0.25">
      <c r="A179" s="32" t="s">
        <v>1429</v>
      </c>
    </row>
    <row r="180" spans="1:3" x14ac:dyDescent="0.25">
      <c r="A180" s="32" t="s">
        <v>1151</v>
      </c>
    </row>
    <row r="181" spans="1:3" x14ac:dyDescent="0.25">
      <c r="A181" s="32" t="s">
        <v>1418</v>
      </c>
    </row>
    <row r="182" spans="1:3" x14ac:dyDescent="0.25">
      <c r="A182" s="32" t="s">
        <v>1153</v>
      </c>
    </row>
    <row r="183" spans="1:3" x14ac:dyDescent="0.25">
      <c r="A183" s="2" t="s">
        <v>1154</v>
      </c>
    </row>
    <row r="185" spans="1:3" ht="30" x14ac:dyDescent="0.25">
      <c r="B185" s="15" t="s">
        <v>1430</v>
      </c>
    </row>
    <row r="186" spans="1:3" x14ac:dyDescent="0.25">
      <c r="A186" s="4" t="s">
        <v>182</v>
      </c>
      <c r="B186" s="42">
        <f>0.01*Input!F$60*($E78*Loads!E334+$F78*Loads!F334+$G78*Loads!G334)+10*($B78*Loads!B334+$C78*Loads!C334+$D78*Loads!D334+$H78*Loads!H334)</f>
        <v>-880.34351541686556</v>
      </c>
      <c r="C186" s="17"/>
    </row>
    <row r="187" spans="1:3" x14ac:dyDescent="0.25">
      <c r="A187" s="4" t="s">
        <v>183</v>
      </c>
      <c r="B187" s="42">
        <f>0.01*Input!F$60*($E79*Loads!E335+$F79*Loads!F335+$G79*Loads!G335)+10*($B79*Loads!B335+$C79*Loads!C335+$D79*Loads!D335+$H79*Loads!H335)</f>
        <v>514.25617622359505</v>
      </c>
      <c r="C187" s="17"/>
    </row>
    <row r="188" spans="1:3" x14ac:dyDescent="0.25">
      <c r="A188" s="4" t="s">
        <v>228</v>
      </c>
      <c r="B188" s="42">
        <f>0.01*Input!F$60*($E80*Loads!E336+$F80*Loads!F336+$G80*Loads!G336)+10*($B80*Loads!B336+$C80*Loads!C336+$D80*Loads!D336+$H80*Loads!H336)</f>
        <v>144.18006708546301</v>
      </c>
      <c r="C188" s="17"/>
    </row>
    <row r="189" spans="1:3" x14ac:dyDescent="0.25">
      <c r="A189" s="4" t="s">
        <v>184</v>
      </c>
      <c r="B189" s="42">
        <f>0.01*Input!F$60*($E81*Loads!E337+$F81*Loads!F337+$G81*Loads!G337)+10*($B81*Loads!B337+$C81*Loads!C337+$D81*Loads!D337+$H81*Loads!H337)</f>
        <v>-2744.6994370690195</v>
      </c>
      <c r="C189" s="17"/>
    </row>
    <row r="190" spans="1:3" x14ac:dyDescent="0.25">
      <c r="A190" s="4" t="s">
        <v>185</v>
      </c>
      <c r="B190" s="42">
        <f>0.01*Input!F$60*($E82*Loads!E338+$F82*Loads!F338+$G82*Loads!G338)+10*($B82*Loads!B338+$C82*Loads!C338+$D82*Loads!D338+$H82*Loads!H338)</f>
        <v>501.10116295678597</v>
      </c>
      <c r="C190" s="17"/>
    </row>
    <row r="191" spans="1:3" x14ac:dyDescent="0.25">
      <c r="A191" s="4" t="s">
        <v>229</v>
      </c>
      <c r="B191" s="42">
        <f>0.01*Input!F$60*($E83*Loads!E339+$F83*Loads!F339+$G83*Loads!G339)+10*($B83*Loads!B339+$C83*Loads!C339+$D83*Loads!D339+$H83*Loads!H339)</f>
        <v>-19.583993544425972</v>
      </c>
      <c r="C191" s="17"/>
    </row>
    <row r="192" spans="1:3" x14ac:dyDescent="0.25">
      <c r="A192" s="4" t="s">
        <v>186</v>
      </c>
      <c r="B192" s="42">
        <f>0.01*Input!F$60*($E84*Loads!E340+$F84*Loads!F340+$G84*Loads!G340)+10*($B84*Loads!B340+$C84*Loads!C340+$D84*Loads!D340+$H84*Loads!H340)</f>
        <v>-41.356394783245122</v>
      </c>
      <c r="C192" s="17"/>
    </row>
    <row r="193" spans="1:3" x14ac:dyDescent="0.25">
      <c r="A193" s="4" t="s">
        <v>187</v>
      </c>
      <c r="B193" s="42">
        <f>0.01*Input!F$60*($E85*Loads!E341+$F85*Loads!F341+$G85*Loads!G341)+10*($B85*Loads!B341+$C85*Loads!C341+$D85*Loads!D341+$H85*Loads!H341)</f>
        <v>-29.353456270214487</v>
      </c>
      <c r="C193" s="17"/>
    </row>
    <row r="194" spans="1:3" x14ac:dyDescent="0.25">
      <c r="A194" s="4" t="s">
        <v>207</v>
      </c>
      <c r="B194" s="42">
        <f>0.01*Input!F$60*($E86*Loads!E342+$F86*Loads!F342+$G86*Loads!G342)+10*($B86*Loads!B342+$C86*Loads!C342+$D86*Loads!D342+$H86*Loads!H342)</f>
        <v>-0.23643696770435024</v>
      </c>
      <c r="C194" s="17"/>
    </row>
    <row r="195" spans="1:3" x14ac:dyDescent="0.25">
      <c r="A195" s="4" t="s">
        <v>188</v>
      </c>
      <c r="B195" s="42">
        <f>0.01*Input!F$60*($E87*Loads!E343+$F87*Loads!F343+$G87*Loads!G343)+10*($B87*Loads!B343+$C87*Loads!C343+$D87*Loads!D343+$H87*Loads!H343)</f>
        <v>-1.0128039134444746</v>
      </c>
      <c r="C195" s="17"/>
    </row>
    <row r="196" spans="1:3" x14ac:dyDescent="0.25">
      <c r="A196" s="4" t="s">
        <v>189</v>
      </c>
      <c r="B196" s="42">
        <f>0.01*Input!F$60*($E88*Loads!E344+$F88*Loads!F344+$G88*Loads!G344)+10*($B88*Loads!B344+$C88*Loads!C344+$D88*Loads!D344+$H88*Loads!H344)</f>
        <v>367.60192799144693</v>
      </c>
      <c r="C196" s="17"/>
    </row>
    <row r="197" spans="1:3" x14ac:dyDescent="0.25">
      <c r="A197" s="4" t="s">
        <v>190</v>
      </c>
      <c r="B197" s="42">
        <f>0.01*Input!F$60*($E89*Loads!E345+$F89*Loads!F345+$G89*Loads!G345)+10*($B89*Loads!B345+$C89*Loads!C345+$D89*Loads!D345+$H89*Loads!H345)</f>
        <v>12885.856676415893</v>
      </c>
      <c r="C197" s="17"/>
    </row>
    <row r="198" spans="1:3" x14ac:dyDescent="0.25">
      <c r="A198" s="4" t="s">
        <v>191</v>
      </c>
      <c r="B198" s="42">
        <f>0.01*Input!F$60*($E90*Loads!E346+$F90*Loads!F346+$G90*Loads!G346)+10*($B90*Loads!B346+$C90*Loads!C346+$D90*Loads!D346+$H90*Loads!H346)</f>
        <v>3865.5308225501435</v>
      </c>
      <c r="C198" s="17"/>
    </row>
    <row r="199" spans="1:3" x14ac:dyDescent="0.25">
      <c r="A199" s="4" t="s">
        <v>208</v>
      </c>
      <c r="B199" s="42">
        <f>0.01*Input!F$60*($E91*Loads!E347+$F91*Loads!F347+$G91*Loads!G347)+10*($B91*Loads!B347+$C91*Loads!C347+$D91*Loads!D347+$H91*Loads!H347)</f>
        <v>-238.19299240953205</v>
      </c>
      <c r="C199" s="17"/>
    </row>
    <row r="200" spans="1:3" x14ac:dyDescent="0.25">
      <c r="A200" s="4" t="s">
        <v>230</v>
      </c>
      <c r="B200" s="42">
        <f>0.01*Input!F$60*($E92*Loads!E348+$F92*Loads!F348+$G92*Loads!G348)+10*($B92*Loads!B348+$C92*Loads!C348+$D92*Loads!D348+$H92*Loads!H348)</f>
        <v>10.334316414489614</v>
      </c>
      <c r="C200" s="17"/>
    </row>
    <row r="201" spans="1:3" x14ac:dyDescent="0.25">
      <c r="A201" s="4" t="s">
        <v>231</v>
      </c>
      <c r="B201" s="42">
        <f>0.01*Input!F$60*($E93*Loads!E349+$F93*Loads!F349+$G93*Loads!G349)+10*($B93*Loads!B349+$C93*Loads!C349+$D93*Loads!D349+$H93*Loads!H349)</f>
        <v>-14.218603468952871</v>
      </c>
      <c r="C201" s="17"/>
    </row>
    <row r="202" spans="1:3" x14ac:dyDescent="0.25">
      <c r="A202" s="4" t="s">
        <v>232</v>
      </c>
      <c r="B202" s="42">
        <f>0.01*Input!F$60*($E94*Loads!E350+$F94*Loads!F350+$G94*Loads!G350)+10*($B94*Loads!B350+$C94*Loads!C350+$D94*Loads!D350+$H94*Loads!H350)</f>
        <v>-1.7047457156799293</v>
      </c>
      <c r="C202" s="17"/>
    </row>
    <row r="203" spans="1:3" x14ac:dyDescent="0.25">
      <c r="A203" s="4" t="s">
        <v>233</v>
      </c>
      <c r="B203" s="42">
        <f>0.01*Input!F$60*($E95*Loads!E351+$F95*Loads!F351+$G95*Loads!G351)+10*($B95*Loads!B351+$C95*Loads!C351+$D95*Loads!D351+$H95*Loads!H351)</f>
        <v>0</v>
      </c>
      <c r="C203" s="17"/>
    </row>
    <row r="204" spans="1:3" x14ac:dyDescent="0.25">
      <c r="A204" s="4" t="s">
        <v>234</v>
      </c>
      <c r="B204" s="42">
        <f>0.01*Input!F$60*($E96*Loads!E352+$F96*Loads!F352+$G96*Loads!G352)+10*($B96*Loads!B352+$C96*Loads!C352+$D96*Loads!D352+$H96*Loads!H352)</f>
        <v>-23.314545932242076</v>
      </c>
      <c r="C204" s="17"/>
    </row>
    <row r="205" spans="1:3" x14ac:dyDescent="0.25">
      <c r="A205" s="4" t="s">
        <v>192</v>
      </c>
      <c r="B205" s="42">
        <f>0.01*Input!F$60*($E97*Loads!E353+$F97*Loads!F353+$G97*Loads!G353)+10*($B97*Loads!B353+$C97*Loads!C353+$D97*Loads!D353+$H97*Loads!H353)</f>
        <v>-13.114926434394686</v>
      </c>
      <c r="C205" s="17"/>
    </row>
    <row r="206" spans="1:3" x14ac:dyDescent="0.25">
      <c r="A206" s="4" t="s">
        <v>193</v>
      </c>
      <c r="B206" s="42">
        <f>0.01*Input!F$60*($E98*Loads!E354+$F98*Loads!F354+$G98*Loads!G354)+10*($B98*Loads!B354+$C98*Loads!C354+$D98*Loads!D354+$H98*Loads!H354)</f>
        <v>0</v>
      </c>
      <c r="C206" s="17"/>
    </row>
    <row r="207" spans="1:3" x14ac:dyDescent="0.25">
      <c r="A207" s="4" t="s">
        <v>194</v>
      </c>
      <c r="B207" s="42">
        <f>0.01*Input!F$60*($E99*Loads!E355+$F99*Loads!F355+$G99*Loads!G355)+10*($B99*Loads!B355+$C99*Loads!C355+$D99*Loads!D355+$H99*Loads!H355)</f>
        <v>-265.54916421567395</v>
      </c>
      <c r="C207" s="17"/>
    </row>
    <row r="208" spans="1:3" x14ac:dyDescent="0.25">
      <c r="A208" s="4" t="s">
        <v>195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196</v>
      </c>
      <c r="B209" s="42">
        <f>0.01*Input!F$60*($E101*Loads!E357+$F101*Loads!F357+$G101*Loads!G357)+10*($B101*Loads!B357+$C101*Loads!C357+$D101*Loads!D357+$H101*Loads!H357)</f>
        <v>-4.7003934253905717</v>
      </c>
      <c r="C209" s="17"/>
    </row>
    <row r="210" spans="1:3" x14ac:dyDescent="0.25">
      <c r="A210" s="4" t="s">
        <v>197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198</v>
      </c>
      <c r="B211" s="42">
        <f>0.01*Input!F$60*($E103*Loads!E359+$F103*Loads!F359+$G103*Loads!G359)+10*($B103*Loads!B359+$C103*Loads!C359+$D103*Loads!D359+$H103*Loads!H359)</f>
        <v>-19.206928969790809</v>
      </c>
      <c r="C211" s="17"/>
    </row>
    <row r="212" spans="1:3" x14ac:dyDescent="0.25">
      <c r="A212" s="4" t="s">
        <v>199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200</v>
      </c>
      <c r="B213" s="42">
        <f>0.01*Input!F$60*($E105*Loads!E361+$F105*Loads!F361+$G105*Loads!G361)+10*($B105*Loads!B361+$C105*Loads!C361+$D105*Loads!D361+$H105*Loads!H361)</f>
        <v>8.2767914417181103</v>
      </c>
      <c r="C213" s="17"/>
    </row>
    <row r="214" spans="1:3" x14ac:dyDescent="0.25">
      <c r="A214" s="4" t="s">
        <v>201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209</v>
      </c>
      <c r="B215" s="42">
        <f>0.01*Input!F$60*($E107*Loads!E363+$F107*Loads!F363+$G107*Loads!G363)+10*($B107*Loads!B363+$C107*Loads!C363+$D107*Loads!D363+$H107*Loads!H363)</f>
        <v>-23.359556135338835</v>
      </c>
      <c r="C215" s="17"/>
    </row>
    <row r="216" spans="1:3" x14ac:dyDescent="0.25">
      <c r="A216" s="4" t="s">
        <v>210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211</v>
      </c>
      <c r="B217" s="42">
        <f>0.01*Input!F$60*($E109*Loads!E365+$F109*Loads!F365+$G109*Loads!G365)+10*($B109*Loads!B365+$C109*Loads!C365+$D109*Loads!D365+$H109*Loads!H365)</f>
        <v>-252.13099525086363</v>
      </c>
      <c r="C217" s="17"/>
    </row>
    <row r="218" spans="1:3" x14ac:dyDescent="0.25">
      <c r="A218" s="4" t="s">
        <v>212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1431</v>
      </c>
    </row>
    <row r="221" spans="1:3" x14ac:dyDescent="0.25">
      <c r="A221" s="2" t="s">
        <v>381</v>
      </c>
    </row>
    <row r="222" spans="1:3" x14ac:dyDescent="0.25">
      <c r="A222" s="32" t="s">
        <v>1432</v>
      </c>
    </row>
    <row r="223" spans="1:3" x14ac:dyDescent="0.25">
      <c r="A223" s="32" t="s">
        <v>1433</v>
      </c>
    </row>
    <row r="224" spans="1:3" x14ac:dyDescent="0.25">
      <c r="A224" s="32" t="s">
        <v>1434</v>
      </c>
    </row>
    <row r="225" spans="1:7" x14ac:dyDescent="0.25">
      <c r="A225" s="32" t="s">
        <v>1435</v>
      </c>
    </row>
    <row r="226" spans="1:7" x14ac:dyDescent="0.25">
      <c r="A226" s="32" t="s">
        <v>1436</v>
      </c>
    </row>
    <row r="227" spans="1:7" x14ac:dyDescent="0.25">
      <c r="A227" s="32" t="s">
        <v>1437</v>
      </c>
    </row>
    <row r="228" spans="1:7" x14ac:dyDescent="0.25">
      <c r="A228" s="32" t="s">
        <v>1438</v>
      </c>
    </row>
    <row r="229" spans="1:7" x14ac:dyDescent="0.25">
      <c r="A229" s="32" t="s">
        <v>1439</v>
      </c>
    </row>
    <row r="230" spans="1:7" x14ac:dyDescent="0.25">
      <c r="A230" s="33" t="s">
        <v>384</v>
      </c>
      <c r="B230" s="33" t="s">
        <v>443</v>
      </c>
      <c r="C230" s="33" t="s">
        <v>515</v>
      </c>
      <c r="D230" s="33" t="s">
        <v>515</v>
      </c>
      <c r="E230" s="33" t="s">
        <v>514</v>
      </c>
      <c r="F230" s="33" t="s">
        <v>514</v>
      </c>
    </row>
    <row r="231" spans="1:7" x14ac:dyDescent="0.25">
      <c r="A231" s="33" t="s">
        <v>387</v>
      </c>
      <c r="B231" s="33" t="s">
        <v>445</v>
      </c>
      <c r="C231" s="33" t="s">
        <v>569</v>
      </c>
      <c r="D231" s="33" t="s">
        <v>570</v>
      </c>
      <c r="E231" s="33" t="s">
        <v>1440</v>
      </c>
      <c r="F231" s="33" t="s">
        <v>1441</v>
      </c>
    </row>
    <row r="233" spans="1:7" ht="30" x14ac:dyDescent="0.25">
      <c r="B233" s="15" t="s">
        <v>1168</v>
      </c>
      <c r="C233" s="15" t="s">
        <v>1442</v>
      </c>
      <c r="D233" s="15" t="s">
        <v>1443</v>
      </c>
      <c r="E233" s="15" t="s">
        <v>1444</v>
      </c>
      <c r="F233" s="15" t="s">
        <v>1445</v>
      </c>
    </row>
    <row r="234" spans="1:7" x14ac:dyDescent="0.25">
      <c r="A234" s="4" t="s">
        <v>1446</v>
      </c>
      <c r="B234" s="42">
        <f>Revenue!B77</f>
        <v>180629870.39317656</v>
      </c>
      <c r="C234" s="42">
        <f>SUM(Adder!E$265:E$297)</f>
        <v>166134420.169866</v>
      </c>
      <c r="D234" s="42">
        <f>SUM(B$186:B$218)</f>
        <v>13725.059051156757</v>
      </c>
      <c r="E234" s="42">
        <f>B234+C234+D234</f>
        <v>346778015.62209368</v>
      </c>
      <c r="F234" s="42">
        <f>E234-Revenue!B$66</f>
        <v>13725.059051036835</v>
      </c>
      <c r="G234" s="17"/>
    </row>
    <row r="236" spans="1:7" ht="21" customHeight="1" x14ac:dyDescent="0.3">
      <c r="A236" s="1" t="s">
        <v>1447</v>
      </c>
    </row>
    <row r="237" spans="1:7" x14ac:dyDescent="0.25">
      <c r="A237" s="2" t="s">
        <v>381</v>
      </c>
    </row>
    <row r="238" spans="1:7" x14ac:dyDescent="0.25">
      <c r="A238" s="32" t="s">
        <v>1448</v>
      </c>
    </row>
    <row r="239" spans="1:7" x14ac:dyDescent="0.25">
      <c r="A239" s="32" t="s">
        <v>1449</v>
      </c>
    </row>
    <row r="240" spans="1:7" x14ac:dyDescent="0.25">
      <c r="A240" s="32" t="s">
        <v>1450</v>
      </c>
    </row>
    <row r="241" spans="1:9" x14ac:dyDescent="0.25">
      <c r="A241" s="32" t="s">
        <v>1451</v>
      </c>
    </row>
    <row r="242" spans="1:9" x14ac:dyDescent="0.25">
      <c r="A242" s="32" t="s">
        <v>1452</v>
      </c>
    </row>
    <row r="243" spans="1:9" x14ac:dyDescent="0.25">
      <c r="A243" s="32" t="s">
        <v>1453</v>
      </c>
    </row>
    <row r="244" spans="1:9" x14ac:dyDescent="0.25">
      <c r="A244" s="32" t="s">
        <v>1454</v>
      </c>
    </row>
    <row r="245" spans="1:9" x14ac:dyDescent="0.25">
      <c r="A245" s="32" t="s">
        <v>1455</v>
      </c>
    </row>
    <row r="246" spans="1:9" x14ac:dyDescent="0.25">
      <c r="A246" s="32" t="s">
        <v>1456</v>
      </c>
    </row>
    <row r="247" spans="1:9" x14ac:dyDescent="0.25">
      <c r="A247" s="33" t="s">
        <v>384</v>
      </c>
      <c r="B247" s="33" t="s">
        <v>514</v>
      </c>
      <c r="C247" s="33" t="s">
        <v>514</v>
      </c>
      <c r="D247" s="33" t="s">
        <v>514</v>
      </c>
      <c r="E247" s="33" t="s">
        <v>514</v>
      </c>
      <c r="F247" s="33" t="s">
        <v>514</v>
      </c>
      <c r="G247" s="33" t="s">
        <v>514</v>
      </c>
      <c r="H247" s="33" t="s">
        <v>514</v>
      </c>
    </row>
    <row r="248" spans="1:9" x14ac:dyDescent="0.25">
      <c r="A248" s="33" t="s">
        <v>387</v>
      </c>
      <c r="B248" s="33" t="s">
        <v>1457</v>
      </c>
      <c r="C248" s="33" t="s">
        <v>1458</v>
      </c>
      <c r="D248" s="33" t="s">
        <v>1459</v>
      </c>
      <c r="E248" s="33" t="s">
        <v>1460</v>
      </c>
      <c r="F248" s="33" t="s">
        <v>1461</v>
      </c>
      <c r="G248" s="33" t="s">
        <v>1462</v>
      </c>
      <c r="H248" s="33" t="s">
        <v>1463</v>
      </c>
    </row>
    <row r="250" spans="1:9" ht="30" x14ac:dyDescent="0.25">
      <c r="B250" s="15" t="s">
        <v>1381</v>
      </c>
      <c r="C250" s="15" t="s">
        <v>1382</v>
      </c>
      <c r="D250" s="15" t="s">
        <v>1383</v>
      </c>
      <c r="E250" s="15" t="s">
        <v>1384</v>
      </c>
      <c r="F250" s="15" t="s">
        <v>1385</v>
      </c>
      <c r="G250" s="15" t="s">
        <v>1386</v>
      </c>
      <c r="H250" s="15" t="s">
        <v>1138</v>
      </c>
    </row>
    <row r="251" spans="1:9" x14ac:dyDescent="0.25">
      <c r="A251" s="28" t="s">
        <v>246</v>
      </c>
      <c r="I251" s="17"/>
    </row>
    <row r="252" spans="1:9" x14ac:dyDescent="0.25">
      <c r="A252" s="4" t="s">
        <v>182</v>
      </c>
      <c r="B252" s="37">
        <f>ROUND(B$132*(1-Loads!$B212),3)</f>
        <v>2.7509999999999999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5.0199999999999996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247</v>
      </c>
      <c r="B253" s="37">
        <f>ROUND(B$132*(1-Loads!$B213),3)</f>
        <v>1.7190000000000001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3.14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248</v>
      </c>
      <c r="B254" s="37">
        <f>ROUND(B$132*(1-Loads!$B214),3)</f>
        <v>1.0569999999999999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1.93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249</v>
      </c>
      <c r="I255" s="17"/>
    </row>
    <row r="256" spans="1:9" x14ac:dyDescent="0.25">
      <c r="A256" s="4" t="s">
        <v>183</v>
      </c>
      <c r="B256" s="37">
        <f>ROUND(B$133*(1-Loads!$B216),3)</f>
        <v>3.0139999999999998</v>
      </c>
      <c r="C256" s="37">
        <f>ROUND(C$133*(1-Loads!$B216),3)</f>
        <v>1.425</v>
      </c>
      <c r="D256" s="37">
        <f>ROUND(D$133*(1-Loads!$B216),3)</f>
        <v>0</v>
      </c>
      <c r="E256" s="46">
        <f>ROUND(E$133*(1-Loads!$C216),2)</f>
        <v>5.0199999999999996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250</v>
      </c>
      <c r="B257" s="37">
        <f>ROUND(B$133*(1-Loads!$B217),3)</f>
        <v>1.883</v>
      </c>
      <c r="C257" s="37">
        <f>ROUND(C$133*(1-Loads!$B217),3)</f>
        <v>0.89</v>
      </c>
      <c r="D257" s="37">
        <f>ROUND(D$133*(1-Loads!$B217),3)</f>
        <v>0</v>
      </c>
      <c r="E257" s="46">
        <f>ROUND(E$133*(1-Loads!$C217),2)</f>
        <v>3.14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251</v>
      </c>
      <c r="B258" s="37">
        <f>ROUND(B$133*(1-Loads!$B218),3)</f>
        <v>1.1579999999999999</v>
      </c>
      <c r="C258" s="37">
        <f>ROUND(C$133*(1-Loads!$B218),3)</f>
        <v>0.54700000000000004</v>
      </c>
      <c r="D258" s="37">
        <f>ROUND(D$133*(1-Loads!$B218),3)</f>
        <v>0</v>
      </c>
      <c r="E258" s="46">
        <f>ROUND(E$133*(1-Loads!$C218),2)</f>
        <v>1.93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252</v>
      </c>
      <c r="I259" s="17"/>
    </row>
    <row r="260" spans="1:9" x14ac:dyDescent="0.25">
      <c r="A260" s="4" t="s">
        <v>228</v>
      </c>
      <c r="B260" s="37">
        <f>ROUND(B$134*(1-Loads!$B220),3)</f>
        <v>1.4259999999999999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253</v>
      </c>
      <c r="B261" s="37">
        <f>ROUND(B$134*(1-Loads!$B221),3)</f>
        <v>0.89100000000000001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254</v>
      </c>
      <c r="B262" s="37">
        <f>ROUND(B$134*(1-Loads!$B222),3)</f>
        <v>0.54800000000000004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255</v>
      </c>
      <c r="I263" s="17"/>
    </row>
    <row r="264" spans="1:9" x14ac:dyDescent="0.25">
      <c r="A264" s="4" t="s">
        <v>184</v>
      </c>
      <c r="B264" s="37">
        <f>ROUND(B$135*(1-Loads!$B224),3)</f>
        <v>2.5299999999999998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9.3800000000000008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256</v>
      </c>
      <c r="B265" s="37">
        <f>ROUND(B$135*(1-Loads!$B225),3)</f>
        <v>1.581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5.86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257</v>
      </c>
      <c r="B266" s="37">
        <f>ROUND(B$135*(1-Loads!$B226),3)</f>
        <v>0.97199999999999998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3.6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258</v>
      </c>
      <c r="I267" s="17"/>
    </row>
    <row r="268" spans="1:9" x14ac:dyDescent="0.25">
      <c r="A268" s="4" t="s">
        <v>185</v>
      </c>
      <c r="B268" s="37">
        <f>ROUND(B$136*(1-Loads!$B228),3)</f>
        <v>2.702</v>
      </c>
      <c r="C268" s="37">
        <f>ROUND(C$136*(1-Loads!$B228),3)</f>
        <v>1.425</v>
      </c>
      <c r="D268" s="37">
        <f>ROUND(D$136*(1-Loads!$B228),3)</f>
        <v>0</v>
      </c>
      <c r="E268" s="46">
        <f>ROUND(E$136*(1-Loads!$C228),2)</f>
        <v>9.3800000000000008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259</v>
      </c>
      <c r="B269" s="37">
        <f>ROUND(B$136*(1-Loads!$B229),3)</f>
        <v>1.6879999999999999</v>
      </c>
      <c r="C269" s="37">
        <f>ROUND(C$136*(1-Loads!$B229),3)</f>
        <v>0.89</v>
      </c>
      <c r="D269" s="37">
        <f>ROUND(D$136*(1-Loads!$B229),3)</f>
        <v>0</v>
      </c>
      <c r="E269" s="46">
        <f>ROUND(E$136*(1-Loads!$C229),2)</f>
        <v>5.86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260</v>
      </c>
      <c r="B270" s="37">
        <f>ROUND(B$136*(1-Loads!$B230),3)</f>
        <v>1.038</v>
      </c>
      <c r="C270" s="37">
        <f>ROUND(C$136*(1-Loads!$B230),3)</f>
        <v>0.54700000000000004</v>
      </c>
      <c r="D270" s="37">
        <f>ROUND(D$136*(1-Loads!$B230),3)</f>
        <v>0</v>
      </c>
      <c r="E270" s="46">
        <f>ROUND(E$136*(1-Loads!$C230),2)</f>
        <v>3.6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261</v>
      </c>
      <c r="I271" s="17"/>
    </row>
    <row r="272" spans="1:9" x14ac:dyDescent="0.25">
      <c r="A272" s="4" t="s">
        <v>229</v>
      </c>
      <c r="B272" s="37">
        <f>ROUND(B$137*(1-Loads!$B232),3)</f>
        <v>1.4339999999999999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262</v>
      </c>
      <c r="B273" s="37">
        <f>ROUND(B$137*(1-Loads!$B233),3)</f>
        <v>0.89600000000000002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263</v>
      </c>
      <c r="B274" s="37">
        <f>ROUND(B$137*(1-Loads!$B234),3)</f>
        <v>0.55100000000000005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264</v>
      </c>
      <c r="I275" s="17"/>
    </row>
    <row r="276" spans="1:9" x14ac:dyDescent="0.25">
      <c r="A276" s="4" t="s">
        <v>186</v>
      </c>
      <c r="B276" s="37">
        <f>ROUND(B$138*(1-Loads!$B236),3)</f>
        <v>2.5649999999999999</v>
      </c>
      <c r="C276" s="37">
        <f>ROUND(C$138*(1-Loads!$B236),3)</f>
        <v>1.405</v>
      </c>
      <c r="D276" s="37">
        <f>ROUND(D$138*(1-Loads!$B236),3)</f>
        <v>0</v>
      </c>
      <c r="E276" s="46">
        <f>ROUND(E$138*(1-Loads!$C236),2)</f>
        <v>23.47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265</v>
      </c>
      <c r="B277" s="37">
        <f>ROUND(B$138*(1-Loads!$B237),3)</f>
        <v>1.6020000000000001</v>
      </c>
      <c r="C277" s="37">
        <f>ROUND(C$138*(1-Loads!$B237),3)</f>
        <v>0.878</v>
      </c>
      <c r="D277" s="37">
        <f>ROUND(D$138*(1-Loads!$B237),3)</f>
        <v>0</v>
      </c>
      <c r="E277" s="46">
        <f>ROUND(E$138*(1-Loads!$C237),2)</f>
        <v>14.66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266</v>
      </c>
      <c r="B278" s="37">
        <f>ROUND(B$138*(1-Loads!$B238),3)</f>
        <v>0.98499999999999999</v>
      </c>
      <c r="C278" s="37">
        <f>ROUND(C$138*(1-Loads!$B238),3)</f>
        <v>0.54</v>
      </c>
      <c r="D278" s="37">
        <f>ROUND(D$138*(1-Loads!$B238),3)</f>
        <v>0</v>
      </c>
      <c r="E278" s="46">
        <f>ROUND(E$138*(1-Loads!$C238),2)</f>
        <v>9.02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267</v>
      </c>
      <c r="I279" s="17"/>
    </row>
    <row r="280" spans="1:9" x14ac:dyDescent="0.25">
      <c r="A280" s="4" t="s">
        <v>187</v>
      </c>
      <c r="B280" s="37">
        <f>ROUND(B$139*(1-Loads!$B240),3)</f>
        <v>2.4140000000000001</v>
      </c>
      <c r="C280" s="37">
        <f>ROUND(C$139*(1-Loads!$B240),3)</f>
        <v>1.3919999999999999</v>
      </c>
      <c r="D280" s="37">
        <f>ROUND(D$139*(1-Loads!$B240),3)</f>
        <v>0</v>
      </c>
      <c r="E280" s="46">
        <f>ROUND(E$139*(1-Loads!$C240),2)</f>
        <v>21.41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268</v>
      </c>
      <c r="I281" s="17"/>
    </row>
    <row r="282" spans="1:9" x14ac:dyDescent="0.25">
      <c r="A282" s="4" t="s">
        <v>207</v>
      </c>
      <c r="B282" s="37">
        <f>ROUND(B$140*(1-Loads!$B242),3)</f>
        <v>2.028</v>
      </c>
      <c r="C282" s="37">
        <f>ROUND(C$140*(1-Loads!$B242),3)</f>
        <v>1.3520000000000001</v>
      </c>
      <c r="D282" s="37">
        <f>ROUND(D$140*(1-Loads!$B242),3)</f>
        <v>0</v>
      </c>
      <c r="E282" s="46">
        <f>ROUND(E$140*(1-Loads!$C242),2)</f>
        <v>143.55000000000001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269</v>
      </c>
      <c r="I283" s="17"/>
    </row>
    <row r="284" spans="1:9" x14ac:dyDescent="0.25">
      <c r="A284" s="4" t="s">
        <v>188</v>
      </c>
      <c r="B284" s="37">
        <f>ROUND(B$141*(1-Loads!$B244),3)</f>
        <v>14.425000000000001</v>
      </c>
      <c r="C284" s="37">
        <f>ROUND(C$141*(1-Loads!$B244),3)</f>
        <v>1.806</v>
      </c>
      <c r="D284" s="37">
        <f>ROUND(D$141*(1-Loads!$B244),3)</f>
        <v>1.417</v>
      </c>
      <c r="E284" s="46">
        <f>ROUND(E$141*(1-Loads!$C244),2)</f>
        <v>5.0199999999999996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270</v>
      </c>
      <c r="B285" s="37">
        <f>ROUND(B$141*(1-Loads!$B245),3)</f>
        <v>9.0120000000000005</v>
      </c>
      <c r="C285" s="37">
        <f>ROUND(C$141*(1-Loads!$B245),3)</f>
        <v>1.1279999999999999</v>
      </c>
      <c r="D285" s="37">
        <f>ROUND(D$141*(1-Loads!$B245),3)</f>
        <v>0.88500000000000001</v>
      </c>
      <c r="E285" s="46">
        <f>ROUND(E$141*(1-Loads!$C245),2)</f>
        <v>3.14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271</v>
      </c>
      <c r="B286" s="37">
        <f>ROUND(B$141*(1-Loads!$B246),3)</f>
        <v>5.5419999999999998</v>
      </c>
      <c r="C286" s="37">
        <f>ROUND(C$141*(1-Loads!$B246),3)</f>
        <v>0.69399999999999995</v>
      </c>
      <c r="D286" s="37">
        <f>ROUND(D$141*(1-Loads!$B246),3)</f>
        <v>0.54400000000000004</v>
      </c>
      <c r="E286" s="46">
        <f>ROUND(E$141*(1-Loads!$C246),2)</f>
        <v>1.93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272</v>
      </c>
      <c r="I287" s="17"/>
    </row>
    <row r="288" spans="1:9" x14ac:dyDescent="0.25">
      <c r="A288" s="4" t="s">
        <v>189</v>
      </c>
      <c r="B288" s="37">
        <f>ROUND(B$142*(1-Loads!$B248),3)</f>
        <v>14.941000000000001</v>
      </c>
      <c r="C288" s="37">
        <f>ROUND(C$142*(1-Loads!$B248),3)</f>
        <v>1.825</v>
      </c>
      <c r="D288" s="37">
        <f>ROUND(D$142*(1-Loads!$B248),3)</f>
        <v>1.421</v>
      </c>
      <c r="E288" s="46">
        <f>ROUND(E$142*(1-Loads!$C248),2)</f>
        <v>9.3800000000000008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273</v>
      </c>
      <c r="B289" s="37">
        <f>ROUND(B$142*(1-Loads!$B249),3)</f>
        <v>9.3339999999999996</v>
      </c>
      <c r="C289" s="37">
        <f>ROUND(C$142*(1-Loads!$B249),3)</f>
        <v>1.1399999999999999</v>
      </c>
      <c r="D289" s="37">
        <f>ROUND(D$142*(1-Loads!$B249),3)</f>
        <v>0.88800000000000001</v>
      </c>
      <c r="E289" s="46">
        <f>ROUND(E$142*(1-Loads!$C249),2)</f>
        <v>5.86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274</v>
      </c>
      <c r="B290" s="37">
        <f>ROUND(B$142*(1-Loads!$B250),3)</f>
        <v>5.74</v>
      </c>
      <c r="C290" s="37">
        <f>ROUND(C$142*(1-Loads!$B250),3)</f>
        <v>0.70099999999999996</v>
      </c>
      <c r="D290" s="37">
        <f>ROUND(D$142*(1-Loads!$B250),3)</f>
        <v>0.54600000000000004</v>
      </c>
      <c r="E290" s="46">
        <f>ROUND(E$142*(1-Loads!$C250),2)</f>
        <v>3.6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275</v>
      </c>
      <c r="I291" s="17"/>
    </row>
    <row r="292" spans="1:9" x14ac:dyDescent="0.25">
      <c r="A292" s="4" t="s">
        <v>190</v>
      </c>
      <c r="B292" s="37">
        <f>ROUND(B$143*(1-Loads!$B252),3)</f>
        <v>10.446</v>
      </c>
      <c r="C292" s="37">
        <f>ROUND(C$143*(1-Loads!$B252),3)</f>
        <v>1.619</v>
      </c>
      <c r="D292" s="37">
        <f>ROUND(D$143*(1-Loads!$B252),3)</f>
        <v>1.381</v>
      </c>
      <c r="E292" s="46">
        <f>ROUND(E$143*(1-Loads!$C252),2)</f>
        <v>12</v>
      </c>
      <c r="F292" s="46">
        <f>ROUND(F$143*(1-Loads!$B252),2)</f>
        <v>3.29</v>
      </c>
      <c r="G292" s="46">
        <f>ROUND(G$143*(1-Loads!$B252),2)</f>
        <v>7.28</v>
      </c>
      <c r="H292" s="37">
        <f>ROUND(H$143*(1-Loads!$B252),3)</f>
        <v>0.15</v>
      </c>
      <c r="I292" s="17"/>
    </row>
    <row r="293" spans="1:9" x14ac:dyDescent="0.25">
      <c r="A293" s="4" t="s">
        <v>276</v>
      </c>
      <c r="B293" s="37">
        <f>ROUND(B$143*(1-Loads!$B253),3)</f>
        <v>6.5259999999999998</v>
      </c>
      <c r="C293" s="37">
        <f>ROUND(C$143*(1-Loads!$B253),3)</f>
        <v>1.0109999999999999</v>
      </c>
      <c r="D293" s="37">
        <f>ROUND(D$143*(1-Loads!$B253),3)</f>
        <v>0.86299999999999999</v>
      </c>
      <c r="E293" s="46">
        <f>ROUND(E$143*(1-Loads!$C253),2)</f>
        <v>7.5</v>
      </c>
      <c r="F293" s="46">
        <f>ROUND(F$143*(1-Loads!$B253),2)</f>
        <v>2.06</v>
      </c>
      <c r="G293" s="46">
        <f>ROUND(G$143*(1-Loads!$B253),2)</f>
        <v>4.55</v>
      </c>
      <c r="H293" s="37">
        <f>ROUND(H$143*(1-Loads!$B253),3)</f>
        <v>9.4E-2</v>
      </c>
      <c r="I293" s="17"/>
    </row>
    <row r="294" spans="1:9" x14ac:dyDescent="0.25">
      <c r="A294" s="4" t="s">
        <v>277</v>
      </c>
      <c r="B294" s="37">
        <f>ROUND(B$143*(1-Loads!$B254),3)</f>
        <v>4.0129999999999999</v>
      </c>
      <c r="C294" s="37">
        <f>ROUND(C$143*(1-Loads!$B254),3)</f>
        <v>0.622</v>
      </c>
      <c r="D294" s="37">
        <f>ROUND(D$143*(1-Loads!$B254),3)</f>
        <v>0.53100000000000003</v>
      </c>
      <c r="E294" s="46">
        <f>ROUND(E$143*(1-Loads!$C254),2)</f>
        <v>4.6100000000000003</v>
      </c>
      <c r="F294" s="46">
        <f>ROUND(F$143*(1-Loads!$B254),2)</f>
        <v>1.26</v>
      </c>
      <c r="G294" s="46">
        <f>ROUND(G$143*(1-Loads!$B254),2)</f>
        <v>2.8</v>
      </c>
      <c r="H294" s="37">
        <f>ROUND(H$143*(1-Loads!$B254),3)</f>
        <v>5.8000000000000003E-2</v>
      </c>
      <c r="I294" s="17"/>
    </row>
    <row r="295" spans="1:9" x14ac:dyDescent="0.25">
      <c r="A295" s="28" t="s">
        <v>278</v>
      </c>
      <c r="I295" s="17"/>
    </row>
    <row r="296" spans="1:9" x14ac:dyDescent="0.25">
      <c r="A296" s="4" t="s">
        <v>191</v>
      </c>
      <c r="B296" s="37">
        <f>ROUND(B$144*(1-Loads!$B256),3)</f>
        <v>8.4489999999999998</v>
      </c>
      <c r="C296" s="37">
        <f>ROUND(C$144*(1-Loads!$B256),3)</f>
        <v>1.4910000000000001</v>
      </c>
      <c r="D296" s="37">
        <f>ROUND(D$144*(1-Loads!$B256),3)</f>
        <v>1.359</v>
      </c>
      <c r="E296" s="46">
        <f>ROUND(E$144*(1-Loads!$C256),2)</f>
        <v>9.3699999999999992</v>
      </c>
      <c r="F296" s="46">
        <f>ROUND(F$144*(1-Loads!$B256),2)</f>
        <v>3.36</v>
      </c>
      <c r="G296" s="46">
        <f>ROUND(G$144*(1-Loads!$B256),2)</f>
        <v>6.73</v>
      </c>
      <c r="H296" s="37">
        <f>ROUND(H$144*(1-Loads!$B256),3)</f>
        <v>0.104</v>
      </c>
      <c r="I296" s="17"/>
    </row>
    <row r="297" spans="1:9" x14ac:dyDescent="0.25">
      <c r="A297" s="4" t="s">
        <v>279</v>
      </c>
      <c r="B297" s="37">
        <f>ROUND(B$144*(1-Loads!$B257),3)</f>
        <v>5.3250000000000002</v>
      </c>
      <c r="C297" s="37">
        <f>ROUND(C$144*(1-Loads!$B257),3)</f>
        <v>0.94</v>
      </c>
      <c r="D297" s="37">
        <f>ROUND(D$144*(1-Loads!$B257),3)</f>
        <v>0.85599999999999998</v>
      </c>
      <c r="E297" s="46">
        <f>ROUND(E$144*(1-Loads!$C257),2)</f>
        <v>5.91</v>
      </c>
      <c r="F297" s="46">
        <f>ROUND(F$144*(1-Loads!$B257),2)</f>
        <v>2.12</v>
      </c>
      <c r="G297" s="46">
        <f>ROUND(G$144*(1-Loads!$B257),2)</f>
        <v>4.24</v>
      </c>
      <c r="H297" s="37">
        <f>ROUND(H$144*(1-Loads!$B257),3)</f>
        <v>6.6000000000000003E-2</v>
      </c>
      <c r="I297" s="17"/>
    </row>
    <row r="298" spans="1:9" x14ac:dyDescent="0.25">
      <c r="A298" s="28" t="s">
        <v>280</v>
      </c>
      <c r="I298" s="17"/>
    </row>
    <row r="299" spans="1:9" x14ac:dyDescent="0.25">
      <c r="A299" s="4" t="s">
        <v>208</v>
      </c>
      <c r="B299" s="37">
        <f>ROUND(B$145*(1-Loads!$B259),3)</f>
        <v>6.726</v>
      </c>
      <c r="C299" s="37">
        <f>ROUND(C$145*(1-Loads!$B259),3)</f>
        <v>1.407</v>
      </c>
      <c r="D299" s="37">
        <f>ROUND(D$145*(1-Loads!$B259),3)</f>
        <v>1.343</v>
      </c>
      <c r="E299" s="46">
        <f>ROUND(E$145*(1-Loads!$C259),2)</f>
        <v>101.16</v>
      </c>
      <c r="F299" s="46">
        <f>ROUND(F$145*(1-Loads!$B259),2)</f>
        <v>2.82</v>
      </c>
      <c r="G299" s="46">
        <f>ROUND(G$145*(1-Loads!$B259),2)</f>
        <v>6.7</v>
      </c>
      <c r="H299" s="37">
        <f>ROUND(H$145*(1-Loads!$B259),3)</f>
        <v>7.1999999999999995E-2</v>
      </c>
      <c r="I299" s="17"/>
    </row>
    <row r="300" spans="1:9" x14ac:dyDescent="0.25">
      <c r="A300" s="4" t="s">
        <v>281</v>
      </c>
      <c r="B300" s="37">
        <f>ROUND(B$145*(1-Loads!$B260),3)</f>
        <v>5.0289999999999999</v>
      </c>
      <c r="C300" s="37">
        <f>ROUND(C$145*(1-Loads!$B260),3)</f>
        <v>1.052</v>
      </c>
      <c r="D300" s="37">
        <f>ROUND(D$145*(1-Loads!$B260),3)</f>
        <v>1.004</v>
      </c>
      <c r="E300" s="46">
        <f>ROUND(E$145*(1-Loads!$C260),2)</f>
        <v>75.64</v>
      </c>
      <c r="F300" s="46">
        <f>ROUND(F$145*(1-Loads!$B260),2)</f>
        <v>2.11</v>
      </c>
      <c r="G300" s="46">
        <f>ROUND(G$145*(1-Loads!$B260),2)</f>
        <v>5.01</v>
      </c>
      <c r="H300" s="37">
        <f>ROUND(H$145*(1-Loads!$B260),3)</f>
        <v>5.3999999999999999E-2</v>
      </c>
      <c r="I300" s="17"/>
    </row>
    <row r="301" spans="1:9" x14ac:dyDescent="0.25">
      <c r="A301" s="28" t="s">
        <v>282</v>
      </c>
      <c r="I301" s="17"/>
    </row>
    <row r="302" spans="1:9" x14ac:dyDescent="0.25">
      <c r="A302" s="4" t="s">
        <v>230</v>
      </c>
      <c r="B302" s="37">
        <f>ROUND(B$146*(1-Loads!$B262),3)</f>
        <v>3.15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283</v>
      </c>
      <c r="B303" s="37">
        <f>ROUND(B$146*(1-Loads!$B263),3)</f>
        <v>1.968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284</v>
      </c>
      <c r="B304" s="37">
        <f>ROUND(B$146*(1-Loads!$B264),3)</f>
        <v>1.21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285</v>
      </c>
      <c r="I305" s="17"/>
    </row>
    <row r="306" spans="1:9" x14ac:dyDescent="0.25">
      <c r="A306" s="4" t="s">
        <v>231</v>
      </c>
      <c r="B306" s="37">
        <f>ROUND(B$147*(1-Loads!$B266),3)</f>
        <v>3.488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286</v>
      </c>
      <c r="B307" s="37">
        <f>ROUND(B$147*(1-Loads!$B267),3)</f>
        <v>2.1789999999999998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287</v>
      </c>
      <c r="B308" s="37">
        <f>ROUND(B$147*(1-Loads!$B268),3)</f>
        <v>1.34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288</v>
      </c>
      <c r="I309" s="17"/>
    </row>
    <row r="310" spans="1:9" x14ac:dyDescent="0.25">
      <c r="A310" s="4" t="s">
        <v>232</v>
      </c>
      <c r="B310" s="37">
        <f>ROUND(B$148*(1-Loads!$B270),3)</f>
        <v>4.3949999999999996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289</v>
      </c>
      <c r="B311" s="37">
        <f>ROUND(B$148*(1-Loads!$B271),3)</f>
        <v>2.746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290</v>
      </c>
      <c r="B312" s="37">
        <f>ROUND(B$148*(1-Loads!$B272),3)</f>
        <v>1.6879999999999999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291</v>
      </c>
      <c r="I313" s="17"/>
    </row>
    <row r="314" spans="1:9" x14ac:dyDescent="0.25">
      <c r="A314" s="4" t="s">
        <v>233</v>
      </c>
      <c r="B314" s="37">
        <f>ROUND(B$149*(1-Loads!$B274),3)</f>
        <v>2.823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292</v>
      </c>
      <c r="B315" s="37">
        <f>ROUND(B$149*(1-Loads!$B275),3)</f>
        <v>1.764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293</v>
      </c>
      <c r="B316" s="37">
        <f>ROUND(B$149*(1-Loads!$B276),3)</f>
        <v>1.0840000000000001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294</v>
      </c>
      <c r="I317" s="17"/>
    </row>
    <row r="318" spans="1:9" x14ac:dyDescent="0.25">
      <c r="A318" s="4" t="s">
        <v>234</v>
      </c>
      <c r="B318" s="37">
        <f>ROUND(B$150*(1-Loads!$B278),3)</f>
        <v>34.975000000000001</v>
      </c>
      <c r="C318" s="37">
        <f>ROUND(C$150*(1-Loads!$B278),3)</f>
        <v>2.9209999999999998</v>
      </c>
      <c r="D318" s="37">
        <f>ROUND(D$150*(1-Loads!$B278),3)</f>
        <v>2.3279999999999998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295</v>
      </c>
      <c r="B319" s="37">
        <f>ROUND(B$150*(1-Loads!$B279),3)</f>
        <v>21.85</v>
      </c>
      <c r="C319" s="37">
        <f>ROUND(C$150*(1-Loads!$B279),3)</f>
        <v>1.825</v>
      </c>
      <c r="D319" s="37">
        <f>ROUND(D$150*(1-Loads!$B279),3)</f>
        <v>1.454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296</v>
      </c>
      <c r="B320" s="37">
        <f>ROUND(B$150*(1-Loads!$B280),3)</f>
        <v>13.436</v>
      </c>
      <c r="C320" s="37">
        <f>ROUND(C$150*(1-Loads!$B280),3)</f>
        <v>1.1220000000000001</v>
      </c>
      <c r="D320" s="37">
        <f>ROUND(D$150*(1-Loads!$B280),3)</f>
        <v>0.89400000000000002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297</v>
      </c>
      <c r="I321" s="17"/>
    </row>
    <row r="322" spans="1:9" x14ac:dyDescent="0.25">
      <c r="A322" s="4" t="s">
        <v>192</v>
      </c>
      <c r="B322" s="37">
        <f>ROUND(B$151*(1-Loads!$B282),3)</f>
        <v>-0.69299999999999995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298</v>
      </c>
      <c r="B323" s="37">
        <f>ROUND(B$151*(1-Loads!$B283),3)</f>
        <v>-0.69299999999999995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299</v>
      </c>
      <c r="B324" s="37">
        <f>ROUND(B$151*(1-Loads!$B284),3)</f>
        <v>-0.69299999999999995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300</v>
      </c>
      <c r="I325" s="17"/>
    </row>
    <row r="326" spans="1:9" x14ac:dyDescent="0.25">
      <c r="A326" s="4" t="s">
        <v>193</v>
      </c>
      <c r="B326" s="37">
        <f>ROUND(B$152*(1-Loads!$B286),3)</f>
        <v>-0.625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301</v>
      </c>
      <c r="B327" s="37">
        <f>ROUND(B$152*(1-Loads!$B287),3)</f>
        <v>-0.625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302</v>
      </c>
      <c r="I328" s="17"/>
    </row>
    <row r="329" spans="1:9" x14ac:dyDescent="0.25">
      <c r="A329" s="4" t="s">
        <v>194</v>
      </c>
      <c r="B329" s="37">
        <f>ROUND(B$153*(1-Loads!$B289),3)</f>
        <v>-0.69299999999999995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0.152</v>
      </c>
      <c r="I329" s="17"/>
    </row>
    <row r="330" spans="1:9" x14ac:dyDescent="0.25">
      <c r="A330" s="4" t="s">
        <v>303</v>
      </c>
      <c r="B330" s="37">
        <f>ROUND(B$153*(1-Loads!$B290),3)</f>
        <v>-0.69299999999999995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0.152</v>
      </c>
      <c r="I330" s="17"/>
    </row>
    <row r="331" spans="1:9" x14ac:dyDescent="0.25">
      <c r="A331" s="4" t="s">
        <v>304</v>
      </c>
      <c r="B331" s="37">
        <f>ROUND(B$153*(1-Loads!$B291),3)</f>
        <v>-0.69299999999999995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0.152</v>
      </c>
      <c r="I331" s="17"/>
    </row>
    <row r="332" spans="1:9" x14ac:dyDescent="0.25">
      <c r="A332" s="28" t="s">
        <v>305</v>
      </c>
      <c r="I332" s="17"/>
    </row>
    <row r="333" spans="1:9" x14ac:dyDescent="0.25">
      <c r="A333" s="4" t="s">
        <v>195</v>
      </c>
      <c r="B333" s="37">
        <f>ROUND(B$154*(1-Loads!$B293),3)</f>
        <v>-0.69299999999999995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306</v>
      </c>
      <c r="I334" s="17"/>
    </row>
    <row r="335" spans="1:9" x14ac:dyDescent="0.25">
      <c r="A335" s="4" t="s">
        <v>196</v>
      </c>
      <c r="B335" s="37">
        <f>ROUND(B$155*(1-Loads!$B295),3)</f>
        <v>-8.8439999999999994</v>
      </c>
      <c r="C335" s="37">
        <f>ROUND(C$155*(1-Loads!$B295),3)</f>
        <v>-0.32800000000000001</v>
      </c>
      <c r="D335" s="37">
        <f>ROUND(D$155*(1-Loads!$B295),3)</f>
        <v>-6.6000000000000003E-2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0.152</v>
      </c>
      <c r="I335" s="17"/>
    </row>
    <row r="336" spans="1:9" x14ac:dyDescent="0.25">
      <c r="A336" s="4" t="s">
        <v>307</v>
      </c>
      <c r="B336" s="37">
        <f>ROUND(B$155*(1-Loads!$B296),3)</f>
        <v>-8.8439999999999994</v>
      </c>
      <c r="C336" s="37">
        <f>ROUND(C$155*(1-Loads!$B296),3)</f>
        <v>-0.32800000000000001</v>
      </c>
      <c r="D336" s="37">
        <f>ROUND(D$155*(1-Loads!$B296),3)</f>
        <v>-6.6000000000000003E-2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0.152</v>
      </c>
      <c r="I336" s="17"/>
    </row>
    <row r="337" spans="1:9" x14ac:dyDescent="0.25">
      <c r="A337" s="4" t="s">
        <v>308</v>
      </c>
      <c r="B337" s="37">
        <f>ROUND(B$155*(1-Loads!$B297),3)</f>
        <v>-8.8439999999999994</v>
      </c>
      <c r="C337" s="37">
        <f>ROUND(C$155*(1-Loads!$B297),3)</f>
        <v>-0.32800000000000001</v>
      </c>
      <c r="D337" s="37">
        <f>ROUND(D$155*(1-Loads!$B297),3)</f>
        <v>-6.6000000000000003E-2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0.152</v>
      </c>
      <c r="I337" s="17"/>
    </row>
    <row r="338" spans="1:9" x14ac:dyDescent="0.25">
      <c r="A338" s="28" t="s">
        <v>309</v>
      </c>
      <c r="I338" s="17"/>
    </row>
    <row r="339" spans="1:9" x14ac:dyDescent="0.25">
      <c r="A339" s="4" t="s">
        <v>197</v>
      </c>
      <c r="B339" s="37">
        <f>ROUND(B$156*(1-Loads!$B299),3)</f>
        <v>-8.8439999999999994</v>
      </c>
      <c r="C339" s="37">
        <f>ROUND(C$156*(1-Loads!$B299),3)</f>
        <v>-0.32800000000000001</v>
      </c>
      <c r="D339" s="37">
        <f>ROUND(D$156*(1-Loads!$B299),3)</f>
        <v>-6.6000000000000003E-2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310</v>
      </c>
      <c r="I340" s="17"/>
    </row>
    <row r="341" spans="1:9" x14ac:dyDescent="0.25">
      <c r="A341" s="4" t="s">
        <v>198</v>
      </c>
      <c r="B341" s="37">
        <f>ROUND(B$157*(1-Loads!$B301),3)</f>
        <v>-0.625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0.125</v>
      </c>
      <c r="I341" s="17"/>
    </row>
    <row r="342" spans="1:9" x14ac:dyDescent="0.25">
      <c r="A342" s="4" t="s">
        <v>311</v>
      </c>
      <c r="B342" s="37">
        <f>ROUND(B$157*(1-Loads!$B302),3)</f>
        <v>-0.625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0.125</v>
      </c>
      <c r="I342" s="17"/>
    </row>
    <row r="343" spans="1:9" x14ac:dyDescent="0.25">
      <c r="A343" s="28" t="s">
        <v>312</v>
      </c>
      <c r="I343" s="17"/>
    </row>
    <row r="344" spans="1:9" x14ac:dyDescent="0.25">
      <c r="A344" s="4" t="s">
        <v>199</v>
      </c>
      <c r="B344" s="37">
        <f>ROUND(B$158*(1-Loads!$B304),3)</f>
        <v>-0.625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313</v>
      </c>
      <c r="I345" s="17"/>
    </row>
    <row r="346" spans="1:9" x14ac:dyDescent="0.25">
      <c r="A346" s="4" t="s">
        <v>200</v>
      </c>
      <c r="B346" s="37">
        <f>ROUND(B$159*(1-Loads!$B306),3)</f>
        <v>-8.1080000000000005</v>
      </c>
      <c r="C346" s="37">
        <f>ROUND(C$159*(1-Loads!$B306),3)</f>
        <v>-0.27900000000000003</v>
      </c>
      <c r="D346" s="37">
        <f>ROUND(D$159*(1-Loads!$B306),3)</f>
        <v>-5.7000000000000002E-2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0.125</v>
      </c>
      <c r="I346" s="17"/>
    </row>
    <row r="347" spans="1:9" x14ac:dyDescent="0.25">
      <c r="A347" s="4" t="s">
        <v>314</v>
      </c>
      <c r="B347" s="37">
        <f>ROUND(B$159*(1-Loads!$B307),3)</f>
        <v>-8.1080000000000005</v>
      </c>
      <c r="C347" s="37">
        <f>ROUND(C$159*(1-Loads!$B307),3)</f>
        <v>-0.27900000000000003</v>
      </c>
      <c r="D347" s="37">
        <f>ROUND(D$159*(1-Loads!$B307),3)</f>
        <v>-5.7000000000000002E-2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0.125</v>
      </c>
      <c r="I347" s="17"/>
    </row>
    <row r="348" spans="1:9" x14ac:dyDescent="0.25">
      <c r="A348" s="28" t="s">
        <v>315</v>
      </c>
      <c r="I348" s="17"/>
    </row>
    <row r="349" spans="1:9" x14ac:dyDescent="0.25">
      <c r="A349" s="4" t="s">
        <v>201</v>
      </c>
      <c r="B349" s="37">
        <f>ROUND(B$160*(1-Loads!$B309),3)</f>
        <v>-8.1080000000000005</v>
      </c>
      <c r="C349" s="37">
        <f>ROUND(C$160*(1-Loads!$B309),3)</f>
        <v>-0.27900000000000003</v>
      </c>
      <c r="D349" s="37">
        <f>ROUND(D$160*(1-Loads!$B309),3)</f>
        <v>-5.7000000000000002E-2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316</v>
      </c>
      <c r="I350" s="17"/>
    </row>
    <row r="351" spans="1:9" x14ac:dyDescent="0.25">
      <c r="A351" s="4" t="s">
        <v>209</v>
      </c>
      <c r="B351" s="37">
        <f>ROUND(B$161*(1-Loads!$B311),3)</f>
        <v>-0.39400000000000002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41.59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9.6000000000000002E-2</v>
      </c>
      <c r="I351" s="17"/>
    </row>
    <row r="352" spans="1:9" x14ac:dyDescent="0.25">
      <c r="A352" s="4" t="s">
        <v>317</v>
      </c>
      <c r="B352" s="37">
        <f>ROUND(B$161*(1-Loads!$B312),3)</f>
        <v>-0.39400000000000002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9.6000000000000002E-2</v>
      </c>
      <c r="I352" s="17"/>
    </row>
    <row r="353" spans="1:9" x14ac:dyDescent="0.25">
      <c r="A353" s="28" t="s">
        <v>318</v>
      </c>
      <c r="I353" s="17"/>
    </row>
    <row r="354" spans="1:9" x14ac:dyDescent="0.25">
      <c r="A354" s="4" t="s">
        <v>210</v>
      </c>
      <c r="B354" s="37">
        <f>ROUND(B$162*(1-Loads!$B314),3)</f>
        <v>-0.39400000000000002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41.59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319</v>
      </c>
      <c r="I355" s="17"/>
    </row>
    <row r="356" spans="1:9" x14ac:dyDescent="0.25">
      <c r="A356" s="4" t="s">
        <v>211</v>
      </c>
      <c r="B356" s="37">
        <f>ROUND(B$163*(1-Loads!$B316),3)</f>
        <v>-5.585</v>
      </c>
      <c r="C356" s="37">
        <f>ROUND(C$163*(1-Loads!$B316),3)</f>
        <v>-0.11600000000000001</v>
      </c>
      <c r="D356" s="37">
        <f>ROUND(D$163*(1-Loads!$B316),3)</f>
        <v>-2.8000000000000001E-2</v>
      </c>
      <c r="E356" s="46">
        <f>ROUND(E$163*(1-Loads!$C316),2)</f>
        <v>41.59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9.6000000000000002E-2</v>
      </c>
      <c r="I356" s="17"/>
    </row>
    <row r="357" spans="1:9" x14ac:dyDescent="0.25">
      <c r="A357" s="4" t="s">
        <v>320</v>
      </c>
      <c r="B357" s="37">
        <f>ROUND(B$163*(1-Loads!$B317),3)</f>
        <v>-5.585</v>
      </c>
      <c r="C357" s="37">
        <f>ROUND(C$163*(1-Loads!$B317),3)</f>
        <v>-0.11600000000000001</v>
      </c>
      <c r="D357" s="37">
        <f>ROUND(D$163*(1-Loads!$B317),3)</f>
        <v>-2.8000000000000001E-2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9.6000000000000002E-2</v>
      </c>
      <c r="I357" s="17"/>
    </row>
    <row r="358" spans="1:9" x14ac:dyDescent="0.25">
      <c r="A358" s="28" t="s">
        <v>321</v>
      </c>
      <c r="I358" s="17"/>
    </row>
    <row r="359" spans="1:9" x14ac:dyDescent="0.25">
      <c r="A359" s="4" t="s">
        <v>212</v>
      </c>
      <c r="B359" s="37">
        <f>ROUND(B$164*(1-Loads!$B319),3)</f>
        <v>-5.585</v>
      </c>
      <c r="C359" s="37">
        <f>ROUND(C$164*(1-Loads!$B319),3)</f>
        <v>-0.11600000000000001</v>
      </c>
      <c r="D359" s="37">
        <f>ROUND(D$164*(1-Loads!$B319),3)</f>
        <v>-2.8000000000000001E-2</v>
      </c>
      <c r="E359" s="46">
        <f>ROUND(E$164*(1-Loads!$C319),2)</f>
        <v>41.59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South West in April 19 (no data version)</v>
      </c>
    </row>
    <row r="3" spans="1:12" ht="21" customHeight="1" x14ac:dyDescent="0.3">
      <c r="A3" s="1" t="s">
        <v>1464</v>
      </c>
    </row>
    <row r="4" spans="1:12" x14ac:dyDescent="0.25">
      <c r="A4" s="2" t="s">
        <v>381</v>
      </c>
    </row>
    <row r="5" spans="1:12" x14ac:dyDescent="0.25">
      <c r="A5" s="32" t="s">
        <v>1465</v>
      </c>
    </row>
    <row r="6" spans="1:12" x14ac:dyDescent="0.25">
      <c r="A6" s="32" t="s">
        <v>1466</v>
      </c>
    </row>
    <row r="7" spans="1:12" x14ac:dyDescent="0.25">
      <c r="A7" s="32" t="s">
        <v>1467</v>
      </c>
    </row>
    <row r="8" spans="1:12" x14ac:dyDescent="0.25">
      <c r="A8" s="32" t="s">
        <v>1468</v>
      </c>
    </row>
    <row r="9" spans="1:12" x14ac:dyDescent="0.25">
      <c r="A9" s="32" t="s">
        <v>1469</v>
      </c>
    </row>
    <row r="10" spans="1:12" x14ac:dyDescent="0.25">
      <c r="A10" s="32" t="s">
        <v>1470</v>
      </c>
    </row>
    <row r="11" spans="1:12" x14ac:dyDescent="0.25">
      <c r="A11" s="32" t="s">
        <v>1471</v>
      </c>
    </row>
    <row r="12" spans="1:12" x14ac:dyDescent="0.25">
      <c r="A12" s="33" t="s">
        <v>384</v>
      </c>
      <c r="B12" s="33" t="s">
        <v>1472</v>
      </c>
      <c r="C12" s="33" t="s">
        <v>385</v>
      </c>
      <c r="D12" s="33" t="s">
        <v>443</v>
      </c>
      <c r="E12" s="33" t="s">
        <v>443</v>
      </c>
      <c r="F12" s="33" t="s">
        <v>443</v>
      </c>
      <c r="G12" s="33" t="s">
        <v>443</v>
      </c>
      <c r="H12" s="33" t="s">
        <v>443</v>
      </c>
      <c r="I12" s="33" t="s">
        <v>443</v>
      </c>
      <c r="J12" s="33" t="s">
        <v>443</v>
      </c>
      <c r="K12" s="33" t="s">
        <v>1472</v>
      </c>
    </row>
    <row r="13" spans="1:12" x14ac:dyDescent="0.25">
      <c r="A13" s="33" t="s">
        <v>387</v>
      </c>
      <c r="B13" s="33" t="s">
        <v>388</v>
      </c>
      <c r="C13" s="33" t="s">
        <v>388</v>
      </c>
      <c r="D13" s="33" t="s">
        <v>1473</v>
      </c>
      <c r="E13" s="33" t="s">
        <v>446</v>
      </c>
      <c r="F13" s="33" t="s">
        <v>1474</v>
      </c>
      <c r="G13" s="33" t="s">
        <v>1050</v>
      </c>
      <c r="H13" s="33" t="s">
        <v>941</v>
      </c>
      <c r="I13" s="33" t="s">
        <v>1475</v>
      </c>
      <c r="J13" s="33" t="s">
        <v>1476</v>
      </c>
      <c r="K13" s="33" t="s">
        <v>388</v>
      </c>
    </row>
    <row r="15" spans="1:12" ht="30" x14ac:dyDescent="0.25">
      <c r="B15" s="15" t="s">
        <v>1477</v>
      </c>
      <c r="C15" s="15" t="s">
        <v>1478</v>
      </c>
      <c r="D15" s="15" t="s">
        <v>1381</v>
      </c>
      <c r="E15" s="15" t="s">
        <v>1382</v>
      </c>
      <c r="F15" s="15" t="s">
        <v>1383</v>
      </c>
      <c r="G15" s="15" t="s">
        <v>1384</v>
      </c>
      <c r="H15" s="15" t="s">
        <v>1385</v>
      </c>
      <c r="I15" s="15" t="s">
        <v>1386</v>
      </c>
      <c r="J15" s="15" t="s">
        <v>1138</v>
      </c>
      <c r="K15" s="15" t="s">
        <v>1479</v>
      </c>
    </row>
    <row r="16" spans="1:12" x14ac:dyDescent="0.25">
      <c r="A16" s="4" t="s">
        <v>182</v>
      </c>
      <c r="B16" s="16" t="s">
        <v>1830</v>
      </c>
      <c r="C16" s="47">
        <v>1</v>
      </c>
      <c r="D16" s="38">
        <f>Adjust!B$252</f>
        <v>2.7509999999999999</v>
      </c>
      <c r="E16" s="38">
        <f>Adjust!C$252</f>
        <v>0</v>
      </c>
      <c r="F16" s="38">
        <f>Adjust!D$252</f>
        <v>0</v>
      </c>
      <c r="G16" s="48">
        <f>Adjust!E$252</f>
        <v>5.0199999999999996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/>
      <c r="L16" s="17"/>
    </row>
    <row r="17" spans="1:12" x14ac:dyDescent="0.25">
      <c r="A17" s="4" t="s">
        <v>183</v>
      </c>
      <c r="B17" s="16" t="s">
        <v>1831</v>
      </c>
      <c r="C17" s="47">
        <v>2</v>
      </c>
      <c r="D17" s="38">
        <f>Adjust!B$256</f>
        <v>3.0139999999999998</v>
      </c>
      <c r="E17" s="38">
        <f>Adjust!C$256</f>
        <v>1.425</v>
      </c>
      <c r="F17" s="38">
        <f>Adjust!D$256</f>
        <v>0</v>
      </c>
      <c r="G17" s="48">
        <f>Adjust!E$256</f>
        <v>5.0199999999999996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/>
      <c r="L17" s="17"/>
    </row>
    <row r="18" spans="1:12" x14ac:dyDescent="0.25">
      <c r="A18" s="4" t="s">
        <v>228</v>
      </c>
      <c r="B18" s="16">
        <v>430</v>
      </c>
      <c r="C18" s="47">
        <v>2</v>
      </c>
      <c r="D18" s="38">
        <f>Adjust!B$260</f>
        <v>1.4259999999999999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x14ac:dyDescent="0.25">
      <c r="A19" s="4" t="s">
        <v>184</v>
      </c>
      <c r="B19" s="16">
        <v>110</v>
      </c>
      <c r="C19" s="47">
        <v>3</v>
      </c>
      <c r="D19" s="38">
        <f>Adjust!B$264</f>
        <v>2.5299999999999998</v>
      </c>
      <c r="E19" s="38">
        <f>Adjust!C$264</f>
        <v>0</v>
      </c>
      <c r="F19" s="38">
        <f>Adjust!D$264</f>
        <v>0</v>
      </c>
      <c r="G19" s="48">
        <f>Adjust!E$264</f>
        <v>9.3800000000000008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/>
      <c r="L19" s="17"/>
    </row>
    <row r="20" spans="1:12" x14ac:dyDescent="0.25">
      <c r="A20" s="4" t="s">
        <v>185</v>
      </c>
      <c r="B20" s="16">
        <v>210</v>
      </c>
      <c r="C20" s="47">
        <v>4</v>
      </c>
      <c r="D20" s="38">
        <f>Adjust!B$268</f>
        <v>2.702</v>
      </c>
      <c r="E20" s="38">
        <f>Adjust!C$268</f>
        <v>1.425</v>
      </c>
      <c r="F20" s="38">
        <f>Adjust!D$268</f>
        <v>0</v>
      </c>
      <c r="G20" s="48">
        <f>Adjust!E$268</f>
        <v>9.3800000000000008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/>
      <c r="L20" s="17"/>
    </row>
    <row r="21" spans="1:12" x14ac:dyDescent="0.25">
      <c r="A21" s="4" t="s">
        <v>229</v>
      </c>
      <c r="B21" s="16">
        <v>251</v>
      </c>
      <c r="C21" s="47">
        <v>4</v>
      </c>
      <c r="D21" s="38">
        <f>Adjust!B$272</f>
        <v>1.4339999999999999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186</v>
      </c>
      <c r="B22" s="16">
        <v>570</v>
      </c>
      <c r="C22" s="47" t="s">
        <v>1480</v>
      </c>
      <c r="D22" s="38">
        <f>Adjust!B$276</f>
        <v>2.5649999999999999</v>
      </c>
      <c r="E22" s="38">
        <f>Adjust!C$276</f>
        <v>1.405</v>
      </c>
      <c r="F22" s="38">
        <f>Adjust!D$276</f>
        <v>0</v>
      </c>
      <c r="G22" s="48">
        <f>Adjust!E$276</f>
        <v>23.47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/>
      <c r="L22" s="17"/>
    </row>
    <row r="23" spans="1:12" x14ac:dyDescent="0.25">
      <c r="A23" s="4" t="s">
        <v>187</v>
      </c>
      <c r="B23" s="16">
        <v>540</v>
      </c>
      <c r="C23" s="47" t="s">
        <v>1480</v>
      </c>
      <c r="D23" s="38">
        <f>Adjust!B$280</f>
        <v>2.4140000000000001</v>
      </c>
      <c r="E23" s="38">
        <f>Adjust!C$280</f>
        <v>1.3919999999999999</v>
      </c>
      <c r="F23" s="38">
        <f>Adjust!D$280</f>
        <v>0</v>
      </c>
      <c r="G23" s="48">
        <f>Adjust!E$280</f>
        <v>21.41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207</v>
      </c>
      <c r="B24" s="16">
        <v>510</v>
      </c>
      <c r="C24" s="47" t="s">
        <v>1480</v>
      </c>
      <c r="D24" s="38">
        <f>Adjust!B$282</f>
        <v>2.028</v>
      </c>
      <c r="E24" s="38">
        <f>Adjust!C$282</f>
        <v>1.3520000000000001</v>
      </c>
      <c r="F24" s="38">
        <f>Adjust!D$282</f>
        <v>0</v>
      </c>
      <c r="G24" s="48">
        <f>Adjust!E$282</f>
        <v>143.55000000000001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188</v>
      </c>
      <c r="B25" s="16">
        <v>202</v>
      </c>
      <c r="C25" s="47"/>
      <c r="D25" s="38">
        <f>Adjust!B$284</f>
        <v>14.425000000000001</v>
      </c>
      <c r="E25" s="38">
        <f>Adjust!C$284</f>
        <v>1.806</v>
      </c>
      <c r="F25" s="38">
        <f>Adjust!D$284</f>
        <v>1.417</v>
      </c>
      <c r="G25" s="48">
        <f>Adjust!E$284</f>
        <v>5.0199999999999996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189</v>
      </c>
      <c r="B26" s="16">
        <v>203</v>
      </c>
      <c r="C26" s="47"/>
      <c r="D26" s="38">
        <f>Adjust!B$288</f>
        <v>14.941000000000001</v>
      </c>
      <c r="E26" s="38">
        <f>Adjust!C$288</f>
        <v>1.825</v>
      </c>
      <c r="F26" s="38">
        <f>Adjust!D$288</f>
        <v>1.421</v>
      </c>
      <c r="G26" s="48">
        <f>Adjust!E$288</f>
        <v>9.3800000000000008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190</v>
      </c>
      <c r="B27" s="16">
        <v>570</v>
      </c>
      <c r="C27" s="47"/>
      <c r="D27" s="38">
        <f>Adjust!B$292</f>
        <v>10.446</v>
      </c>
      <c r="E27" s="38">
        <f>Adjust!C$292</f>
        <v>1.619</v>
      </c>
      <c r="F27" s="38">
        <f>Adjust!D$292</f>
        <v>1.381</v>
      </c>
      <c r="G27" s="48">
        <f>Adjust!E$292</f>
        <v>12</v>
      </c>
      <c r="H27" s="48">
        <f>Adjust!F$292</f>
        <v>3.29</v>
      </c>
      <c r="I27" s="48">
        <f>Adjust!G$292</f>
        <v>7.28</v>
      </c>
      <c r="J27" s="38">
        <f>Adjust!H$292</f>
        <v>0.15</v>
      </c>
      <c r="K27" s="16"/>
      <c r="L27" s="17"/>
    </row>
    <row r="28" spans="1:12" x14ac:dyDescent="0.25">
      <c r="A28" s="4" t="s">
        <v>191</v>
      </c>
      <c r="B28" s="16">
        <v>540</v>
      </c>
      <c r="C28" s="47"/>
      <c r="D28" s="38">
        <f>Adjust!B$296</f>
        <v>8.4489999999999998</v>
      </c>
      <c r="E28" s="38">
        <f>Adjust!C$296</f>
        <v>1.4910000000000001</v>
      </c>
      <c r="F28" s="38">
        <f>Adjust!D$296</f>
        <v>1.359</v>
      </c>
      <c r="G28" s="48">
        <f>Adjust!E$296</f>
        <v>9.3699999999999992</v>
      </c>
      <c r="H28" s="48">
        <f>Adjust!F$296</f>
        <v>3.36</v>
      </c>
      <c r="I28" s="48">
        <f>Adjust!G$296</f>
        <v>6.73</v>
      </c>
      <c r="J28" s="38">
        <f>Adjust!H$296</f>
        <v>0.104</v>
      </c>
      <c r="K28" s="16"/>
      <c r="L28" s="17"/>
    </row>
    <row r="29" spans="1:12" x14ac:dyDescent="0.25">
      <c r="A29" s="4" t="s">
        <v>208</v>
      </c>
      <c r="B29" s="16">
        <v>510</v>
      </c>
      <c r="C29" s="47"/>
      <c r="D29" s="38">
        <f>Adjust!B$299</f>
        <v>6.726</v>
      </c>
      <c r="E29" s="38">
        <f>Adjust!C$299</f>
        <v>1.407</v>
      </c>
      <c r="F29" s="38">
        <f>Adjust!D$299</f>
        <v>1.343</v>
      </c>
      <c r="G29" s="48">
        <f>Adjust!E$299</f>
        <v>101.16</v>
      </c>
      <c r="H29" s="48">
        <f>Adjust!F$299</f>
        <v>2.82</v>
      </c>
      <c r="I29" s="48">
        <f>Adjust!G$299</f>
        <v>6.7</v>
      </c>
      <c r="J29" s="38">
        <f>Adjust!H$299</f>
        <v>7.1999999999999995E-2</v>
      </c>
      <c r="K29" s="16"/>
      <c r="L29" s="17"/>
    </row>
    <row r="30" spans="1:12" x14ac:dyDescent="0.25">
      <c r="A30" s="4" t="s">
        <v>230</v>
      </c>
      <c r="B30" s="16">
        <v>977</v>
      </c>
      <c r="C30" s="47">
        <v>8</v>
      </c>
      <c r="D30" s="38">
        <f>Adjust!B$302</f>
        <v>3.15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231</v>
      </c>
      <c r="B31" s="16">
        <v>980</v>
      </c>
      <c r="C31" s="47">
        <v>1</v>
      </c>
      <c r="D31" s="38">
        <f>Adjust!B$306</f>
        <v>3.488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232</v>
      </c>
      <c r="B32" s="16">
        <v>978</v>
      </c>
      <c r="C32" s="47">
        <v>1</v>
      </c>
      <c r="D32" s="38">
        <f>Adjust!B$310</f>
        <v>4.3949999999999996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233</v>
      </c>
      <c r="B33" s="16">
        <v>979</v>
      </c>
      <c r="C33" s="47">
        <v>1</v>
      </c>
      <c r="D33" s="38">
        <f>Adjust!B$314</f>
        <v>2.823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234</v>
      </c>
      <c r="B34" s="16">
        <v>970</v>
      </c>
      <c r="C34" s="47"/>
      <c r="D34" s="38">
        <f>Adjust!B$318</f>
        <v>34.975000000000001</v>
      </c>
      <c r="E34" s="38">
        <f>Adjust!C$318</f>
        <v>2.9209999999999998</v>
      </c>
      <c r="F34" s="38">
        <f>Adjust!D$318</f>
        <v>2.3279999999999998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192</v>
      </c>
      <c r="B35" s="16">
        <v>581</v>
      </c>
      <c r="C35" s="47" t="s">
        <v>1481</v>
      </c>
      <c r="D35" s="38">
        <f>Adjust!B$322</f>
        <v>-0.69299999999999995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193</v>
      </c>
      <c r="B36" s="16">
        <v>551</v>
      </c>
      <c r="C36" s="47">
        <v>8</v>
      </c>
      <c r="D36" s="38">
        <f>Adjust!B$326</f>
        <v>-0.625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194</v>
      </c>
      <c r="B37" s="16">
        <v>581</v>
      </c>
      <c r="C37" s="47"/>
      <c r="D37" s="38">
        <f>Adjust!B$329</f>
        <v>-0.69299999999999995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0.152</v>
      </c>
      <c r="K37" s="16"/>
      <c r="L37" s="17"/>
    </row>
    <row r="38" spans="1:12" x14ac:dyDescent="0.25">
      <c r="A38" s="4" t="s">
        <v>195</v>
      </c>
      <c r="B38" s="16" t="s">
        <v>1832</v>
      </c>
      <c r="C38" s="47"/>
      <c r="D38" s="38">
        <f>Adjust!B$333</f>
        <v>-0.69299999999999995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196</v>
      </c>
      <c r="B39" s="16">
        <v>527</v>
      </c>
      <c r="C39" s="47"/>
      <c r="D39" s="38">
        <f>Adjust!B$335</f>
        <v>-8.8439999999999994</v>
      </c>
      <c r="E39" s="38">
        <f>Adjust!C$335</f>
        <v>-0.32800000000000001</v>
      </c>
      <c r="F39" s="38">
        <f>Adjust!D$335</f>
        <v>-6.6000000000000003E-2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0.152</v>
      </c>
      <c r="K39" s="16"/>
      <c r="L39" s="17"/>
    </row>
    <row r="40" spans="1:12" x14ac:dyDescent="0.25">
      <c r="A40" s="4" t="s">
        <v>197</v>
      </c>
      <c r="B40" s="16" t="s">
        <v>1832</v>
      </c>
      <c r="C40" s="47"/>
      <c r="D40" s="38">
        <f>Adjust!B$339</f>
        <v>-8.8439999999999994</v>
      </c>
      <c r="E40" s="38">
        <f>Adjust!C$339</f>
        <v>-0.32800000000000001</v>
      </c>
      <c r="F40" s="38">
        <f>Adjust!D$339</f>
        <v>-6.6000000000000003E-2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198</v>
      </c>
      <c r="B41" s="16">
        <v>551</v>
      </c>
      <c r="C41" s="47"/>
      <c r="D41" s="38">
        <f>Adjust!B$341</f>
        <v>-0.625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0.125</v>
      </c>
      <c r="K41" s="16"/>
      <c r="L41" s="17"/>
    </row>
    <row r="42" spans="1:12" x14ac:dyDescent="0.25">
      <c r="A42" s="4" t="s">
        <v>199</v>
      </c>
      <c r="B42" s="16" t="s">
        <v>1832</v>
      </c>
      <c r="C42" s="47"/>
      <c r="D42" s="38">
        <f>Adjust!B$344</f>
        <v>-0.625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200</v>
      </c>
      <c r="B43" s="16">
        <v>526</v>
      </c>
      <c r="C43" s="47"/>
      <c r="D43" s="38">
        <f>Adjust!B$346</f>
        <v>-8.1080000000000005</v>
      </c>
      <c r="E43" s="38">
        <f>Adjust!C$346</f>
        <v>-0.27900000000000003</v>
      </c>
      <c r="F43" s="38">
        <f>Adjust!D$346</f>
        <v>-5.7000000000000002E-2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0.125</v>
      </c>
      <c r="K43" s="16"/>
      <c r="L43" s="17"/>
    </row>
    <row r="44" spans="1:12" x14ac:dyDescent="0.25">
      <c r="A44" s="4" t="s">
        <v>201</v>
      </c>
      <c r="B44" s="16" t="s">
        <v>1832</v>
      </c>
      <c r="C44" s="47"/>
      <c r="D44" s="38">
        <f>Adjust!B$349</f>
        <v>-8.1080000000000005</v>
      </c>
      <c r="E44" s="38">
        <f>Adjust!C$349</f>
        <v>-0.27900000000000003</v>
      </c>
      <c r="F44" s="38">
        <f>Adjust!D$349</f>
        <v>-5.7000000000000002E-2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209</v>
      </c>
      <c r="B45" s="16">
        <v>521</v>
      </c>
      <c r="C45" s="47"/>
      <c r="D45" s="38">
        <f>Adjust!B$351</f>
        <v>-0.39400000000000002</v>
      </c>
      <c r="E45" s="38">
        <f>Adjust!C$351</f>
        <v>0</v>
      </c>
      <c r="F45" s="38">
        <f>Adjust!D$351</f>
        <v>0</v>
      </c>
      <c r="G45" s="48">
        <f>Adjust!E$351</f>
        <v>41.59</v>
      </c>
      <c r="H45" s="48">
        <f>Adjust!F$351</f>
        <v>0</v>
      </c>
      <c r="I45" s="48">
        <f>Adjust!G$351</f>
        <v>0</v>
      </c>
      <c r="J45" s="38">
        <f>Adjust!H$351</f>
        <v>9.6000000000000002E-2</v>
      </c>
      <c r="K45" s="16"/>
      <c r="L45" s="17"/>
    </row>
    <row r="46" spans="1:12" x14ac:dyDescent="0.25">
      <c r="A46" s="4" t="s">
        <v>210</v>
      </c>
      <c r="B46" s="16" t="s">
        <v>1832</v>
      </c>
      <c r="C46" s="47"/>
      <c r="D46" s="38">
        <f>Adjust!B$354</f>
        <v>-0.39400000000000002</v>
      </c>
      <c r="E46" s="38">
        <f>Adjust!C$354</f>
        <v>0</v>
      </c>
      <c r="F46" s="38">
        <f>Adjust!D$354</f>
        <v>0</v>
      </c>
      <c r="G46" s="48">
        <f>Adjust!E$354</f>
        <v>41.59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211</v>
      </c>
      <c r="B47" s="16">
        <v>524</v>
      </c>
      <c r="C47" s="47"/>
      <c r="D47" s="38">
        <f>Adjust!B$356</f>
        <v>-5.585</v>
      </c>
      <c r="E47" s="38">
        <f>Adjust!C$356</f>
        <v>-0.11600000000000001</v>
      </c>
      <c r="F47" s="38">
        <f>Adjust!D$356</f>
        <v>-2.8000000000000001E-2</v>
      </c>
      <c r="G47" s="48">
        <f>Adjust!E$356</f>
        <v>41.59</v>
      </c>
      <c r="H47" s="48">
        <f>Adjust!F$356</f>
        <v>0</v>
      </c>
      <c r="I47" s="48">
        <f>Adjust!G$356</f>
        <v>0</v>
      </c>
      <c r="J47" s="38">
        <f>Adjust!H$356</f>
        <v>9.6000000000000002E-2</v>
      </c>
      <c r="K47" s="16"/>
      <c r="L47" s="17"/>
    </row>
    <row r="48" spans="1:12" x14ac:dyDescent="0.25">
      <c r="A48" s="4" t="s">
        <v>212</v>
      </c>
      <c r="B48" s="16" t="s">
        <v>1832</v>
      </c>
      <c r="C48" s="47"/>
      <c r="D48" s="38">
        <f>Adjust!B$359</f>
        <v>-5.585</v>
      </c>
      <c r="E48" s="38">
        <f>Adjust!C$359</f>
        <v>-0.11600000000000001</v>
      </c>
      <c r="F48" s="38">
        <f>Adjust!D$359</f>
        <v>-2.8000000000000001E-2</v>
      </c>
      <c r="G48" s="48">
        <f>Adjust!E$359</f>
        <v>41.59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247</v>
      </c>
      <c r="B49" s="16">
        <v>20300</v>
      </c>
      <c r="C49" s="47">
        <v>1</v>
      </c>
      <c r="D49" s="38">
        <f>Adjust!B$253</f>
        <v>1.7190000000000001</v>
      </c>
      <c r="E49" s="38">
        <f>Adjust!C$253</f>
        <v>0</v>
      </c>
      <c r="F49" s="38">
        <f>Adjust!D$253</f>
        <v>0</v>
      </c>
      <c r="G49" s="48">
        <f>Adjust!E$253</f>
        <v>3.14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250</v>
      </c>
      <c r="B50" s="16">
        <v>20301</v>
      </c>
      <c r="C50" s="47">
        <v>2</v>
      </c>
      <c r="D50" s="38">
        <f>Adjust!B$257</f>
        <v>1.883</v>
      </c>
      <c r="E50" s="38">
        <f>Adjust!C$257</f>
        <v>0.89</v>
      </c>
      <c r="F50" s="38">
        <f>Adjust!D$257</f>
        <v>0</v>
      </c>
      <c r="G50" s="48">
        <f>Adjust!E$257</f>
        <v>3.14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253</v>
      </c>
      <c r="B51" s="16">
        <v>20302</v>
      </c>
      <c r="C51" s="47">
        <v>2</v>
      </c>
      <c r="D51" s="38">
        <f>Adjust!B$261</f>
        <v>0.89100000000000001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256</v>
      </c>
      <c r="B52" s="16">
        <v>20303</v>
      </c>
      <c r="C52" s="47">
        <v>3</v>
      </c>
      <c r="D52" s="38">
        <f>Adjust!B$265</f>
        <v>1.581</v>
      </c>
      <c r="E52" s="38">
        <f>Adjust!C$265</f>
        <v>0</v>
      </c>
      <c r="F52" s="38">
        <f>Adjust!D$265</f>
        <v>0</v>
      </c>
      <c r="G52" s="48">
        <f>Adjust!E$265</f>
        <v>5.86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259</v>
      </c>
      <c r="B53" s="16">
        <v>20304</v>
      </c>
      <c r="C53" s="47">
        <v>4</v>
      </c>
      <c r="D53" s="38">
        <f>Adjust!B$269</f>
        <v>1.6879999999999999</v>
      </c>
      <c r="E53" s="38">
        <f>Adjust!C$269</f>
        <v>0.89</v>
      </c>
      <c r="F53" s="38">
        <f>Adjust!D$269</f>
        <v>0</v>
      </c>
      <c r="G53" s="48">
        <f>Adjust!E$269</f>
        <v>5.86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262</v>
      </c>
      <c r="B54" s="16">
        <v>20305</v>
      </c>
      <c r="C54" s="47">
        <v>4</v>
      </c>
      <c r="D54" s="38">
        <f>Adjust!B$273</f>
        <v>0.89600000000000002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265</v>
      </c>
      <c r="B55" s="16">
        <v>20306</v>
      </c>
      <c r="C55" s="47" t="s">
        <v>1480</v>
      </c>
      <c r="D55" s="38">
        <f>Adjust!B$277</f>
        <v>1.6020000000000001</v>
      </c>
      <c r="E55" s="38">
        <f>Adjust!C$277</f>
        <v>0.878</v>
      </c>
      <c r="F55" s="38">
        <f>Adjust!D$277</f>
        <v>0</v>
      </c>
      <c r="G55" s="48">
        <f>Adjust!E$277</f>
        <v>14.66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270</v>
      </c>
      <c r="B56" s="16">
        <v>20307</v>
      </c>
      <c r="C56" s="47"/>
      <c r="D56" s="38">
        <f>Adjust!B$285</f>
        <v>9.0120000000000005</v>
      </c>
      <c r="E56" s="38">
        <f>Adjust!C$285</f>
        <v>1.1279999999999999</v>
      </c>
      <c r="F56" s="38">
        <f>Adjust!D$285</f>
        <v>0.88500000000000001</v>
      </c>
      <c r="G56" s="48">
        <f>Adjust!E$285</f>
        <v>3.14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273</v>
      </c>
      <c r="B57" s="16">
        <v>20308</v>
      </c>
      <c r="C57" s="47"/>
      <c r="D57" s="38">
        <f>Adjust!B$289</f>
        <v>9.3339999999999996</v>
      </c>
      <c r="E57" s="38">
        <f>Adjust!C$289</f>
        <v>1.1399999999999999</v>
      </c>
      <c r="F57" s="38">
        <f>Adjust!D$289</f>
        <v>0.88800000000000001</v>
      </c>
      <c r="G57" s="48">
        <f>Adjust!E$289</f>
        <v>5.86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276</v>
      </c>
      <c r="B58" s="16">
        <v>20309</v>
      </c>
      <c r="C58" s="47"/>
      <c r="D58" s="38">
        <f>Adjust!B$293</f>
        <v>6.5259999999999998</v>
      </c>
      <c r="E58" s="38">
        <f>Adjust!C$293</f>
        <v>1.0109999999999999</v>
      </c>
      <c r="F58" s="38">
        <f>Adjust!D$293</f>
        <v>0.86299999999999999</v>
      </c>
      <c r="G58" s="48">
        <f>Adjust!E$293</f>
        <v>7.5</v>
      </c>
      <c r="H58" s="48">
        <f>Adjust!F$293</f>
        <v>2.06</v>
      </c>
      <c r="I58" s="48">
        <f>Adjust!G$293</f>
        <v>4.55</v>
      </c>
      <c r="J58" s="38">
        <f>Adjust!H$293</f>
        <v>9.4E-2</v>
      </c>
      <c r="K58" s="16"/>
      <c r="L58" s="17"/>
    </row>
    <row r="59" spans="1:12" x14ac:dyDescent="0.25">
      <c r="A59" s="4" t="s">
        <v>283</v>
      </c>
      <c r="B59" s="16">
        <v>20310</v>
      </c>
      <c r="C59" s="47">
        <v>8</v>
      </c>
      <c r="D59" s="38">
        <f>Adjust!B$303</f>
        <v>1.968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286</v>
      </c>
      <c r="B60" s="16">
        <v>20311</v>
      </c>
      <c r="C60" s="47">
        <v>1</v>
      </c>
      <c r="D60" s="38">
        <f>Adjust!B$307</f>
        <v>2.1789999999999998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289</v>
      </c>
      <c r="B61" s="16">
        <v>20312</v>
      </c>
      <c r="C61" s="47">
        <v>1</v>
      </c>
      <c r="D61" s="38">
        <f>Adjust!B$311</f>
        <v>2.746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292</v>
      </c>
      <c r="B62" s="16">
        <v>20313</v>
      </c>
      <c r="C62" s="47">
        <v>1</v>
      </c>
      <c r="D62" s="38">
        <f>Adjust!B$315</f>
        <v>1.764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295</v>
      </c>
      <c r="B63" s="16">
        <v>20314</v>
      </c>
      <c r="C63" s="47"/>
      <c r="D63" s="38">
        <f>Adjust!B$319</f>
        <v>21.85</v>
      </c>
      <c r="E63" s="38">
        <f>Adjust!C$319</f>
        <v>1.825</v>
      </c>
      <c r="F63" s="38">
        <f>Adjust!D$319</f>
        <v>1.454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298</v>
      </c>
      <c r="B64" s="16">
        <v>20315</v>
      </c>
      <c r="C64" s="47" t="s">
        <v>1481</v>
      </c>
      <c r="D64" s="38">
        <f>Adjust!B$323</f>
        <v>-0.69299999999999995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303</v>
      </c>
      <c r="B65" s="16">
        <v>20316</v>
      </c>
      <c r="C65" s="47"/>
      <c r="D65" s="38">
        <f>Adjust!B$330</f>
        <v>-0.69299999999999995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0.152</v>
      </c>
      <c r="K65" s="16"/>
      <c r="L65" s="17"/>
    </row>
    <row r="66" spans="1:12" x14ac:dyDescent="0.25">
      <c r="A66" s="4" t="s">
        <v>307</v>
      </c>
      <c r="B66" s="16">
        <v>20317</v>
      </c>
      <c r="C66" s="47"/>
      <c r="D66" s="38">
        <f>Adjust!B$336</f>
        <v>-8.8439999999999994</v>
      </c>
      <c r="E66" s="38">
        <f>Adjust!C$336</f>
        <v>-0.32800000000000001</v>
      </c>
      <c r="F66" s="38">
        <f>Adjust!D$336</f>
        <v>-6.6000000000000003E-2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0.152</v>
      </c>
      <c r="K66" s="16"/>
      <c r="L66" s="17"/>
    </row>
    <row r="67" spans="1:12" x14ac:dyDescent="0.25">
      <c r="A67" s="4" t="s">
        <v>248</v>
      </c>
      <c r="B67" s="16">
        <v>20318</v>
      </c>
      <c r="C67" s="47">
        <v>1</v>
      </c>
      <c r="D67" s="38">
        <f>Adjust!B$254</f>
        <v>1.0569999999999999</v>
      </c>
      <c r="E67" s="38">
        <f>Adjust!C$254</f>
        <v>0</v>
      </c>
      <c r="F67" s="38">
        <f>Adjust!D$254</f>
        <v>0</v>
      </c>
      <c r="G67" s="48">
        <f>Adjust!E$254</f>
        <v>1.93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251</v>
      </c>
      <c r="B68" s="16">
        <v>20319</v>
      </c>
      <c r="C68" s="47">
        <v>2</v>
      </c>
      <c r="D68" s="38">
        <f>Adjust!B$258</f>
        <v>1.1579999999999999</v>
      </c>
      <c r="E68" s="38">
        <f>Adjust!C$258</f>
        <v>0.54700000000000004</v>
      </c>
      <c r="F68" s="38">
        <f>Adjust!D$258</f>
        <v>0</v>
      </c>
      <c r="G68" s="48">
        <f>Adjust!E$258</f>
        <v>1.93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254</v>
      </c>
      <c r="B69" s="16">
        <v>20320</v>
      </c>
      <c r="C69" s="47">
        <v>2</v>
      </c>
      <c r="D69" s="38">
        <f>Adjust!B$262</f>
        <v>0.54800000000000004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257</v>
      </c>
      <c r="B70" s="16">
        <v>20321</v>
      </c>
      <c r="C70" s="47">
        <v>3</v>
      </c>
      <c r="D70" s="38">
        <f>Adjust!B$266</f>
        <v>0.97199999999999998</v>
      </c>
      <c r="E70" s="38">
        <f>Adjust!C$266</f>
        <v>0</v>
      </c>
      <c r="F70" s="38">
        <f>Adjust!D$266</f>
        <v>0</v>
      </c>
      <c r="G70" s="48">
        <f>Adjust!E$266</f>
        <v>3.6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260</v>
      </c>
      <c r="B71" s="16">
        <v>20322</v>
      </c>
      <c r="C71" s="47">
        <v>4</v>
      </c>
      <c r="D71" s="38">
        <f>Adjust!B$270</f>
        <v>1.038</v>
      </c>
      <c r="E71" s="38">
        <f>Adjust!C$270</f>
        <v>0.54700000000000004</v>
      </c>
      <c r="F71" s="38">
        <f>Adjust!D$270</f>
        <v>0</v>
      </c>
      <c r="G71" s="48">
        <f>Adjust!E$270</f>
        <v>3.6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263</v>
      </c>
      <c r="B72" s="16">
        <v>20323</v>
      </c>
      <c r="C72" s="47">
        <v>4</v>
      </c>
      <c r="D72" s="38">
        <f>Adjust!B$274</f>
        <v>0.55100000000000005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266</v>
      </c>
      <c r="B73" s="16">
        <v>20324</v>
      </c>
      <c r="C73" s="47" t="s">
        <v>1480</v>
      </c>
      <c r="D73" s="38">
        <f>Adjust!B$278</f>
        <v>0.98499999999999999</v>
      </c>
      <c r="E73" s="38">
        <f>Adjust!C$278</f>
        <v>0.54</v>
      </c>
      <c r="F73" s="38">
        <f>Adjust!D$278</f>
        <v>0</v>
      </c>
      <c r="G73" s="48">
        <f>Adjust!E$278</f>
        <v>9.02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271</v>
      </c>
      <c r="B74" s="16">
        <v>20325</v>
      </c>
      <c r="C74" s="47"/>
      <c r="D74" s="38">
        <f>Adjust!B$286</f>
        <v>5.5419999999999998</v>
      </c>
      <c r="E74" s="38">
        <f>Adjust!C$286</f>
        <v>0.69399999999999995</v>
      </c>
      <c r="F74" s="38">
        <f>Adjust!D$286</f>
        <v>0.54400000000000004</v>
      </c>
      <c r="G74" s="48">
        <f>Adjust!E$286</f>
        <v>1.93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274</v>
      </c>
      <c r="B75" s="16">
        <v>20326</v>
      </c>
      <c r="C75" s="47"/>
      <c r="D75" s="38">
        <f>Adjust!B$290</f>
        <v>5.74</v>
      </c>
      <c r="E75" s="38">
        <f>Adjust!C$290</f>
        <v>0.70099999999999996</v>
      </c>
      <c r="F75" s="38">
        <f>Adjust!D$290</f>
        <v>0.54600000000000004</v>
      </c>
      <c r="G75" s="48">
        <f>Adjust!E$290</f>
        <v>3.6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277</v>
      </c>
      <c r="B76" s="16">
        <v>20327</v>
      </c>
      <c r="C76" s="47"/>
      <c r="D76" s="38">
        <f>Adjust!B$294</f>
        <v>4.0129999999999999</v>
      </c>
      <c r="E76" s="38">
        <f>Adjust!C$294</f>
        <v>0.622</v>
      </c>
      <c r="F76" s="38">
        <f>Adjust!D$294</f>
        <v>0.53100000000000003</v>
      </c>
      <c r="G76" s="48">
        <f>Adjust!E$294</f>
        <v>4.6100000000000003</v>
      </c>
      <c r="H76" s="48">
        <f>Adjust!F$294</f>
        <v>1.26</v>
      </c>
      <c r="I76" s="48">
        <f>Adjust!G$294</f>
        <v>2.8</v>
      </c>
      <c r="J76" s="38">
        <f>Adjust!H$294</f>
        <v>5.8000000000000003E-2</v>
      </c>
      <c r="K76" s="16"/>
      <c r="L76" s="17"/>
    </row>
    <row r="77" spans="1:12" x14ac:dyDescent="0.25">
      <c r="A77" s="4" t="s">
        <v>279</v>
      </c>
      <c r="B77" s="16">
        <v>20328</v>
      </c>
      <c r="C77" s="47"/>
      <c r="D77" s="38">
        <f>Adjust!B$297</f>
        <v>5.3250000000000002</v>
      </c>
      <c r="E77" s="38">
        <f>Adjust!C$297</f>
        <v>0.94</v>
      </c>
      <c r="F77" s="38">
        <f>Adjust!D$297</f>
        <v>0.85599999999999998</v>
      </c>
      <c r="G77" s="48">
        <f>Adjust!E$297</f>
        <v>5.91</v>
      </c>
      <c r="H77" s="48">
        <f>Adjust!F$297</f>
        <v>2.12</v>
      </c>
      <c r="I77" s="48">
        <f>Adjust!G$297</f>
        <v>4.24</v>
      </c>
      <c r="J77" s="38">
        <f>Adjust!H$297</f>
        <v>6.6000000000000003E-2</v>
      </c>
      <c r="K77" s="16"/>
      <c r="L77" s="17"/>
    </row>
    <row r="78" spans="1:12" x14ac:dyDescent="0.25">
      <c r="A78" s="4" t="s">
        <v>281</v>
      </c>
      <c r="B78" s="16">
        <v>20329</v>
      </c>
      <c r="C78" s="47"/>
      <c r="D78" s="38">
        <f>Adjust!B$300</f>
        <v>5.0289999999999999</v>
      </c>
      <c r="E78" s="38">
        <f>Adjust!C$300</f>
        <v>1.052</v>
      </c>
      <c r="F78" s="38">
        <f>Adjust!D$300</f>
        <v>1.004</v>
      </c>
      <c r="G78" s="48">
        <f>Adjust!E$300</f>
        <v>75.64</v>
      </c>
      <c r="H78" s="48">
        <f>Adjust!F$300</f>
        <v>2.11</v>
      </c>
      <c r="I78" s="48">
        <f>Adjust!G$300</f>
        <v>5.01</v>
      </c>
      <c r="J78" s="38">
        <f>Adjust!H$300</f>
        <v>5.3999999999999999E-2</v>
      </c>
      <c r="K78" s="16"/>
      <c r="L78" s="17"/>
    </row>
    <row r="79" spans="1:12" x14ac:dyDescent="0.25">
      <c r="A79" s="4" t="s">
        <v>284</v>
      </c>
      <c r="B79" s="16">
        <v>20330</v>
      </c>
      <c r="C79" s="47">
        <v>8</v>
      </c>
      <c r="D79" s="38">
        <f>Adjust!B$304</f>
        <v>1.21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287</v>
      </c>
      <c r="B80" s="16">
        <v>20331</v>
      </c>
      <c r="C80" s="47">
        <v>1</v>
      </c>
      <c r="D80" s="38">
        <f>Adjust!B$308</f>
        <v>1.34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290</v>
      </c>
      <c r="B81" s="16">
        <v>20332</v>
      </c>
      <c r="C81" s="47">
        <v>1</v>
      </c>
      <c r="D81" s="38">
        <f>Adjust!B$312</f>
        <v>1.6879999999999999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293</v>
      </c>
      <c r="B82" s="16">
        <v>20333</v>
      </c>
      <c r="C82" s="47">
        <v>1</v>
      </c>
      <c r="D82" s="38">
        <f>Adjust!B$316</f>
        <v>1.0840000000000001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296</v>
      </c>
      <c r="B83" s="16">
        <v>20334</v>
      </c>
      <c r="C83" s="47"/>
      <c r="D83" s="38">
        <f>Adjust!B$320</f>
        <v>13.436</v>
      </c>
      <c r="E83" s="38">
        <f>Adjust!C$320</f>
        <v>1.1220000000000001</v>
      </c>
      <c r="F83" s="38">
        <f>Adjust!D$320</f>
        <v>0.89400000000000002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299</v>
      </c>
      <c r="B84" s="16">
        <v>20335</v>
      </c>
      <c r="C84" s="47" t="s">
        <v>1481</v>
      </c>
      <c r="D84" s="38">
        <f>Adjust!B$324</f>
        <v>-0.69299999999999995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301</v>
      </c>
      <c r="B85" s="16">
        <v>20336</v>
      </c>
      <c r="C85" s="47">
        <v>8</v>
      </c>
      <c r="D85" s="38">
        <f>Adjust!B$327</f>
        <v>-0.625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304</v>
      </c>
      <c r="B86" s="16">
        <v>20337</v>
      </c>
      <c r="C86" s="47"/>
      <c r="D86" s="38">
        <f>Adjust!B$331</f>
        <v>-0.69299999999999995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0.152</v>
      </c>
      <c r="K86" s="16"/>
      <c r="L86" s="17"/>
    </row>
    <row r="87" spans="1:12" x14ac:dyDescent="0.25">
      <c r="A87" s="4" t="s">
        <v>308</v>
      </c>
      <c r="B87" s="16">
        <v>20338</v>
      </c>
      <c r="C87" s="47"/>
      <c r="D87" s="38">
        <f>Adjust!B$337</f>
        <v>-8.8439999999999994</v>
      </c>
      <c r="E87" s="38">
        <f>Adjust!C$337</f>
        <v>-0.32800000000000001</v>
      </c>
      <c r="F87" s="38">
        <f>Adjust!D$337</f>
        <v>-6.6000000000000003E-2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0.152</v>
      </c>
      <c r="K87" s="16"/>
      <c r="L87" s="17"/>
    </row>
    <row r="88" spans="1:12" x14ac:dyDescent="0.25">
      <c r="A88" s="4" t="s">
        <v>311</v>
      </c>
      <c r="B88" s="16">
        <v>20339</v>
      </c>
      <c r="C88" s="47"/>
      <c r="D88" s="38">
        <f>Adjust!B$342</f>
        <v>-0.625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0.125</v>
      </c>
      <c r="K88" s="16"/>
      <c r="L88" s="17"/>
    </row>
    <row r="89" spans="1:12" x14ac:dyDescent="0.25">
      <c r="A89" s="4" t="s">
        <v>314</v>
      </c>
      <c r="B89" s="16">
        <v>20340</v>
      </c>
      <c r="C89" s="47"/>
      <c r="D89" s="38">
        <f>Adjust!B$347</f>
        <v>-8.1080000000000005</v>
      </c>
      <c r="E89" s="38">
        <f>Adjust!C$347</f>
        <v>-0.27900000000000003</v>
      </c>
      <c r="F89" s="38">
        <f>Adjust!D$347</f>
        <v>-5.7000000000000002E-2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0.125</v>
      </c>
      <c r="K89" s="16"/>
      <c r="L89" s="17"/>
    </row>
    <row r="90" spans="1:12" x14ac:dyDescent="0.25">
      <c r="A90" s="4" t="s">
        <v>317</v>
      </c>
      <c r="B90" s="16">
        <v>20341</v>
      </c>
      <c r="C90" s="47"/>
      <c r="D90" s="38">
        <f>Adjust!B$352</f>
        <v>-0.39400000000000002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9.6000000000000002E-2</v>
      </c>
      <c r="K90" s="16"/>
      <c r="L90" s="17"/>
    </row>
    <row r="91" spans="1:12" x14ac:dyDescent="0.25">
      <c r="A91" s="4" t="s">
        <v>320</v>
      </c>
      <c r="B91" s="16">
        <v>20342</v>
      </c>
      <c r="C91" s="47"/>
      <c r="D91" s="38">
        <f>Adjust!B$357</f>
        <v>-5.585</v>
      </c>
      <c r="E91" s="38">
        <f>Adjust!C$357</f>
        <v>-0.11600000000000001</v>
      </c>
      <c r="F91" s="38">
        <f>Adjust!D$357</f>
        <v>-2.8000000000000001E-2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9.6000000000000002E-2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South West in April 19 (no data version)</v>
      </c>
    </row>
    <row r="2" spans="1:6" x14ac:dyDescent="0.25">
      <c r="A2" s="2" t="s">
        <v>1482</v>
      </c>
    </row>
    <row r="4" spans="1:6" ht="21" customHeight="1" x14ac:dyDescent="0.3">
      <c r="A4" s="1" t="s">
        <v>1483</v>
      </c>
    </row>
    <row r="5" spans="1:6" x14ac:dyDescent="0.25">
      <c r="A5" s="2" t="s">
        <v>381</v>
      </c>
    </row>
    <row r="6" spans="1:6" x14ac:dyDescent="0.25">
      <c r="A6" s="32" t="s">
        <v>498</v>
      </c>
    </row>
    <row r="7" spans="1:6" x14ac:dyDescent="0.25">
      <c r="A7" s="32" t="s">
        <v>1484</v>
      </c>
    </row>
    <row r="8" spans="1:6" x14ac:dyDescent="0.25">
      <c r="A8" s="32" t="s">
        <v>1485</v>
      </c>
    </row>
    <row r="9" spans="1:6" x14ac:dyDescent="0.25">
      <c r="A9" s="32" t="s">
        <v>1486</v>
      </c>
    </row>
    <row r="10" spans="1:6" x14ac:dyDescent="0.25">
      <c r="A10" s="33" t="s">
        <v>384</v>
      </c>
      <c r="B10" s="33" t="s">
        <v>443</v>
      </c>
      <c r="C10" s="33" t="s">
        <v>443</v>
      </c>
      <c r="D10" s="33" t="s">
        <v>443</v>
      </c>
      <c r="E10" s="33" t="s">
        <v>514</v>
      </c>
    </row>
    <row r="11" spans="1:6" x14ac:dyDescent="0.25">
      <c r="A11" s="33" t="s">
        <v>387</v>
      </c>
      <c r="B11" s="33" t="s">
        <v>1473</v>
      </c>
      <c r="C11" s="33" t="s">
        <v>446</v>
      </c>
      <c r="D11" s="33" t="s">
        <v>1474</v>
      </c>
      <c r="E11" s="33" t="s">
        <v>1487</v>
      </c>
    </row>
    <row r="13" spans="1:6" ht="45" x14ac:dyDescent="0.25">
      <c r="B13" s="15" t="s">
        <v>139</v>
      </c>
      <c r="C13" s="15" t="s">
        <v>1442</v>
      </c>
      <c r="D13" s="15" t="s">
        <v>1445</v>
      </c>
      <c r="E13" s="15" t="s">
        <v>1488</v>
      </c>
    </row>
    <row r="14" spans="1:6" x14ac:dyDescent="0.25">
      <c r="A14" s="4" t="s">
        <v>1489</v>
      </c>
      <c r="B14" s="27">
        <f>Input!D60</f>
        <v>0</v>
      </c>
      <c r="C14" s="44">
        <f>Adjust!C234</f>
        <v>166134420.169866</v>
      </c>
      <c r="D14" s="44">
        <f>Adjust!F234</f>
        <v>13725.059051036835</v>
      </c>
      <c r="E14" s="39">
        <f>Adjust!F234/Revenue!B$66</f>
        <v>3.9580370368446528E-5</v>
      </c>
      <c r="F14" s="17"/>
    </row>
    <row r="16" spans="1:6" ht="21" customHeight="1" x14ac:dyDescent="0.3">
      <c r="A16" s="1" t="s">
        <v>1490</v>
      </c>
    </row>
    <row r="17" spans="1:1" x14ac:dyDescent="0.25">
      <c r="A17" s="2" t="s">
        <v>381</v>
      </c>
    </row>
    <row r="18" spans="1:1" x14ac:dyDescent="0.25">
      <c r="A18" s="32" t="s">
        <v>1491</v>
      </c>
    </row>
    <row r="19" spans="1:1" x14ac:dyDescent="0.25">
      <c r="A19" s="32" t="s">
        <v>1492</v>
      </c>
    </row>
    <row r="20" spans="1:1" x14ac:dyDescent="0.25">
      <c r="A20" s="32" t="s">
        <v>1493</v>
      </c>
    </row>
    <row r="21" spans="1:1" x14ac:dyDescent="0.25">
      <c r="A21" s="32" t="s">
        <v>1494</v>
      </c>
    </row>
    <row r="22" spans="1:1" x14ac:dyDescent="0.25">
      <c r="A22" s="32" t="s">
        <v>775</v>
      </c>
    </row>
    <row r="23" spans="1:1" x14ac:dyDescent="0.25">
      <c r="A23" s="32" t="s">
        <v>1495</v>
      </c>
    </row>
    <row r="24" spans="1:1" x14ac:dyDescent="0.25">
      <c r="A24" s="32" t="s">
        <v>1496</v>
      </c>
    </row>
    <row r="25" spans="1:1" x14ac:dyDescent="0.25">
      <c r="A25" s="32" t="s">
        <v>1497</v>
      </c>
    </row>
    <row r="26" spans="1:1" x14ac:dyDescent="0.25">
      <c r="A26" s="32" t="s">
        <v>1498</v>
      </c>
    </row>
    <row r="27" spans="1:1" x14ac:dyDescent="0.25">
      <c r="A27" s="32" t="s">
        <v>1499</v>
      </c>
    </row>
    <row r="28" spans="1:1" x14ac:dyDescent="0.25">
      <c r="A28" s="32" t="s">
        <v>1500</v>
      </c>
    </row>
    <row r="29" spans="1:1" x14ac:dyDescent="0.25">
      <c r="A29" s="32" t="s">
        <v>1501</v>
      </c>
    </row>
    <row r="30" spans="1:1" x14ac:dyDescent="0.25">
      <c r="A30" s="32" t="s">
        <v>1502</v>
      </c>
    </row>
    <row r="31" spans="1:1" x14ac:dyDescent="0.25">
      <c r="A31" s="32" t="s">
        <v>1503</v>
      </c>
    </row>
    <row r="32" spans="1:1" x14ac:dyDescent="0.25">
      <c r="A32" s="32" t="s">
        <v>1504</v>
      </c>
    </row>
    <row r="33" spans="1:23" x14ac:dyDescent="0.25">
      <c r="A33" s="32" t="s">
        <v>1505</v>
      </c>
    </row>
    <row r="34" spans="1:23" x14ac:dyDescent="0.25">
      <c r="A34" s="32" t="s">
        <v>1506</v>
      </c>
    </row>
    <row r="35" spans="1:23" x14ac:dyDescent="0.25">
      <c r="A35" s="32" t="s">
        <v>1507</v>
      </c>
    </row>
    <row r="36" spans="1:23" x14ac:dyDescent="0.25">
      <c r="A36" s="32" t="s">
        <v>1508</v>
      </c>
    </row>
    <row r="37" spans="1:23" x14ac:dyDescent="0.25">
      <c r="A37" s="32" t="s">
        <v>1509</v>
      </c>
    </row>
    <row r="38" spans="1:23" x14ac:dyDescent="0.25">
      <c r="A38" s="32" t="s">
        <v>1510</v>
      </c>
    </row>
    <row r="39" spans="1:23" x14ac:dyDescent="0.25">
      <c r="A39" s="32" t="s">
        <v>1511</v>
      </c>
    </row>
    <row r="40" spans="1:23" x14ac:dyDescent="0.25">
      <c r="A40" s="32" t="s">
        <v>1512</v>
      </c>
    </row>
    <row r="41" spans="1:23" x14ac:dyDescent="0.25">
      <c r="A41" s="32" t="s">
        <v>1513</v>
      </c>
    </row>
    <row r="42" spans="1:23" x14ac:dyDescent="0.25">
      <c r="A42" s="32" t="s">
        <v>1514</v>
      </c>
    </row>
    <row r="43" spans="1:23" x14ac:dyDescent="0.25">
      <c r="A43" s="32" t="s">
        <v>1515</v>
      </c>
    </row>
    <row r="44" spans="1:23" x14ac:dyDescent="0.25">
      <c r="A44" s="33" t="s">
        <v>384</v>
      </c>
      <c r="B44" s="33" t="s">
        <v>514</v>
      </c>
      <c r="C44" s="33" t="s">
        <v>443</v>
      </c>
      <c r="D44" s="33" t="s">
        <v>514</v>
      </c>
      <c r="E44" s="33" t="s">
        <v>514</v>
      </c>
      <c r="F44" s="33" t="s">
        <v>514</v>
      </c>
      <c r="G44" s="33" t="s">
        <v>514</v>
      </c>
      <c r="H44" s="33" t="s">
        <v>514</v>
      </c>
      <c r="I44" s="33" t="s">
        <v>514</v>
      </c>
      <c r="J44" s="33" t="s">
        <v>514</v>
      </c>
      <c r="K44" s="33" t="s">
        <v>514</v>
      </c>
      <c r="L44" s="33" t="s">
        <v>514</v>
      </c>
      <c r="M44" s="33" t="s">
        <v>514</v>
      </c>
      <c r="N44" s="33" t="s">
        <v>514</v>
      </c>
      <c r="O44" s="33" t="s">
        <v>514</v>
      </c>
      <c r="P44" s="33" t="s">
        <v>514</v>
      </c>
      <c r="Q44" s="33" t="s">
        <v>514</v>
      </c>
      <c r="R44" s="33" t="s">
        <v>514</v>
      </c>
      <c r="S44" s="33" t="s">
        <v>514</v>
      </c>
      <c r="T44" s="33" t="s">
        <v>514</v>
      </c>
      <c r="U44" s="33" t="s">
        <v>514</v>
      </c>
      <c r="V44" s="33" t="s">
        <v>514</v>
      </c>
    </row>
    <row r="45" spans="1:23" ht="60" x14ac:dyDescent="0.25">
      <c r="A45" s="33" t="s">
        <v>387</v>
      </c>
      <c r="B45" s="33" t="s">
        <v>1516</v>
      </c>
      <c r="C45" s="33" t="s">
        <v>1050</v>
      </c>
      <c r="D45" s="33" t="s">
        <v>1517</v>
      </c>
      <c r="E45" s="33" t="s">
        <v>1518</v>
      </c>
      <c r="F45" s="33" t="s">
        <v>1519</v>
      </c>
      <c r="G45" s="33" t="s">
        <v>1520</v>
      </c>
      <c r="H45" s="33" t="s">
        <v>1521</v>
      </c>
      <c r="I45" s="33" t="s">
        <v>1522</v>
      </c>
      <c r="J45" s="33" t="s">
        <v>1523</v>
      </c>
      <c r="K45" s="33" t="s">
        <v>1524</v>
      </c>
      <c r="L45" s="33" t="s">
        <v>1525</v>
      </c>
      <c r="M45" s="33" t="s">
        <v>1526</v>
      </c>
      <c r="N45" s="33" t="s">
        <v>1527</v>
      </c>
      <c r="O45" s="33" t="s">
        <v>1528</v>
      </c>
      <c r="P45" s="33" t="s">
        <v>1529</v>
      </c>
      <c r="Q45" s="33" t="s">
        <v>1530</v>
      </c>
      <c r="R45" s="33" t="s">
        <v>1531</v>
      </c>
      <c r="S45" s="33" t="s">
        <v>1532</v>
      </c>
      <c r="T45" s="33" t="s">
        <v>1533</v>
      </c>
      <c r="U45" s="33" t="s">
        <v>1534</v>
      </c>
      <c r="V45" s="33" t="s">
        <v>1535</v>
      </c>
    </row>
    <row r="47" spans="1:23" ht="45" x14ac:dyDescent="0.25">
      <c r="B47" s="15" t="s">
        <v>606</v>
      </c>
      <c r="C47" s="15" t="s">
        <v>242</v>
      </c>
      <c r="D47" s="15" t="s">
        <v>1536</v>
      </c>
      <c r="E47" s="15" t="s">
        <v>1537</v>
      </c>
      <c r="F47" s="15" t="s">
        <v>1538</v>
      </c>
      <c r="G47" s="15" t="s">
        <v>1539</v>
      </c>
      <c r="H47" s="15" t="s">
        <v>1540</v>
      </c>
      <c r="I47" s="15" t="s">
        <v>1541</v>
      </c>
      <c r="J47" s="15" t="s">
        <v>1542</v>
      </c>
      <c r="K47" s="15" t="s">
        <v>1543</v>
      </c>
      <c r="L47" s="15" t="s">
        <v>1544</v>
      </c>
      <c r="M47" s="15" t="s">
        <v>1545</v>
      </c>
      <c r="N47" s="15" t="s">
        <v>1546</v>
      </c>
      <c r="O47" s="15" t="s">
        <v>1547</v>
      </c>
      <c r="P47" s="15" t="s">
        <v>1548</v>
      </c>
      <c r="Q47" s="15" t="s">
        <v>1549</v>
      </c>
      <c r="R47" s="15" t="s">
        <v>1550</v>
      </c>
      <c r="S47" s="15" t="s">
        <v>1551</v>
      </c>
      <c r="T47" s="15" t="s">
        <v>1552</v>
      </c>
      <c r="U47" s="15" t="s">
        <v>1553</v>
      </c>
      <c r="V47" s="15" t="s">
        <v>1554</v>
      </c>
    </row>
    <row r="48" spans="1:23" x14ac:dyDescent="0.25">
      <c r="A48" s="28" t="s">
        <v>246</v>
      </c>
      <c r="W48" s="17"/>
    </row>
    <row r="49" spans="1:23" x14ac:dyDescent="0.25">
      <c r="A49" s="4" t="s">
        <v>182</v>
      </c>
      <c r="B49" s="42">
        <f>Input!B195+Input!C195+Input!D195</f>
        <v>4325611.9207158107</v>
      </c>
      <c r="C49" s="44">
        <f>Input!E195</f>
        <v>1265207.2271374017</v>
      </c>
      <c r="D49" s="42">
        <f>0.01*Input!F$60*(Adjust!$E252*Input!E195+Adjust!$F252*Input!F195+Adjust!$G252*Input!G195)+10*(Adjust!$B252*Input!B195+Adjust!$C252*Input!C195+Adjust!$D252*Input!D195+Adjust!$H252*Input!H195)</f>
        <v>142243489.36453286</v>
      </c>
      <c r="E49" s="42">
        <f>10*(Adjust!$B252*Input!B195+Adjust!$C252*Input!C195+Adjust!$D252*Input!D195)</f>
        <v>118997583.93889195</v>
      </c>
      <c r="F49" s="42">
        <f>Adjust!E252*Input!$F$60*Input!$E195/100</f>
        <v>23245905.425640907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3.28840154807494</v>
      </c>
      <c r="K49" s="46">
        <f>IF(C49&lt;&gt;0,D49/C49,"")</f>
        <v>112.42702880093903</v>
      </c>
      <c r="L49" s="37">
        <f>IF(B49&lt;&gt;0,0.1*E49/B49,0)</f>
        <v>2.7510000000000003</v>
      </c>
      <c r="M49" s="42">
        <f>Adjust!B252*Input!$B195*10</f>
        <v>118997583.93889195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0.16342333508191528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247</v>
      </c>
      <c r="B50" s="42">
        <f>Input!B196+Input!C196+Input!D196</f>
        <v>26901.245229423566</v>
      </c>
      <c r="C50" s="44">
        <f>Input!E196</f>
        <v>10731.187338674054</v>
      </c>
      <c r="D50" s="42">
        <f>0.01*Input!F$60*(Adjust!$E253*Input!E196+Adjust!$F253*Input!F196+Adjust!$G253*Input!G196)+10*(Adjust!$B253*Input!B196+Adjust!$C253*Input!C196+Adjust!$D253*Input!D196+Adjust!$H253*Input!H196)</f>
        <v>585759.50286476885</v>
      </c>
      <c r="E50" s="42">
        <f>10*(Adjust!$B253*Input!B196+Adjust!$C253*Input!C196+Adjust!$D253*Input!D196)</f>
        <v>462432.40549379116</v>
      </c>
      <c r="F50" s="42">
        <f>Adjust!E253*Input!$F$60*Input!$E196/100</f>
        <v>123327.0973709777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2.1774438241397363</v>
      </c>
      <c r="K50" s="46">
        <f>IF(C50&lt;&gt;0,D50/C50,"")</f>
        <v>54.584780265064808</v>
      </c>
      <c r="L50" s="37">
        <f>IF(B50&lt;&gt;0,0.1*E50/B50,0)</f>
        <v>1.7190000000000001</v>
      </c>
      <c r="M50" s="42">
        <f>Adjust!B253*Input!$B196*10</f>
        <v>462432.40549379116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0.21054220506508722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248</v>
      </c>
      <c r="B51" s="42">
        <f>Input!B197+Input!C197+Input!D197</f>
        <v>55013.174031689108</v>
      </c>
      <c r="C51" s="44">
        <f>Input!E197</f>
        <v>23203.542748283573</v>
      </c>
      <c r="D51" s="42">
        <f>0.01*Input!F$60*(Adjust!$E254*Input!E197+Adjust!$F254*Input!F197+Adjust!$G254*Input!G197)+10*(Adjust!$B254*Input!B197+Adjust!$C254*Input!C197+Adjust!$D254*Input!D197+Adjust!$H254*Input!H197)</f>
        <v>745394.43478027929</v>
      </c>
      <c r="E51" s="42">
        <f>10*(Adjust!$B254*Input!B197+Adjust!$C254*Input!C197+Adjust!$D254*Input!D197)</f>
        <v>581489.24951495382</v>
      </c>
      <c r="F51" s="42">
        <f>Adjust!E254*Input!$F$60*Input!$E197/100</f>
        <v>163905.1852653255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1.3549380632917334</v>
      </c>
      <c r="K51" s="46">
        <f>IF(C51&lt;&gt;0,D51/C51,"")</f>
        <v>32.12416495474244</v>
      </c>
      <c r="L51" s="37">
        <f>IF(B51&lt;&gt;0,0.1*E51/B51,0)</f>
        <v>1.0569999999999999</v>
      </c>
      <c r="M51" s="42">
        <f>Adjust!B254*Input!$B197*10</f>
        <v>581489.24951495382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0.21989054065535116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249</v>
      </c>
      <c r="W52" s="17"/>
    </row>
    <row r="53" spans="1:23" x14ac:dyDescent="0.25">
      <c r="A53" s="4" t="s">
        <v>183</v>
      </c>
      <c r="B53" s="42">
        <f>Input!B199+Input!C199+Input!D199</f>
        <v>1240652.3433669056</v>
      </c>
      <c r="C53" s="44">
        <f>Input!E199</f>
        <v>204084.58149972049</v>
      </c>
      <c r="D53" s="42">
        <f>0.01*Input!F$60*(Adjust!$E256*Input!E199+Adjust!$F256*Input!F199+Adjust!$G256*Input!G199)+10*(Adjust!$B256*Input!B199+Adjust!$C256*Input!C199+Adjust!$D256*Input!D199+Adjust!$H256*Input!H199)</f>
        <v>31469813.447182573</v>
      </c>
      <c r="E53" s="42">
        <f>10*(Adjust!$B256*Input!B199+Adjust!$C256*Input!C199+Adjust!$D256*Input!D199)</f>
        <v>27720126.614371911</v>
      </c>
      <c r="F53" s="42">
        <f>Adjust!E256*Input!$F$60*Input!$E199/100</f>
        <v>3749686.8328106641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2.5365537425076878</v>
      </c>
      <c r="K53" s="46">
        <f>IF(C53&lt;&gt;0,D53/C53,"")</f>
        <v>154.19985780369043</v>
      </c>
      <c r="L53" s="37">
        <f>IF(B53&lt;&gt;0,0.1*E53/B53,0)</f>
        <v>2.2343186439437588</v>
      </c>
      <c r="M53" s="42">
        <f>Adjust!B256*Input!$B199*10</f>
        <v>19045351.664115816</v>
      </c>
      <c r="N53" s="42">
        <f>Adjust!C256*Input!$C199*10</f>
        <v>8674774.9502560943</v>
      </c>
      <c r="O53" s="42">
        <f>Adjust!D256*Input!$D199*10</f>
        <v>0</v>
      </c>
      <c r="P53" s="39">
        <f>IF(E53&lt;&gt;0,$M53/E53,"")</f>
        <v>0.68705861012342817</v>
      </c>
      <c r="Q53" s="39">
        <f>IF(E53&lt;&gt;0,$N53/E53,"")</f>
        <v>0.31294138987657177</v>
      </c>
      <c r="R53" s="39">
        <f>IF(E53&lt;&gt;0,$O53/E53,"")</f>
        <v>0</v>
      </c>
      <c r="S53" s="39">
        <f>IF(D53&lt;&gt;0,$F53/D53,"")</f>
        <v>0.11915186084925349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250</v>
      </c>
      <c r="B54" s="42">
        <f>Input!B200+Input!C200+Input!D200</f>
        <v>2217.7033076935136</v>
      </c>
      <c r="C54" s="44">
        <f>Input!E200</f>
        <v>726.06617400625544</v>
      </c>
      <c r="D54" s="42">
        <f>0.01*Input!F$60*(Adjust!$E257*Input!E200+Adjust!$F257*Input!F200+Adjust!$G257*Input!G200)+10*(Adjust!$B257*Input!B200+Adjust!$C257*Input!C200+Adjust!$D257*Input!D200+Adjust!$H257*Input!H200)</f>
        <v>44033.518289235762</v>
      </c>
      <c r="E54" s="42">
        <f>10*(Adjust!$B257*Input!B200+Adjust!$C257*Input!C200+Adjust!$D257*Input!D200)</f>
        <v>35689.275391086274</v>
      </c>
      <c r="F54" s="42">
        <f>Adjust!E257*Input!$F$60*Input!$E200/100</f>
        <v>8344.2428981494904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1.9855459536213664</v>
      </c>
      <c r="K54" s="46">
        <f>IF(C54&lt;&gt;0,D54/C54,"")</f>
        <v>60.646701176381193</v>
      </c>
      <c r="L54" s="37">
        <f>IF(B54&lt;&gt;0,0.1*E54/B54,0)</f>
        <v>1.6092899021828275</v>
      </c>
      <c r="M54" s="42">
        <f>Adjust!B257*Input!$B200*10</f>
        <v>30248.822899065632</v>
      </c>
      <c r="N54" s="42">
        <f>Adjust!C257*Input!$C200*10</f>
        <v>5440.4524920206459</v>
      </c>
      <c r="O54" s="42">
        <f>Adjust!D257*Input!$D200*10</f>
        <v>0</v>
      </c>
      <c r="P54" s="39">
        <f>IF(E54&lt;&gt;0,$M54/E54,"")</f>
        <v>0.84756057856586675</v>
      </c>
      <c r="Q54" s="39">
        <f>IF(E54&lt;&gt;0,$N54/E54,"")</f>
        <v>0.15243942143413339</v>
      </c>
      <c r="R54" s="39">
        <f>IF(E54&lt;&gt;0,$O54/E54,"")</f>
        <v>0</v>
      </c>
      <c r="S54" s="39">
        <f>IF(D54&lt;&gt;0,$F54/D54,"")</f>
        <v>0.18949752875389217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251</v>
      </c>
      <c r="B55" s="42">
        <f>Input!B201+Input!C201+Input!D201</f>
        <v>2681.6894921479802</v>
      </c>
      <c r="C55" s="44">
        <f>Input!E201</f>
        <v>760.45693484959054</v>
      </c>
      <c r="D55" s="42">
        <f>0.01*Input!F$60*(Adjust!$E258*Input!E201+Adjust!$F258*Input!F201+Adjust!$G258*Input!G201)+10*(Adjust!$B258*Input!B201+Adjust!$C258*Input!C201+Adjust!$D258*Input!D201+Adjust!$H258*Input!H201)</f>
        <v>32149.375387825618</v>
      </c>
      <c r="E55" s="42">
        <f>10*(Adjust!$B258*Input!B201+Adjust!$C258*Input!C201+Adjust!$D258*Input!D201)</f>
        <v>26777.659691435081</v>
      </c>
      <c r="F55" s="42">
        <f>Adjust!E258*Input!$F$60*Input!$E201/100</f>
        <v>5371.7156963905381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1.198847796583437</v>
      </c>
      <c r="K55" s="46">
        <f>IF(C55&lt;&gt;0,D55/C55,"")</f>
        <v>42.276391882972817</v>
      </c>
      <c r="L55" s="37">
        <f>IF(B55&lt;&gt;0,0.1*E55/B55,0)</f>
        <v>0.99853692121479387</v>
      </c>
      <c r="M55" s="42">
        <f>Adjust!B258*Input!$B201*10</f>
        <v>22949.282226102398</v>
      </c>
      <c r="N55" s="42">
        <f>Adjust!C258*Input!$C201*10</f>
        <v>3828.3774653326882</v>
      </c>
      <c r="O55" s="42">
        <f>Adjust!D258*Input!$D201*10</f>
        <v>0</v>
      </c>
      <c r="P55" s="39">
        <f>IF(E55&lt;&gt;0,$M55/E55,"")</f>
        <v>0.85703091646365193</v>
      </c>
      <c r="Q55" s="39">
        <f>IF(E55&lt;&gt;0,$N55/E55,"")</f>
        <v>0.14296908353634827</v>
      </c>
      <c r="R55" s="39">
        <f>IF(E55&lt;&gt;0,$O55/E55,"")</f>
        <v>0</v>
      </c>
      <c r="S55" s="39">
        <f>IF(D55&lt;&gt;0,$F55/D55,"")</f>
        <v>0.1670861605113706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252</v>
      </c>
      <c r="W56" s="17"/>
    </row>
    <row r="57" spans="1:23" x14ac:dyDescent="0.25">
      <c r="A57" s="4" t="s">
        <v>228</v>
      </c>
      <c r="B57" s="42">
        <f>Input!B203+Input!C203+Input!D203</f>
        <v>49584.948626394573</v>
      </c>
      <c r="C57" s="44">
        <f>Input!E203</f>
        <v>14616</v>
      </c>
      <c r="D57" s="42">
        <f>0.01*Input!F$60*(Adjust!$E260*Input!E203+Adjust!$F260*Input!F203+Adjust!$G260*Input!G203)+10*(Adjust!$B260*Input!B203+Adjust!$C260*Input!C203+Adjust!$D260*Input!D203+Adjust!$H260*Input!H203)</f>
        <v>707081.36741238658</v>
      </c>
      <c r="E57" s="42">
        <f>10*(Adjust!$B260*Input!B203+Adjust!$C260*Input!C203+Adjust!$D260*Input!D203)</f>
        <v>707081.36741238658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1.4259999999999999</v>
      </c>
      <c r="K57" s="46">
        <f>IF(C57&lt;&gt;0,D57/C57,"")</f>
        <v>48.377214519183539</v>
      </c>
      <c r="L57" s="37">
        <f>IF(B57&lt;&gt;0,0.1*E57/B57,0)</f>
        <v>1.4259999999999999</v>
      </c>
      <c r="M57" s="42">
        <f>Adjust!B260*Input!$B203*10</f>
        <v>707081.36741238658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253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254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255</v>
      </c>
      <c r="W60" s="17"/>
    </row>
    <row r="61" spans="1:23" x14ac:dyDescent="0.25">
      <c r="A61" s="4" t="s">
        <v>184</v>
      </c>
      <c r="B61" s="42">
        <f>Input!B207+Input!C207+Input!D207</f>
        <v>1188673.8633673929</v>
      </c>
      <c r="C61" s="44">
        <f>Input!E207</f>
        <v>109551.18214801565</v>
      </c>
      <c r="D61" s="42">
        <f>0.01*Input!F$60*(Adjust!$E264*Input!E207+Adjust!$F264*Input!F207+Adjust!$G264*Input!G207)+10*(Adjust!$B264*Input!B207+Adjust!$C264*Input!C207+Adjust!$D264*Input!D207+Adjust!$H264*Input!H207)</f>
        <v>33834428.467282139</v>
      </c>
      <c r="E61" s="42">
        <f>10*(Adjust!$B264*Input!B207+Adjust!$C264*Input!C207+Adjust!$D264*Input!D207)</f>
        <v>30073448.743195042</v>
      </c>
      <c r="F61" s="42">
        <f>Adjust!E264*Input!$F$60*Input!$E207/100</f>
        <v>3760979.7240870958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2.8464013141024758</v>
      </c>
      <c r="K61" s="46">
        <f>IF(C61&lt;&gt;0,D61/C61,"")</f>
        <v>308.84585454831625</v>
      </c>
      <c r="L61" s="37">
        <f>IF(B61&lt;&gt;0,0.1*E61/B61,0)</f>
        <v>2.5300000000000002</v>
      </c>
      <c r="M61" s="42">
        <f>Adjust!B264*Input!$B207*10</f>
        <v>30073448.743195042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0.11115836425976457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256</v>
      </c>
      <c r="B62" s="42">
        <f>Input!B208+Input!C208+Input!D208</f>
        <v>1302.4422167594307</v>
      </c>
      <c r="C62" s="44">
        <f>Input!E208</f>
        <v>222.11769939209947</v>
      </c>
      <c r="D62" s="42">
        <f>0.01*Input!F$60*(Adjust!$E265*Input!E208+Adjust!$F265*Input!F208+Adjust!$G265*Input!G208)+10*(Adjust!$B265*Input!B208+Adjust!$C265*Input!C208+Adjust!$D265*Input!D208+Adjust!$H265*Input!H208)</f>
        <v>25355.503016448591</v>
      </c>
      <c r="E62" s="42">
        <f>10*(Adjust!$B265*Input!B208+Adjust!$C265*Input!C208+Adjust!$D265*Input!D208)</f>
        <v>20591.611446966599</v>
      </c>
      <c r="F62" s="42">
        <f>Adjust!E265*Input!$F$60*Input!$E208/100</f>
        <v>4763.8915694819934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1.946766059191086</v>
      </c>
      <c r="K62" s="46">
        <f>IF(C62&lt;&gt;0,D62/C62,"")</f>
        <v>114.15345596430423</v>
      </c>
      <c r="L62" s="37">
        <f>IF(B62&lt;&gt;0,0.1*E62/B62,0)</f>
        <v>1.581</v>
      </c>
      <c r="M62" s="42">
        <f>Adjust!B265*Input!$B208*10</f>
        <v>20591.611446966599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0.18788393061622827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257</v>
      </c>
      <c r="B63" s="42">
        <f>Input!B209+Input!C209+Input!D209</f>
        <v>10841.524519374772</v>
      </c>
      <c r="C63" s="44">
        <f>Input!E209</f>
        <v>839.47229378913437</v>
      </c>
      <c r="D63" s="42">
        <f>0.01*Input!F$60*(Adjust!$E266*Input!E209+Adjust!$F266*Input!F209+Adjust!$G266*Input!G209)+10*(Adjust!$B266*Input!B209+Adjust!$C266*Input!C209+Adjust!$D266*Input!D209+Adjust!$H266*Input!H209)</f>
        <v>116440.50527128841</v>
      </c>
      <c r="E63" s="42">
        <f>10*(Adjust!$B266*Input!B209+Adjust!$C266*Input!C209+Adjust!$D266*Input!D209)</f>
        <v>105379.61832832277</v>
      </c>
      <c r="F63" s="42">
        <f>Adjust!E266*Input!$F$60*Input!$E209/100</f>
        <v>11060.886942965635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1.0740233540329023</v>
      </c>
      <c r="K63" s="46">
        <f>IF(C63&lt;&gt;0,D63/C63,"")</f>
        <v>138.7067877436547</v>
      </c>
      <c r="L63" s="37">
        <f>IF(B63&lt;&gt;0,0.1*E63/B63,0)</f>
        <v>0.97199999999999986</v>
      </c>
      <c r="M63" s="42">
        <f>Adjust!B266*Input!$B209*10</f>
        <v>105379.61832832277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9.499174636176197E-2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258</v>
      </c>
      <c r="W64" s="17"/>
    </row>
    <row r="65" spans="1:23" x14ac:dyDescent="0.25">
      <c r="A65" s="4" t="s">
        <v>185</v>
      </c>
      <c r="B65" s="42">
        <f>Input!B211+Input!C211+Input!D211</f>
        <v>579613.20623724873</v>
      </c>
      <c r="C65" s="44">
        <f>Input!E211</f>
        <v>30180.331007155499</v>
      </c>
      <c r="D65" s="42">
        <f>0.01*Input!F$60*(Adjust!$E268*Input!E211+Adjust!$F268*Input!F211+Adjust!$G268*Input!G211)+10*(Adjust!$B268*Input!B211+Adjust!$C268*Input!C211+Adjust!$D268*Input!D211+Adjust!$H268*Input!H211)</f>
        <v>14515714.860475123</v>
      </c>
      <c r="E65" s="42">
        <f>10*(Adjust!$B268*Input!B211+Adjust!$C268*Input!C211+Adjust!$D268*Input!D211)</f>
        <v>13479599.95273467</v>
      </c>
      <c r="F65" s="42">
        <f>Adjust!E268*Input!$F$60*Input!$E211/100</f>
        <v>1036114.9077404541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2.5043795938861884</v>
      </c>
      <c r="K65" s="46">
        <f>IF(C65&lt;&gt;0,D65/C65,"")</f>
        <v>480.96605888893566</v>
      </c>
      <c r="L65" s="37">
        <f>IF(B65&lt;&gt;0,0.1*E65/B65,0)</f>
        <v>2.325619880237368</v>
      </c>
      <c r="M65" s="42">
        <f>Adjust!B268*Input!$B211*10</f>
        <v>11045216.903628167</v>
      </c>
      <c r="N65" s="42">
        <f>Adjust!C268*Input!$C211*10</f>
        <v>2434383.0491065029</v>
      </c>
      <c r="O65" s="42">
        <f>Adjust!D268*Input!$D211*10</f>
        <v>0</v>
      </c>
      <c r="P65" s="39">
        <f>IF(E65&lt;&gt;0,$M65/E65,"")</f>
        <v>0.81940242606290192</v>
      </c>
      <c r="Q65" s="39">
        <f>IF(E65&lt;&gt;0,$N65/E65,"")</f>
        <v>0.18059757393709805</v>
      </c>
      <c r="R65" s="39">
        <f>IF(E65&lt;&gt;0,$O65/E65,"")</f>
        <v>0</v>
      </c>
      <c r="S65" s="39">
        <f>IF(D65&lt;&gt;0,$F65/D65,"")</f>
        <v>7.1378841324700723E-2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259</v>
      </c>
      <c r="B66" s="42">
        <f>Input!B212+Input!C212+Input!D212</f>
        <v>86.696878470866253</v>
      </c>
      <c r="C66" s="44">
        <f>Input!E212</f>
        <v>3.3877051456494978</v>
      </c>
      <c r="D66" s="42">
        <f>0.01*Input!F$60*(Adjust!$E269*Input!E212+Adjust!$F269*Input!F212+Adjust!$G269*Input!G212)+10*(Adjust!$B269*Input!B212+Adjust!$C269*Input!C212+Adjust!$D269*Input!D212+Adjust!$H269*Input!H212)</f>
        <v>1337.6125255641698</v>
      </c>
      <c r="E66" s="42">
        <f>10*(Adjust!$B269*Input!B212+Adjust!$C269*Input!C212+Adjust!$D269*Input!D212)</f>
        <v>1264.9543806823376</v>
      </c>
      <c r="F66" s="42">
        <f>Adjust!E269*Input!$F$60*Input!$E212/100</f>
        <v>72.658144881832172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1.5428612300195597</v>
      </c>
      <c r="K66" s="46">
        <f>IF(C66&lt;&gt;0,D66/C66,"")</f>
        <v>394.84325466811543</v>
      </c>
      <c r="L66" s="37">
        <f>IF(B66&lt;&gt;0,0.1*E66/B66,0)</f>
        <v>1.45905412396989</v>
      </c>
      <c r="M66" s="42">
        <f>Adjust!B269*Input!$B212*10</f>
        <v>1043.5820174790329</v>
      </c>
      <c r="N66" s="42">
        <f>Adjust!C269*Input!$C212*10</f>
        <v>221.3723632033049</v>
      </c>
      <c r="O66" s="42">
        <f>Adjust!D269*Input!$D212*10</f>
        <v>0</v>
      </c>
      <c r="P66" s="39">
        <f>IF(E66&lt;&gt;0,$M66/E66,"")</f>
        <v>0.82499577329903961</v>
      </c>
      <c r="Q66" s="39">
        <f>IF(E66&lt;&gt;0,$N66/E66,"")</f>
        <v>0.1750042267009605</v>
      </c>
      <c r="R66" s="39">
        <f>IF(E66&lt;&gt;0,$O66/E66,"")</f>
        <v>0</v>
      </c>
      <c r="S66" s="39">
        <f>IF(D66&lt;&gt;0,$F66/D66,"")</f>
        <v>5.4319276691272664E-2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260</v>
      </c>
      <c r="B67" s="42">
        <f>Input!B213+Input!C213+Input!D213</f>
        <v>1409.1232366738907</v>
      </c>
      <c r="C67" s="44">
        <f>Input!E213</f>
        <v>32.702982536908962</v>
      </c>
      <c r="D67" s="42">
        <f>0.01*Input!F$60*(Adjust!$E270*Input!E213+Adjust!$F270*Input!F213+Adjust!$G270*Input!G213)+10*(Adjust!$B270*Input!B213+Adjust!$C270*Input!C213+Adjust!$D270*Input!D213+Adjust!$H270*Input!H213)</f>
        <v>13487.879346453732</v>
      </c>
      <c r="E67" s="42">
        <f>10*(Adjust!$B270*Input!B213+Adjust!$C270*Input!C213+Adjust!$D270*Input!D213)</f>
        <v>13056.984848547419</v>
      </c>
      <c r="F67" s="42">
        <f>Adjust!E270*Input!$F$60*Input!$E213/100</f>
        <v>430.89449790631255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0.95718238088888985</v>
      </c>
      <c r="K67" s="46">
        <f>IF(C67&lt;&gt;0,D67/C67,"")</f>
        <v>412.43575662345648</v>
      </c>
      <c r="L67" s="37">
        <f>IF(B67&lt;&gt;0,0.1*E67/B67,0)</f>
        <v>0.92660347290612166</v>
      </c>
      <c r="M67" s="42">
        <f>Adjust!B270*Input!$B213*10</f>
        <v>11308.239943403269</v>
      </c>
      <c r="N67" s="42">
        <f>Adjust!C270*Input!$C213*10</f>
        <v>1748.7449051441515</v>
      </c>
      <c r="O67" s="42">
        <f>Adjust!D270*Input!$D213*10</f>
        <v>0</v>
      </c>
      <c r="P67" s="39">
        <f>IF(E67&lt;&gt;0,$M67/E67,"")</f>
        <v>0.86606824428239282</v>
      </c>
      <c r="Q67" s="39">
        <f>IF(E67&lt;&gt;0,$N67/E67,"")</f>
        <v>0.13393175571760721</v>
      </c>
      <c r="R67" s="39">
        <f>IF(E67&lt;&gt;0,$O67/E67,"")</f>
        <v>0</v>
      </c>
      <c r="S67" s="39">
        <f>IF(D67&lt;&gt;0,$F67/D67,"")</f>
        <v>3.1946793623980958E-2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261</v>
      </c>
      <c r="W68" s="17"/>
    </row>
    <row r="69" spans="1:23" x14ac:dyDescent="0.25">
      <c r="A69" s="4" t="s">
        <v>229</v>
      </c>
      <c r="B69" s="42">
        <f>Input!B215+Input!C215+Input!D215</f>
        <v>18696.270931315648</v>
      </c>
      <c r="C69" s="44">
        <f>Input!E215</f>
        <v>3163</v>
      </c>
      <c r="D69" s="42">
        <f>0.01*Input!F$60*(Adjust!$E272*Input!E215+Adjust!$F272*Input!F215+Adjust!$G272*Input!G215)+10*(Adjust!$B272*Input!B215+Adjust!$C272*Input!C215+Adjust!$D272*Input!D215+Adjust!$H272*Input!H215)</f>
        <v>268104.5251550664</v>
      </c>
      <c r="E69" s="42">
        <f>10*(Adjust!$B272*Input!B215+Adjust!$C272*Input!C215+Adjust!$D272*Input!D215)</f>
        <v>268104.5251550664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1.4339999999999999</v>
      </c>
      <c r="K69" s="46">
        <f>IF(C69&lt;&gt;0,D69/C69,"")</f>
        <v>84.762733213742138</v>
      </c>
      <c r="L69" s="37">
        <f>IF(B69&lt;&gt;0,0.1*E69/B69,0)</f>
        <v>1.4339999999999999</v>
      </c>
      <c r="M69" s="42">
        <f>Adjust!B272*Input!$B215*10</f>
        <v>268104.5251550664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262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263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264</v>
      </c>
      <c r="W72" s="17"/>
    </row>
    <row r="73" spans="1:23" x14ac:dyDescent="0.25">
      <c r="A73" s="4" t="s">
        <v>186</v>
      </c>
      <c r="B73" s="42">
        <f>Input!B219+Input!C219+Input!D219</f>
        <v>76380.199637192607</v>
      </c>
      <c r="C73" s="44">
        <f>Input!E219</f>
        <v>1833.471677508197</v>
      </c>
      <c r="D73" s="42">
        <f>0.01*Input!F$60*(Adjust!$E276*Input!E219+Adjust!$F276*Input!F219+Adjust!$G276*Input!G219)+10*(Adjust!$B276*Input!B219+Adjust!$C276*Input!C219+Adjust!$D276*Input!D219+Adjust!$H276*Input!H219)</f>
        <v>1938433.4370402179</v>
      </c>
      <c r="E73" s="42">
        <f>10*(Adjust!$B276*Input!B219+Adjust!$C276*Input!C219+Adjust!$D276*Input!D219)</f>
        <v>1780937.8532479282</v>
      </c>
      <c r="F73" s="42">
        <f>Adjust!E276*Input!$F$60*Input!$E219/100</f>
        <v>157495.58379228963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2.5378742740236522</v>
      </c>
      <c r="K73" s="46">
        <f>IF(C73&lt;&gt;0,D73/C73,"")</f>
        <v>1057.2475489093295</v>
      </c>
      <c r="L73" s="37">
        <f>IF(B73&lt;&gt;0,0.1*E73/B73,0)</f>
        <v>2.3316747818248929</v>
      </c>
      <c r="M73" s="42">
        <f>Adjust!B276*Input!$B219*10</f>
        <v>1565083.5034533441</v>
      </c>
      <c r="N73" s="42">
        <f>Adjust!C276*Input!$C219*10</f>
        <v>215854.34979458395</v>
      </c>
      <c r="O73" s="42">
        <f>Adjust!D276*Input!$D219*10</f>
        <v>0</v>
      </c>
      <c r="P73" s="39">
        <f>IF(E73&lt;&gt;0,$M73/E73,"")</f>
        <v>0.87879737105877853</v>
      </c>
      <c r="Q73" s="39">
        <f>IF(E73&lt;&gt;0,$N73/E73,"")</f>
        <v>0.12120262894122134</v>
      </c>
      <c r="R73" s="39">
        <f>IF(E73&lt;&gt;0,$O73/E73,"")</f>
        <v>0</v>
      </c>
      <c r="S73" s="39">
        <f>IF(D73&lt;&gt;0,$F73/D73,"")</f>
        <v>8.1248899643811684E-2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265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266</v>
      </c>
      <c r="B75" s="42">
        <f>Input!B221+Input!C221+Input!D221</f>
        <v>-1.8189894035458569E-15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-9.8225427791476271E-15</v>
      </c>
      <c r="E75" s="42">
        <f>10*(Adjust!$B278*Input!B221+Adjust!$C278*Input!C221+Adjust!$D278*Input!D221)</f>
        <v>-9.8225427791476271E-15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>
        <f>IF(B75&lt;&gt;0,0.1*D75/B75,"")</f>
        <v>0.54</v>
      </c>
      <c r="K75" s="46" t="str">
        <f>IF(C75&lt;&gt;0,D75/C75,"")</f>
        <v/>
      </c>
      <c r="L75" s="37">
        <f>IF(B75&lt;&gt;0,0.1*E75/B75,0)</f>
        <v>0.54</v>
      </c>
      <c r="M75" s="42">
        <f>Adjust!B278*Input!$B221*10</f>
        <v>0</v>
      </c>
      <c r="N75" s="42">
        <f>Adjust!C278*Input!$C221*10</f>
        <v>-9.8225427791476271E-15</v>
      </c>
      <c r="O75" s="42">
        <f>Adjust!D278*Input!$D221*10</f>
        <v>0</v>
      </c>
      <c r="P75" s="39">
        <f>IF(E75&lt;&gt;0,$M75/E75,"")</f>
        <v>0</v>
      </c>
      <c r="Q75" s="39">
        <f>IF(E75&lt;&gt;0,$N75/E75,"")</f>
        <v>1</v>
      </c>
      <c r="R75" s="39">
        <f>IF(E75&lt;&gt;0,$O75/E75,"")</f>
        <v>0</v>
      </c>
      <c r="S75" s="39">
        <f>IF(D75&lt;&gt;0,$F75/D75,"")</f>
        <v>0</v>
      </c>
      <c r="T75" s="39">
        <f>IF(D75&lt;&gt;0,$G75/D75,"")</f>
        <v>0</v>
      </c>
      <c r="U75" s="39">
        <f>IF(D75&lt;&gt;0,$H75/D75,"")</f>
        <v>0</v>
      </c>
      <c r="V75" s="39">
        <f>IF(D75&lt;&gt;0,$I75/D75,"")</f>
        <v>0</v>
      </c>
      <c r="W75" s="17"/>
    </row>
    <row r="76" spans="1:23" x14ac:dyDescent="0.25">
      <c r="A76" s="28" t="s">
        <v>267</v>
      </c>
      <c r="W76" s="17"/>
    </row>
    <row r="77" spans="1:23" x14ac:dyDescent="0.25">
      <c r="A77" s="4" t="s">
        <v>187</v>
      </c>
      <c r="B77" s="42">
        <f>Input!B223+Input!C223+Input!D223</f>
        <v>13888.827127274353</v>
      </c>
      <c r="C77" s="44">
        <f>Input!E223</f>
        <v>151.42512767842624</v>
      </c>
      <c r="D77" s="42">
        <f>0.01*Input!F$60*(Adjust!$E280*Input!E223+Adjust!$F280*Input!F223+Adjust!$G280*Input!G223)+10*(Adjust!$B280*Input!B223+Adjust!$C280*Input!C223+Adjust!$D280*Input!D223+Adjust!$H280*Input!H223)</f>
        <v>317735.66756346438</v>
      </c>
      <c r="E77" s="42">
        <f>10*(Adjust!$B280*Input!B223+Adjust!$C280*Input!C223+Adjust!$D280*Input!D223)</f>
        <v>305869.90370350628</v>
      </c>
      <c r="F77" s="42">
        <f>Adjust!E280*Input!$F$60*Input!$E223/100</f>
        <v>11865.763859958088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2.2877069795152614</v>
      </c>
      <c r="K77" s="46">
        <f>IF(C77&lt;&gt;0,D77/C77,"")</f>
        <v>2098.3021274924945</v>
      </c>
      <c r="L77" s="37">
        <f>IF(B77&lt;&gt;0,0.1*E77/B77,0)</f>
        <v>2.2022730998130902</v>
      </c>
      <c r="M77" s="42">
        <f>Adjust!B280*Input!$B223*10</f>
        <v>265817.37401342404</v>
      </c>
      <c r="N77" s="42">
        <f>Adjust!C280*Input!$C223*10</f>
        <v>40052.529690082243</v>
      </c>
      <c r="O77" s="42">
        <f>Adjust!D280*Input!$D223*10</f>
        <v>0</v>
      </c>
      <c r="P77" s="39">
        <f>IF(E77&lt;&gt;0,$M77/E77,"")</f>
        <v>0.86905370811210314</v>
      </c>
      <c r="Q77" s="39">
        <f>IF(E77&lt;&gt;0,$N77/E77,"")</f>
        <v>0.13094629188789689</v>
      </c>
      <c r="R77" s="39">
        <f>IF(E77&lt;&gt;0,$O77/E77,"")</f>
        <v>0</v>
      </c>
      <c r="S77" s="39">
        <f>IF(D77&lt;&gt;0,$F77/D77,"")</f>
        <v>3.7344765071387606E-2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268</v>
      </c>
      <c r="W78" s="17"/>
    </row>
    <row r="79" spans="1:23" x14ac:dyDescent="0.25">
      <c r="A79" s="4" t="s">
        <v>207</v>
      </c>
      <c r="B79" s="42">
        <f>Input!B225+Input!C225+Input!D225</f>
        <v>660.3423935899549</v>
      </c>
      <c r="C79" s="44">
        <f>Input!E225</f>
        <v>11.577605311475409</v>
      </c>
      <c r="D79" s="42">
        <f>0.01*Input!F$60*(Adjust!$E282*Input!E225+Adjust!$F282*Input!F225+Adjust!$G282*Input!G225)+10*(Adjust!$B282*Input!B225+Adjust!$C282*Input!C225+Adjust!$D282*Input!D225+Adjust!$H282*Input!H225)</f>
        <v>18222.60592635033</v>
      </c>
      <c r="E79" s="42">
        <f>10*(Adjust!$B282*Input!B225+Adjust!$C282*Input!C225+Adjust!$D282*Input!D225)</f>
        <v>12139.813138938331</v>
      </c>
      <c r="F79" s="42">
        <f>Adjust!E282*Input!$F$60*Input!$E225/100</f>
        <v>6082.7927874119996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2.7595692936331164</v>
      </c>
      <c r="K79" s="46">
        <f>IF(C79&lt;&gt;0,D79/C79,"")</f>
        <v>1573.9529407077453</v>
      </c>
      <c r="L79" s="37">
        <f>IF(B79&lt;&gt;0,0.1*E79/B79,0)</f>
        <v>1.838411899157371</v>
      </c>
      <c r="M79" s="42">
        <f>Adjust!B282*Input!$B225*10</f>
        <v>9635.9519328064125</v>
      </c>
      <c r="N79" s="42">
        <f>Adjust!C282*Input!$C225*10</f>
        <v>2503.8612061319154</v>
      </c>
      <c r="O79" s="42">
        <f>Adjust!D282*Input!$D225*10</f>
        <v>0</v>
      </c>
      <c r="P79" s="39">
        <f>IF(E79&lt;&gt;0,$M79/E79,"")</f>
        <v>0.79374796156451466</v>
      </c>
      <c r="Q79" s="39">
        <f>IF(E79&lt;&gt;0,$N79/E79,"")</f>
        <v>0.20625203843548509</v>
      </c>
      <c r="R79" s="39">
        <f>IF(E79&lt;&gt;0,$O79/E79,"")</f>
        <v>0</v>
      </c>
      <c r="S79" s="39">
        <f>IF(D79&lt;&gt;0,$F79/D79,"")</f>
        <v>0.33380477040422268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269</v>
      </c>
      <c r="W80" s="17"/>
    </row>
    <row r="81" spans="1:23" x14ac:dyDescent="0.25">
      <c r="A81" s="4" t="s">
        <v>188</v>
      </c>
      <c r="B81" s="42">
        <f>Input!B227+Input!C227+Input!D227</f>
        <v>298.9704668372683</v>
      </c>
      <c r="C81" s="44">
        <f>Input!E227</f>
        <v>90.262264219672147</v>
      </c>
      <c r="D81" s="42">
        <f>0.01*Input!F$60*(Adjust!$E284*Input!E227+Adjust!$F284*Input!F227+Adjust!$G284*Input!G227)+10*(Adjust!$B284*Input!B227+Adjust!$C284*Input!C227+Adjust!$D284*Input!D227+Adjust!$H284*Input!H227)</f>
        <v>8804.381352786806</v>
      </c>
      <c r="E81" s="42">
        <f>10*(Adjust!$B284*Input!B227+Adjust!$C284*Input!C227+Adjust!$D284*Input!D227)</f>
        <v>7145.9747198259256</v>
      </c>
      <c r="F81" s="42">
        <f>Adjust!E284*Input!$F$60*Input!$E227/100</f>
        <v>1658.4066329608802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2.9449000250513349</v>
      </c>
      <c r="K81" s="46">
        <f>IF(C81&lt;&gt;0,D81/C81,"")</f>
        <v>97.542216882123611</v>
      </c>
      <c r="L81" s="37">
        <f>IF(B81&lt;&gt;0,0.1*E81/B81,0)</f>
        <v>2.3901941872123209</v>
      </c>
      <c r="M81" s="42">
        <f>Adjust!B284*Input!$B227*10</f>
        <v>2584.1667097764362</v>
      </c>
      <c r="N81" s="42">
        <f>Adjust!C284*Input!$C227*10</f>
        <v>2689.245276960095</v>
      </c>
      <c r="O81" s="42">
        <f>Adjust!D284*Input!$D227*10</f>
        <v>1872.5627330893951</v>
      </c>
      <c r="P81" s="39">
        <f>IF(E81&lt;&gt;0,$M81/E81,"")</f>
        <v>0.36162550402072874</v>
      </c>
      <c r="Q81" s="39">
        <f>IF(E81&lt;&gt;0,$N81/E81,"")</f>
        <v>0.37633008545342356</v>
      </c>
      <c r="R81" s="39">
        <f>IF(E81&lt;&gt;0,$O81/E81,"")</f>
        <v>0.26204441052584782</v>
      </c>
      <c r="S81" s="39">
        <f>IF(D81&lt;&gt;0,$F81/D81,"")</f>
        <v>0.18836151757964836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270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271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272</v>
      </c>
      <c r="W84" s="17"/>
    </row>
    <row r="85" spans="1:23" x14ac:dyDescent="0.25">
      <c r="A85" s="4" t="s">
        <v>189</v>
      </c>
      <c r="B85" s="42">
        <f>Input!B231+Input!C231+Input!D231</f>
        <v>368614.6041407407</v>
      </c>
      <c r="C85" s="44">
        <f>Input!E231</f>
        <v>5017.1258968839948</v>
      </c>
      <c r="D85" s="42">
        <f>0.01*Input!F$60*(Adjust!$E288*Input!E231+Adjust!$F288*Input!F231+Adjust!$G288*Input!G231)+10*(Adjust!$B288*Input!B231+Adjust!$C288*Input!C231+Adjust!$D288*Input!D231+Adjust!$H288*Input!H231)</f>
        <v>9538900.806315992</v>
      </c>
      <c r="E85" s="42">
        <f>10*(Adjust!$B288*Input!B231+Adjust!$C288*Input!C231+Adjust!$D288*Input!D231)</f>
        <v>9366658.8605752476</v>
      </c>
      <c r="F85" s="42">
        <f>Adjust!E288*Input!$F$60*Input!$E231/100</f>
        <v>172241.94574074505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2.587770722907643</v>
      </c>
      <c r="K85" s="46">
        <f>IF(C85&lt;&gt;0,D85/C85,"")</f>
        <v>1901.2679773972491</v>
      </c>
      <c r="L85" s="37">
        <f>IF(B85&lt;&gt;0,0.1*E85/B85,0)</f>
        <v>2.5410438857704523</v>
      </c>
      <c r="M85" s="42">
        <f>Adjust!B288*Input!$B231*10</f>
        <v>3753300.0732093393</v>
      </c>
      <c r="N85" s="42">
        <f>Adjust!C288*Input!$C231*10</f>
        <v>3308092.386631961</v>
      </c>
      <c r="O85" s="42">
        <f>Adjust!D288*Input!$D231*10</f>
        <v>2305266.4007339478</v>
      </c>
      <c r="P85" s="39">
        <f>IF(E85&lt;&gt;0,$M85/E85,"")</f>
        <v>0.4007085268160212</v>
      </c>
      <c r="Q85" s="39">
        <f>IF(E85&lt;&gt;0,$N85/E85,"")</f>
        <v>0.35317741746268705</v>
      </c>
      <c r="R85" s="39">
        <f>IF(E85&lt;&gt;0,$O85/E85,"")</f>
        <v>0.24611405572129177</v>
      </c>
      <c r="S85" s="39">
        <f>IF(D85&lt;&gt;0,$F85/D85,"")</f>
        <v>1.8056791787445625E-2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273</v>
      </c>
      <c r="B86" s="42">
        <f>Input!B232+Input!C232+Input!D232</f>
        <v>87.913147553116332</v>
      </c>
      <c r="C86" s="44">
        <f>Input!E232</f>
        <v>2.2857823981654586</v>
      </c>
      <c r="D86" s="42">
        <f>0.01*Input!F$60*(Adjust!$E289*Input!E232+Adjust!$F289*Input!F232+Adjust!$G289*Input!G232)+10*(Adjust!$B289*Input!B232+Adjust!$C289*Input!C232+Adjust!$D289*Input!D232+Adjust!$H289*Input!H232)</f>
        <v>1413.0928602332026</v>
      </c>
      <c r="E86" s="42">
        <f>10*(Adjust!$B289*Input!B232+Adjust!$C289*Input!C232+Adjust!$D289*Input!D232)</f>
        <v>1364.0683136703092</v>
      </c>
      <c r="F86" s="42">
        <f>Adjust!E289*Input!$F$60*Input!$E232/100</f>
        <v>49.024546562893491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1.6073737541696189</v>
      </c>
      <c r="K86" s="46">
        <f>IF(C86&lt;&gt;0,D86/C86,"")</f>
        <v>618.20970419902346</v>
      </c>
      <c r="L86" s="37">
        <f>IF(B86&lt;&gt;0,0.1*E86/B86,0)</f>
        <v>1.5516090046100914</v>
      </c>
      <c r="M86" s="42">
        <f>Adjust!B289*Input!$B232*10</f>
        <v>527.86285217167904</v>
      </c>
      <c r="N86" s="42">
        <f>Adjust!C289*Input!$C232*10</f>
        <v>478.41775666780143</v>
      </c>
      <c r="O86" s="42">
        <f>Adjust!D289*Input!$D232*10</f>
        <v>357.78770483082849</v>
      </c>
      <c r="P86" s="39">
        <f>IF(E86&lt;&gt;0,$M86/E86,"")</f>
        <v>0.38697684484097017</v>
      </c>
      <c r="Q86" s="39">
        <f>IF(E86&lt;&gt;0,$N86/E86,"")</f>
        <v>0.35072859025697845</v>
      </c>
      <c r="R86" s="39">
        <f>IF(E86&lt;&gt;0,$O86/E86,"")</f>
        <v>0.26229456490205122</v>
      </c>
      <c r="S86" s="39">
        <f>IF(D86&lt;&gt;0,$F86/D86,"")</f>
        <v>3.4693082063129932E-2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274</v>
      </c>
      <c r="B87" s="42">
        <f>Input!B233+Input!C233+Input!D233</f>
        <v>1639.0151594813287</v>
      </c>
      <c r="C87" s="44">
        <f>Input!E233</f>
        <v>40.069988681836328</v>
      </c>
      <c r="D87" s="42">
        <f>0.01*Input!F$60*(Adjust!$E290*Input!E233+Adjust!$F290*Input!F233+Adjust!$G290*Input!G233)+10*(Adjust!$B290*Input!B233+Adjust!$C290*Input!C233+Adjust!$D290*Input!D233+Adjust!$H290*Input!H233)</f>
        <v>20939.502962686944</v>
      </c>
      <c r="E87" s="42">
        <f>10*(Adjust!$B290*Input!B233+Adjust!$C290*Input!C233+Adjust!$D290*Input!D233)</f>
        <v>20411.540791815067</v>
      </c>
      <c r="F87" s="42">
        <f>Adjust!E290*Input!$F$60*Input!$E233/100</f>
        <v>527.96217087187551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1.2775661556000075</v>
      </c>
      <c r="K87" s="46">
        <f>IF(C87&lt;&gt;0,D87/C87,"")</f>
        <v>522.57321879850667</v>
      </c>
      <c r="L87" s="37">
        <f>IF(B87&lt;&gt;0,0.1*E87/B87,0)</f>
        <v>1.2453539964983826</v>
      </c>
      <c r="M87" s="42">
        <f>Adjust!B290*Input!$B233*10</f>
        <v>11300.401886705438</v>
      </c>
      <c r="N87" s="42">
        <f>Adjust!C290*Input!$C233*10</f>
        <v>5594.5788410975983</v>
      </c>
      <c r="O87" s="42">
        <f>Adjust!D290*Input!$D233*10</f>
        <v>3516.5600640120324</v>
      </c>
      <c r="P87" s="39">
        <f>IF(E87&lt;&gt;0,$M87/E87,"")</f>
        <v>0.55362806766830885</v>
      </c>
      <c r="Q87" s="39">
        <f>IF(E87&lt;&gt;0,$N87/E87,"")</f>
        <v>0.27408900181318002</v>
      </c>
      <c r="R87" s="39">
        <f>IF(E87&lt;&gt;0,$O87/E87,"")</f>
        <v>0.17228293051851121</v>
      </c>
      <c r="S87" s="39">
        <f>IF(D87&lt;&gt;0,$F87/D87,"")</f>
        <v>2.5213691643620931E-2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275</v>
      </c>
      <c r="W88" s="17"/>
    </row>
    <row r="89" spans="1:23" x14ac:dyDescent="0.25">
      <c r="A89" s="4" t="s">
        <v>190</v>
      </c>
      <c r="B89" s="42">
        <f>Input!B235+Input!C235+Input!D235</f>
        <v>1266090.4230298079</v>
      </c>
      <c r="C89" s="44">
        <f>Input!E235</f>
        <v>7358.8733919028909</v>
      </c>
      <c r="D89" s="42">
        <f>0.01*Input!F$60*(Adjust!$E292*Input!E235+Adjust!$F292*Input!F235+Adjust!$G292*Input!G235)+10*(Adjust!$B292*Input!B235+Adjust!$C292*Input!C235+Adjust!$D292*Input!D235+Adjust!$H292*Input!H235)</f>
        <v>36281293.903566748</v>
      </c>
      <c r="E89" s="42">
        <f>10*(Adjust!$B292*Input!B235+Adjust!$C292*Input!C235+Adjust!$D292*Input!D235)</f>
        <v>27017074.483264532</v>
      </c>
      <c r="F89" s="42">
        <f>Adjust!E292*Input!$F$60*Input!$E235/100</f>
        <v>323201.719372375</v>
      </c>
      <c r="G89" s="42">
        <f>Adjust!F292*Input!$F$60*Input!$F235/100</f>
        <v>8067736.0894474545</v>
      </c>
      <c r="H89" s="42">
        <f>Adjust!G292*Input!$F$60*Input!$G235/100</f>
        <v>717686.63371641608</v>
      </c>
      <c r="I89" s="42">
        <f>Adjust!H292*Input!$H235*10</f>
        <v>155594.9777659727</v>
      </c>
      <c r="J89" s="37">
        <f>IF(B89&lt;&gt;0,0.1*D89/B89,"")</f>
        <v>2.8656163291042103</v>
      </c>
      <c r="K89" s="46">
        <f>IF(C89&lt;&gt;0,D89/C89,"")</f>
        <v>4930.2783145430585</v>
      </c>
      <c r="L89" s="37">
        <f>IF(B89&lt;&gt;0,0.1*E89/B89,0)</f>
        <v>2.133897705237477</v>
      </c>
      <c r="M89" s="42">
        <f>Adjust!B292*Input!$B235*10</f>
        <v>9238462.2665916402</v>
      </c>
      <c r="N89" s="42">
        <f>Adjust!C292*Input!$C235*10</f>
        <v>10307604.996763952</v>
      </c>
      <c r="O89" s="42">
        <f>Adjust!D292*Input!$D235*10</f>
        <v>7471007.2199089378</v>
      </c>
      <c r="P89" s="39">
        <f>IF(E89&lt;&gt;0,$M89/E89,"")</f>
        <v>0.34194902458126314</v>
      </c>
      <c r="Q89" s="39">
        <f>IF(E89&lt;&gt;0,$N89/E89,"")</f>
        <v>0.38152187806821569</v>
      </c>
      <c r="R89" s="39">
        <f>IF(E89&lt;&gt;0,$O89/E89,"")</f>
        <v>0.27652909735052111</v>
      </c>
      <c r="S89" s="39">
        <f>IF(D89&lt;&gt;0,$F89/D89,"")</f>
        <v>8.9082192115701158E-3</v>
      </c>
      <c r="T89" s="39">
        <f>IF(D89&lt;&gt;0,$G89/D89,"")</f>
        <v>0.22236627257260883</v>
      </c>
      <c r="U89" s="39">
        <f>IF(D89&lt;&gt;0,$H89/D89,"")</f>
        <v>1.9781175269657669E-2</v>
      </c>
      <c r="V89" s="39">
        <f>IF(D89&lt;&gt;0,$I89/D89,"")</f>
        <v>4.2885730089873234E-3</v>
      </c>
      <c r="W89" s="17"/>
    </row>
    <row r="90" spans="1:23" x14ac:dyDescent="0.25">
      <c r="A90" s="4" t="s">
        <v>276</v>
      </c>
      <c r="B90" s="42">
        <f>Input!B236+Input!C236+Input!D236</f>
        <v>1137.8257617869513</v>
      </c>
      <c r="C90" s="44">
        <f>Input!E236</f>
        <v>13.165849690975877</v>
      </c>
      <c r="D90" s="42">
        <f>0.01*Input!F$60*(Adjust!$E293*Input!E236+Adjust!$F293*Input!F236+Adjust!$G293*Input!G236)+10*(Adjust!$B293*Input!B236+Adjust!$C293*Input!C236+Adjust!$D293*Input!D236+Adjust!$H293*Input!H236)</f>
        <v>28150.635575895991</v>
      </c>
      <c r="E90" s="42">
        <f>10*(Adjust!$B293*Input!B236+Adjust!$C293*Input!C236+Adjust!$D293*Input!D236)</f>
        <v>15496.117965173333</v>
      </c>
      <c r="F90" s="42">
        <f>Adjust!E293*Input!$F$60*Input!$E236/100</f>
        <v>361.40257401728786</v>
      </c>
      <c r="G90" s="42">
        <f>Adjust!F293*Input!$F$60*Input!$F236/100</f>
        <v>12193.173843385035</v>
      </c>
      <c r="H90" s="42">
        <f>Adjust!G293*Input!$F$60*Input!$G236/100</f>
        <v>0</v>
      </c>
      <c r="I90" s="42">
        <f>Adjust!H293*Input!$H236*10</f>
        <v>99.941193320335842</v>
      </c>
      <c r="J90" s="37">
        <f>IF(B90&lt;&gt;0,0.1*D90/B90,"")</f>
        <v>2.4740726147459977</v>
      </c>
      <c r="K90" s="46">
        <f>IF(C90&lt;&gt;0,D90/C90,"")</f>
        <v>2138.1556250935305</v>
      </c>
      <c r="L90" s="37">
        <f>IF(B90&lt;&gt;0,0.1*E90/B90,0)</f>
        <v>1.3619060567618664</v>
      </c>
      <c r="M90" s="42">
        <f>Adjust!B293*Input!$B236*10</f>
        <v>5623.1420053753063</v>
      </c>
      <c r="N90" s="42">
        <f>Adjust!C293*Input!$C236*10</f>
        <v>5445.3652083439147</v>
      </c>
      <c r="O90" s="42">
        <f>Adjust!D293*Input!$D236*10</f>
        <v>4427.6107514541109</v>
      </c>
      <c r="P90" s="39">
        <f>IF(E90&lt;&gt;0,$M90/E90,"")</f>
        <v>0.36287423843913724</v>
      </c>
      <c r="Q90" s="39">
        <f>IF(E90&lt;&gt;0,$N90/E90,"")</f>
        <v>0.35140189437006558</v>
      </c>
      <c r="R90" s="39">
        <f>IF(E90&lt;&gt;0,$O90/E90,"")</f>
        <v>0.28572386719079712</v>
      </c>
      <c r="S90" s="39">
        <f>IF(D90&lt;&gt;0,$F90/D90,"")</f>
        <v>1.283816747380081E-2</v>
      </c>
      <c r="T90" s="39">
        <f>IF(D90&lt;&gt;0,$G90/D90,"")</f>
        <v>0.4331402682014559</v>
      </c>
      <c r="U90" s="39">
        <f>IF(D90&lt;&gt;0,$H90/D90,"")</f>
        <v>0</v>
      </c>
      <c r="V90" s="39">
        <f>IF(D90&lt;&gt;0,$I90/D90,"")</f>
        <v>3.5502286636082416E-3</v>
      </c>
      <c r="W90" s="17"/>
    </row>
    <row r="91" spans="1:23" x14ac:dyDescent="0.25">
      <c r="A91" s="4" t="s">
        <v>277</v>
      </c>
      <c r="B91" s="42">
        <f>Input!B237+Input!C237+Input!D237</f>
        <v>48747.689403123004</v>
      </c>
      <c r="C91" s="44">
        <f>Input!E237</f>
        <v>191.42030376307054</v>
      </c>
      <c r="D91" s="42">
        <f>0.01*Input!F$60*(Adjust!$E294*Input!E237+Adjust!$F294*Input!F237+Adjust!$G294*Input!G237)+10*(Adjust!$B294*Input!B237+Adjust!$C294*Input!C237+Adjust!$D294*Input!D237+Adjust!$H294*Input!H237)</f>
        <v>578025.56586931378</v>
      </c>
      <c r="E91" s="42">
        <f>10*(Adjust!$B294*Input!B237+Adjust!$C294*Input!C237+Adjust!$D294*Input!D237)</f>
        <v>429330.42682321364</v>
      </c>
      <c r="F91" s="42">
        <f>Adjust!E294*Input!$F$60*Input!$E237/100</f>
        <v>3229.7582172727839</v>
      </c>
      <c r="G91" s="42">
        <f>Adjust!F294*Input!$F$60*Input!$F237/100</f>
        <v>137928.10225152195</v>
      </c>
      <c r="H91" s="42">
        <f>Adjust!G294*Input!$F$60*Input!$G237/100</f>
        <v>5961.8897796780857</v>
      </c>
      <c r="I91" s="42">
        <f>Adjust!H294*Input!$H237*10</f>
        <v>1575.3887976273395</v>
      </c>
      <c r="J91" s="37">
        <f>IF(B91&lt;&gt;0,0.1*D91/B91,"")</f>
        <v>1.1857496692597758</v>
      </c>
      <c r="K91" s="46">
        <f>IF(C91&lt;&gt;0,D91/C91,"")</f>
        <v>3019.6669554174455</v>
      </c>
      <c r="L91" s="37">
        <f>IF(B91&lt;&gt;0,0.1*E91/B91,0)</f>
        <v>0.88071954195168223</v>
      </c>
      <c r="M91" s="42">
        <f>Adjust!B294*Input!$B237*10</f>
        <v>171069.25840283127</v>
      </c>
      <c r="N91" s="42">
        <f>Adjust!C294*Input!$C237*10</f>
        <v>150693.61557954224</v>
      </c>
      <c r="O91" s="42">
        <f>Adjust!D294*Input!$D237*10</f>
        <v>107567.5528408401</v>
      </c>
      <c r="P91" s="39">
        <f>IF(E91&lt;&gt;0,$M91/E91,"")</f>
        <v>0.39845593909716731</v>
      </c>
      <c r="Q91" s="39">
        <f>IF(E91&lt;&gt;0,$N91/E91,"")</f>
        <v>0.35099682241154945</v>
      </c>
      <c r="R91" s="39">
        <f>IF(E91&lt;&gt;0,$O91/E91,"")</f>
        <v>0.25054723849128319</v>
      </c>
      <c r="S91" s="39">
        <f>IF(D91&lt;&gt;0,$F91/D91,"")</f>
        <v>5.5875698377033422E-3</v>
      </c>
      <c r="T91" s="39">
        <f>IF(D91&lt;&gt;0,$G91/D91,"")</f>
        <v>0.23861938017237497</v>
      </c>
      <c r="U91" s="39">
        <f>IF(D91&lt;&gt;0,$H91/D91,"")</f>
        <v>1.0314231985071079E-2</v>
      </c>
      <c r="V91" s="39">
        <f>IF(D91&lt;&gt;0,$I91/D91,"")</f>
        <v>2.7254656033389364E-3</v>
      </c>
      <c r="W91" s="17"/>
    </row>
    <row r="92" spans="1:23" x14ac:dyDescent="0.25">
      <c r="A92" s="28" t="s">
        <v>278</v>
      </c>
      <c r="W92" s="17"/>
    </row>
    <row r="93" spans="1:23" x14ac:dyDescent="0.25">
      <c r="A93" s="4" t="s">
        <v>191</v>
      </c>
      <c r="B93" s="42">
        <f>Input!B239+Input!C239+Input!D239</f>
        <v>740620.44936093665</v>
      </c>
      <c r="C93" s="44">
        <f>Input!E239</f>
        <v>1767.9314622358031</v>
      </c>
      <c r="D93" s="42">
        <f>0.01*Input!F$60*(Adjust!$E296*Input!E239+Adjust!$F296*Input!F239+Adjust!$G296*Input!G239)+10*(Adjust!$B296*Input!B239+Adjust!$C296*Input!C239+Adjust!$D296*Input!D239+Adjust!$H296*Input!H239)</f>
        <v>18622116.138927795</v>
      </c>
      <c r="E93" s="42">
        <f>10*(Adjust!$B296*Input!B239+Adjust!$C296*Input!C239+Adjust!$D296*Input!D239)</f>
        <v>14014766.438755848</v>
      </c>
      <c r="F93" s="42">
        <f>Adjust!E296*Input!$F$60*Input!$E239/100</f>
        <v>60629.795152207073</v>
      </c>
      <c r="G93" s="42">
        <f>Adjust!F296*Input!$F$60*Input!$F239/100</f>
        <v>4329723.5520000001</v>
      </c>
      <c r="H93" s="42">
        <f>Adjust!G296*Input!$F$60*Input!$G239/100</f>
        <v>145262.83678424108</v>
      </c>
      <c r="I93" s="42">
        <f>Adjust!H296*Input!$H239*10</f>
        <v>71733.516235500545</v>
      </c>
      <c r="J93" s="37">
        <f>IF(B93&lt;&gt;0,0.1*D93/B93,"")</f>
        <v>2.5143939996520981</v>
      </c>
      <c r="K93" s="46">
        <f>IF(C93&lt;&gt;0,D93/C93,"")</f>
        <v>10533.279449293501</v>
      </c>
      <c r="L93" s="37">
        <f>IF(B93&lt;&gt;0,0.1*E93/B93,0)</f>
        <v>1.8923007663167888</v>
      </c>
      <c r="M93" s="42">
        <f>Adjust!B296*Input!$B239*10</f>
        <v>4138110.3605332905</v>
      </c>
      <c r="N93" s="42">
        <f>Adjust!C296*Input!$C239*10</f>
        <v>5390514.176719374</v>
      </c>
      <c r="O93" s="42">
        <f>Adjust!D296*Input!$D239*10</f>
        <v>4486141.901503182</v>
      </c>
      <c r="P93" s="39">
        <f>IF(E93&lt;&gt;0,$M93/E93,"")</f>
        <v>0.29526787896300105</v>
      </c>
      <c r="Q93" s="39">
        <f>IF(E93&lt;&gt;0,$N93/E93,"")</f>
        <v>0.38463103900273871</v>
      </c>
      <c r="R93" s="39">
        <f>IF(E93&lt;&gt;0,$O93/E93,"")</f>
        <v>0.32010108203426019</v>
      </c>
      <c r="S93" s="39">
        <f>IF(D93&lt;&gt;0,$F93/D93,"")</f>
        <v>3.2557951362716586E-3</v>
      </c>
      <c r="T93" s="39">
        <f>IF(D93&lt;&gt;0,$G93/D93,"")</f>
        <v>0.23250437918540939</v>
      </c>
      <c r="U93" s="39">
        <f>IF(D93&lt;&gt;0,$H93/D93,"")</f>
        <v>7.800554765125897E-3</v>
      </c>
      <c r="V93" s="39">
        <f>IF(D93&lt;&gt;0,$I93/D93,"")</f>
        <v>3.8520604049691394E-3</v>
      </c>
      <c r="W93" s="17"/>
    </row>
    <row r="94" spans="1:23" x14ac:dyDescent="0.25">
      <c r="A94" s="4" t="s">
        <v>279</v>
      </c>
      <c r="B94" s="42">
        <f>Input!B240+Input!C240+Input!D240</f>
        <v>4910.0607817625951</v>
      </c>
      <c r="C94" s="44">
        <f>Input!E240</f>
        <v>4.3513441221463642</v>
      </c>
      <c r="D94" s="42">
        <f>0.01*Input!F$60*(Adjust!$E297*Input!E240+Adjust!$F297*Input!F240+Adjust!$G297*Input!G240)+10*(Adjust!$B297*Input!B240+Adjust!$C297*Input!C240+Adjust!$D297*Input!D240+Adjust!$H297*Input!H240)</f>
        <v>81236.321957863285</v>
      </c>
      <c r="E94" s="42">
        <f>10*(Adjust!$B297*Input!B240+Adjust!$C297*Input!C240+Adjust!$D297*Input!D240)</f>
        <v>62111.53453376898</v>
      </c>
      <c r="F94" s="42">
        <f>Adjust!E297*Input!$F$60*Input!$E240/100</f>
        <v>94.122184168499146</v>
      </c>
      <c r="G94" s="42">
        <f>Adjust!F297*Input!$F$60*Input!$F240/100</f>
        <v>18763.435343320481</v>
      </c>
      <c r="H94" s="42">
        <f>Adjust!G297*Input!$F$60*Input!$G240/100</f>
        <v>0</v>
      </c>
      <c r="I94" s="42">
        <f>Adjust!H297*Input!$H240*10</f>
        <v>267.22989660532016</v>
      </c>
      <c r="J94" s="37">
        <f>IF(B94&lt;&gt;0,0.1*D94/B94,"")</f>
        <v>1.6544870943267913</v>
      </c>
      <c r="K94" s="46">
        <f>IF(C94&lt;&gt;0,D94/C94,"")</f>
        <v>18669.247863989272</v>
      </c>
      <c r="L94" s="37">
        <f>IF(B94&lt;&gt;0,0.1*E94/B94,0)</f>
        <v>1.2649850438607486</v>
      </c>
      <c r="M94" s="42">
        <f>Adjust!B297*Input!$B240*10</f>
        <v>21821.393338136229</v>
      </c>
      <c r="N94" s="42">
        <f>Adjust!C297*Input!$C240*10</f>
        <v>19782.921013398714</v>
      </c>
      <c r="O94" s="42">
        <f>Adjust!D297*Input!$D240*10</f>
        <v>20507.220182234043</v>
      </c>
      <c r="P94" s="39">
        <f>IF(E94&lt;&gt;0,$M94/E94,"")</f>
        <v>0.3513259413398056</v>
      </c>
      <c r="Q94" s="39">
        <f>IF(E94&lt;&gt;0,$N94/E94,"")</f>
        <v>0.31850639598419644</v>
      </c>
      <c r="R94" s="39">
        <f>IF(E94&lt;&gt;0,$O94/E94,"")</f>
        <v>0.33016766267599812</v>
      </c>
      <c r="S94" s="39">
        <f>IF(D94&lt;&gt;0,$F94/D94,"")</f>
        <v>1.1586219304379594E-3</v>
      </c>
      <c r="T94" s="39">
        <f>IF(D94&lt;&gt;0,$G94/D94,"")</f>
        <v>0.23097347210097652</v>
      </c>
      <c r="U94" s="39">
        <f>IF(D94&lt;&gt;0,$H94/D94,"")</f>
        <v>0</v>
      </c>
      <c r="V94" s="39">
        <f>IF(D94&lt;&gt;0,$I94/D94,"")</f>
        <v>3.2895371204020099E-3</v>
      </c>
      <c r="W94" s="17"/>
    </row>
    <row r="95" spans="1:23" x14ac:dyDescent="0.25">
      <c r="A95" s="28" t="s">
        <v>280</v>
      </c>
      <c r="W95" s="17"/>
    </row>
    <row r="96" spans="1:23" x14ac:dyDescent="0.25">
      <c r="A96" s="4" t="s">
        <v>208</v>
      </c>
      <c r="B96" s="42">
        <f>Input!B242+Input!C242+Input!D242</f>
        <v>2504271.1009893063</v>
      </c>
      <c r="C96" s="44">
        <f>Input!E242</f>
        <v>1242.4271059445377</v>
      </c>
      <c r="D96" s="42">
        <f>0.01*Input!F$60*(Adjust!$E299*Input!E242+Adjust!$F299*Input!F242+Adjust!$G299*Input!G242)+10*(Adjust!$B299*Input!B242+Adjust!$C299*Input!C242+Adjust!$D299*Input!D242+Adjust!$H299*Input!H242)</f>
        <v>52932050.30373621</v>
      </c>
      <c r="E96" s="42">
        <f>10*(Adjust!$B299*Input!B242+Adjust!$C299*Input!C242+Adjust!$D299*Input!D242)</f>
        <v>42860551.221401103</v>
      </c>
      <c r="F96" s="42">
        <f>Adjust!E299*Input!$F$60*Input!$E242/100</f>
        <v>460003.16929669894</v>
      </c>
      <c r="G96" s="42">
        <f>Adjust!F299*Input!$F$60*Input!$F242/100</f>
        <v>9170858.1297721509</v>
      </c>
      <c r="H96" s="42">
        <f>Adjust!G299*Input!$F$60*Input!$G242/100</f>
        <v>317118.77841968724</v>
      </c>
      <c r="I96" s="42">
        <f>Adjust!H299*Input!$H242*10</f>
        <v>123519.00484655792</v>
      </c>
      <c r="J96" s="37">
        <f>IF(B96&lt;&gt;0,0.1*D96/B96,"")</f>
        <v>2.113670931347071</v>
      </c>
      <c r="K96" s="46">
        <f>IF(C96&lt;&gt;0,D96/C96,"")</f>
        <v>42603.747173960248</v>
      </c>
      <c r="L96" s="37">
        <f>IF(B96&lt;&gt;0,0.1*E96/B96,0)</f>
        <v>1.7114980564392228</v>
      </c>
      <c r="M96" s="42">
        <f>Adjust!B299*Input!$B242*10</f>
        <v>10639225.81413891</v>
      </c>
      <c r="N96" s="42">
        <f>Adjust!C299*Input!$C242*10</f>
        <v>15682107.866199933</v>
      </c>
      <c r="O96" s="42">
        <f>Adjust!D299*Input!$D242*10</f>
        <v>16539217.541062262</v>
      </c>
      <c r="P96" s="39">
        <f>IF(E96&lt;&gt;0,$M96/E96,"")</f>
        <v>0.2482288610610901</v>
      </c>
      <c r="Q96" s="39">
        <f>IF(E96&lt;&gt;0,$N96/E96,"")</f>
        <v>0.36588675178702679</v>
      </c>
      <c r="R96" s="39">
        <f>IF(E96&lt;&gt;0,$O96/E96,"")</f>
        <v>0.38588438715188317</v>
      </c>
      <c r="S96" s="39">
        <f>IF(D96&lt;&gt;0,$F96/D96,"")</f>
        <v>8.6904468399976106E-3</v>
      </c>
      <c r="T96" s="39">
        <f>IF(D96&lt;&gt;0,$G96/D96,"")</f>
        <v>0.17325718684894445</v>
      </c>
      <c r="U96" s="39">
        <f>IF(D96&lt;&gt;0,$H96/D96,"")</f>
        <v>5.9910541269417522E-3</v>
      </c>
      <c r="V96" s="39">
        <f>IF(D96&lt;&gt;0,$I96/D96,"")</f>
        <v>2.3335390210237014E-3</v>
      </c>
      <c r="W96" s="17"/>
    </row>
    <row r="97" spans="1:23" x14ac:dyDescent="0.25">
      <c r="A97" s="4" t="s">
        <v>281</v>
      </c>
      <c r="B97" s="42">
        <f>Input!B243+Input!C243+Input!D243</f>
        <v>20969.644562299098</v>
      </c>
      <c r="C97" s="44">
        <f>Input!E243</f>
        <v>11.175782420804273</v>
      </c>
      <c r="D97" s="42">
        <f>0.01*Input!F$60*(Adjust!$E300*Input!E243+Adjust!$F300*Input!F243+Adjust!$G300*Input!G243)+10*(Adjust!$B300*Input!B243+Adjust!$C300*Input!C243+Adjust!$D300*Input!D243+Adjust!$H300*Input!H243)</f>
        <v>404622.05174674594</v>
      </c>
      <c r="E97" s="42">
        <f>10*(Adjust!$B300*Input!B243+Adjust!$C300*Input!C243+Adjust!$D300*Input!D243)</f>
        <v>274051.49548216281</v>
      </c>
      <c r="F97" s="42">
        <f>Adjust!E300*Input!$F$60*Input!$E243/100</f>
        <v>3093.930427253265</v>
      </c>
      <c r="G97" s="42">
        <f>Adjust!F300*Input!$F$60*Input!$F243/100</f>
        <v>127143.87657932345</v>
      </c>
      <c r="H97" s="42">
        <f>Adjust!G300*Input!$F$60*Input!$G243/100</f>
        <v>0</v>
      </c>
      <c r="I97" s="42">
        <f>Adjust!H300*Input!$H243*10</f>
        <v>332.74925800645036</v>
      </c>
      <c r="J97" s="37">
        <f>IF(B97&lt;&gt;0,0.1*D97/B97,"")</f>
        <v>1.92956084946813</v>
      </c>
      <c r="K97" s="46">
        <f>IF(C97&lt;&gt;0,D97/C97,"")</f>
        <v>36205.25494425535</v>
      </c>
      <c r="L97" s="37">
        <f>IF(B97&lt;&gt;0,0.1*E97/B97,0)</f>
        <v>1.306896235975666</v>
      </c>
      <c r="M97" s="42">
        <f>Adjust!B300*Input!$B243*10</f>
        <v>74395.698400877081</v>
      </c>
      <c r="N97" s="42">
        <f>Adjust!C300*Input!$C243*10</f>
        <v>87076.611855212803</v>
      </c>
      <c r="O97" s="42">
        <f>Adjust!D300*Input!$D243*10</f>
        <v>112579.18522607291</v>
      </c>
      <c r="P97" s="39">
        <f>IF(E97&lt;&gt;0,$M97/E97,"")</f>
        <v>0.27146612818144344</v>
      </c>
      <c r="Q97" s="39">
        <f>IF(E97&lt;&gt;0,$N97/E97,"")</f>
        <v>0.3177381378708089</v>
      </c>
      <c r="R97" s="39">
        <f>IF(E97&lt;&gt;0,$O97/E97,"")</f>
        <v>0.4107957339477476</v>
      </c>
      <c r="S97" s="39">
        <f>IF(D97&lt;&gt;0,$F97/D97,"")</f>
        <v>7.6464701167344301E-3</v>
      </c>
      <c r="T97" s="39">
        <f>IF(D97&lt;&gt;0,$G97/D97,"")</f>
        <v>0.31422873773301696</v>
      </c>
      <c r="U97" s="39">
        <f>IF(D97&lt;&gt;0,$H97/D97,"")</f>
        <v>0</v>
      </c>
      <c r="V97" s="39">
        <f>IF(D97&lt;&gt;0,$I97/D97,"")</f>
        <v>8.2237054695852079E-4</v>
      </c>
      <c r="W97" s="17"/>
    </row>
    <row r="98" spans="1:23" x14ac:dyDescent="0.25">
      <c r="A98" s="28" t="s">
        <v>282</v>
      </c>
      <c r="W98" s="17"/>
    </row>
    <row r="99" spans="1:23" x14ac:dyDescent="0.25">
      <c r="A99" s="4" t="s">
        <v>230</v>
      </c>
      <c r="B99" s="42">
        <f>Input!B245+Input!C245+Input!D245</f>
        <v>4068.4293231218739</v>
      </c>
      <c r="C99" s="44">
        <f>Input!E245</f>
        <v>818</v>
      </c>
      <c r="D99" s="42">
        <f>0.01*Input!F$60*(Adjust!$E302*Input!E245+Adjust!$F302*Input!F245+Adjust!$G302*Input!G245)+10*(Adjust!$B302*Input!B245+Adjust!$C302*Input!C245+Adjust!$D302*Input!D245+Adjust!$H302*Input!H245)</f>
        <v>128155.52367833903</v>
      </c>
      <c r="E99" s="42">
        <f>10*(Adjust!$B302*Input!B245+Adjust!$C302*Input!C245+Adjust!$D302*Input!D245)</f>
        <v>128155.52367833903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3.15</v>
      </c>
      <c r="K99" s="46">
        <f>IF(C99&lt;&gt;0,D99/C99,"")</f>
        <v>156.66934435004771</v>
      </c>
      <c r="L99" s="37">
        <f>IF(B99&lt;&gt;0,0.1*E99/B99,0)</f>
        <v>3.15</v>
      </c>
      <c r="M99" s="42">
        <f>Adjust!B302*Input!$B245*10</f>
        <v>128155.52367833903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283</v>
      </c>
      <c r="B100" s="42">
        <f>Input!B246+Input!C246+Input!D246</f>
        <v>0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0</v>
      </c>
      <c r="E100" s="42">
        <f>10*(Adjust!$B303*Input!B246+Adjust!$C303*Input!C246+Adjust!$D303*Input!D246)</f>
        <v>0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 t="str">
        <f>IF(B100&lt;&gt;0,0.1*D100/B100,"")</f>
        <v/>
      </c>
      <c r="K100" s="46" t="str">
        <f>IF(C100&lt;&gt;0,D100/C100,"")</f>
        <v/>
      </c>
      <c r="L100" s="37">
        <f>IF(B100&lt;&gt;0,0.1*E100/B100,0)</f>
        <v>0</v>
      </c>
      <c r="M100" s="42">
        <f>Adjust!B303*Input!$B246*10</f>
        <v>0</v>
      </c>
      <c r="N100" s="42">
        <f>Adjust!C303*Input!$C246*10</f>
        <v>0</v>
      </c>
      <c r="O100" s="42">
        <f>Adjust!D303*Input!$D246*10</f>
        <v>0</v>
      </c>
      <c r="P100" s="39" t="str">
        <f>IF(E100&lt;&gt;0,$M100/E100,"")</f>
        <v/>
      </c>
      <c r="Q100" s="39" t="str">
        <f>IF(E100&lt;&gt;0,$N100/E100,"")</f>
        <v/>
      </c>
      <c r="R100" s="39" t="str">
        <f>IF(E100&lt;&gt;0,$O100/E100,"")</f>
        <v/>
      </c>
      <c r="S100" s="39" t="str">
        <f>IF(D100&lt;&gt;0,$F100/D100,"")</f>
        <v/>
      </c>
      <c r="T100" s="39" t="str">
        <f>IF(D100&lt;&gt;0,$G100/D100,"")</f>
        <v/>
      </c>
      <c r="U100" s="39" t="str">
        <f>IF(D100&lt;&gt;0,$H100/D100,"")</f>
        <v/>
      </c>
      <c r="V100" s="39" t="str">
        <f>IF(D100&lt;&gt;0,$I100/D100,"")</f>
        <v/>
      </c>
      <c r="W100" s="17"/>
    </row>
    <row r="101" spans="1:23" x14ac:dyDescent="0.25">
      <c r="A101" s="4" t="s">
        <v>284</v>
      </c>
      <c r="B101" s="42">
        <f>Input!B247+Input!C247+Input!D247</f>
        <v>207.69545434858088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2513.1149976178285</v>
      </c>
      <c r="E101" s="42">
        <f>10*(Adjust!$B304*Input!B247+Adjust!$C304*Input!C247+Adjust!$D304*Input!D247)</f>
        <v>2513.1149976178285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1.21</v>
      </c>
      <c r="K101" s="46" t="str">
        <f>IF(C101&lt;&gt;0,D101/C101,"")</f>
        <v/>
      </c>
      <c r="L101" s="37">
        <f>IF(B101&lt;&gt;0,0.1*E101/B101,0)</f>
        <v>1.21</v>
      </c>
      <c r="M101" s="42">
        <f>Adjust!B304*Input!$B247*10</f>
        <v>2513.1149976178285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285</v>
      </c>
      <c r="W102" s="17"/>
    </row>
    <row r="103" spans="1:23" x14ac:dyDescent="0.25">
      <c r="A103" s="4" t="s">
        <v>231</v>
      </c>
      <c r="B103" s="42">
        <f>Input!B249+Input!C249+Input!D249</f>
        <v>4958.8517885686515</v>
      </c>
      <c r="C103" s="44">
        <f>Input!E249</f>
        <v>759</v>
      </c>
      <c r="D103" s="42">
        <f>0.01*Input!F$60*(Adjust!$E306*Input!E249+Adjust!$F306*Input!F249+Adjust!$G306*Input!G249)+10*(Adjust!$B306*Input!B249+Adjust!$C306*Input!C249+Adjust!$D306*Input!D249+Adjust!$H306*Input!H249)</f>
        <v>172964.75038527456</v>
      </c>
      <c r="E103" s="42">
        <f>10*(Adjust!$B306*Input!B249+Adjust!$C306*Input!C249+Adjust!$D306*Input!D249)</f>
        <v>172964.75038527456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3.488</v>
      </c>
      <c r="K103" s="46">
        <f>IF(C103&lt;&gt;0,D103/C103,"")</f>
        <v>227.88504662091509</v>
      </c>
      <c r="L103" s="37">
        <f>IF(B103&lt;&gt;0,0.1*E103/B103,0)</f>
        <v>3.488</v>
      </c>
      <c r="M103" s="42">
        <f>Adjust!B306*Input!$B249*10</f>
        <v>172964.75038527456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286</v>
      </c>
      <c r="B104" s="42">
        <f>Input!B250+Input!C250+Input!D250</f>
        <v>133.98195221570728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2919.4667387802615</v>
      </c>
      <c r="E104" s="42">
        <f>10*(Adjust!$B307*Input!B250+Adjust!$C307*Input!C250+Adjust!$D307*Input!D250)</f>
        <v>2919.4667387802615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2.1789999999999998</v>
      </c>
      <c r="K104" s="46" t="str">
        <f>IF(C104&lt;&gt;0,D104/C104,"")</f>
        <v/>
      </c>
      <c r="L104" s="37">
        <f>IF(B104&lt;&gt;0,0.1*E104/B104,0)</f>
        <v>2.1789999999999998</v>
      </c>
      <c r="M104" s="42">
        <f>Adjust!B307*Input!$B250*10</f>
        <v>2919.4667387802615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287</v>
      </c>
      <c r="B105" s="42">
        <f>Input!B251+Input!C251+Input!D251</f>
        <v>454.69865311763124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6092.9619517762594</v>
      </c>
      <c r="E105" s="42">
        <f>10*(Adjust!$B308*Input!B251+Adjust!$C308*Input!C251+Adjust!$D308*Input!D251)</f>
        <v>6092.9619517762594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1.34</v>
      </c>
      <c r="K105" s="46" t="str">
        <f>IF(C105&lt;&gt;0,D105/C105,"")</f>
        <v/>
      </c>
      <c r="L105" s="37">
        <f>IF(B105&lt;&gt;0,0.1*E105/B105,0)</f>
        <v>1.34</v>
      </c>
      <c r="M105" s="42">
        <f>Adjust!B308*Input!$B251*10</f>
        <v>6092.9619517762594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288</v>
      </c>
      <c r="W106" s="17"/>
    </row>
    <row r="107" spans="1:23" x14ac:dyDescent="0.25">
      <c r="A107" s="4" t="s">
        <v>232</v>
      </c>
      <c r="B107" s="42">
        <f>Input!B253+Input!C253+Input!D253</f>
        <v>593.78396396084736</v>
      </c>
      <c r="C107" s="44">
        <f>Input!E253</f>
        <v>191</v>
      </c>
      <c r="D107" s="42">
        <f>0.01*Input!F$60*(Adjust!$E310*Input!E253+Adjust!$F310*Input!F253+Adjust!$G310*Input!G253)+10*(Adjust!$B310*Input!B253+Adjust!$C310*Input!C253+Adjust!$D310*Input!D253+Adjust!$H310*Input!H253)</f>
        <v>26096.805216079236</v>
      </c>
      <c r="E107" s="42">
        <f>10*(Adjust!$B310*Input!B253+Adjust!$C310*Input!C253+Adjust!$D310*Input!D253)</f>
        <v>26096.805216079236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4.3949999999999996</v>
      </c>
      <c r="K107" s="46">
        <f>IF(C107&lt;&gt;0,D107/C107,"")</f>
        <v>136.63248804229966</v>
      </c>
      <c r="L107" s="37">
        <f>IF(B107&lt;&gt;0,0.1*E107/B107,0)</f>
        <v>4.3949999999999996</v>
      </c>
      <c r="M107" s="42">
        <f>Adjust!B310*Input!$B253*10</f>
        <v>26096.805216079236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289</v>
      </c>
      <c r="B108" s="42">
        <f>Input!B254+Input!C254+Input!D254</f>
        <v>1.9201054398654972E-2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0.5272609537870655</v>
      </c>
      <c r="E108" s="42">
        <f>10*(Adjust!$B311*Input!B254+Adjust!$C311*Input!C254+Adjust!$D311*Input!D254)</f>
        <v>0.5272609537870655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>
        <f>IF(B108&lt;&gt;0,0.1*D108/B108,"")</f>
        <v>2.746</v>
      </c>
      <c r="K108" s="46" t="str">
        <f>IF(C108&lt;&gt;0,D108/C108,"")</f>
        <v/>
      </c>
      <c r="L108" s="37">
        <f>IF(B108&lt;&gt;0,0.1*E108/B108,0)</f>
        <v>2.746</v>
      </c>
      <c r="M108" s="42">
        <f>Adjust!B311*Input!$B254*10</f>
        <v>0.5272609537870655</v>
      </c>
      <c r="N108" s="42">
        <f>Adjust!C311*Input!$C254*10</f>
        <v>0</v>
      </c>
      <c r="O108" s="42">
        <f>Adjust!D311*Input!$D254*10</f>
        <v>0</v>
      </c>
      <c r="P108" s="39">
        <f>IF(E108&lt;&gt;0,$M108/E108,"")</f>
        <v>1</v>
      </c>
      <c r="Q108" s="39">
        <f>IF(E108&lt;&gt;0,$N108/E108,"")</f>
        <v>0</v>
      </c>
      <c r="R108" s="39">
        <f>IF(E108&lt;&gt;0,$O108/E108,"")</f>
        <v>0</v>
      </c>
      <c r="S108" s="39">
        <f>IF(D108&lt;&gt;0,$F108/D108,"")</f>
        <v>0</v>
      </c>
      <c r="T108" s="39">
        <f>IF(D108&lt;&gt;0,$G108/D108,"")</f>
        <v>0</v>
      </c>
      <c r="U108" s="39">
        <f>IF(D108&lt;&gt;0,$H108/D108,"")</f>
        <v>0</v>
      </c>
      <c r="V108" s="39">
        <f>IF(D108&lt;&gt;0,$I108/D108,"")</f>
        <v>0</v>
      </c>
      <c r="W108" s="17"/>
    </row>
    <row r="109" spans="1:23" x14ac:dyDescent="0.25">
      <c r="A109" s="4" t="s">
        <v>290</v>
      </c>
      <c r="B109" s="42">
        <f>Input!B255+Input!C255+Input!D255</f>
        <v>3.9597943365447317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66.841328400875071</v>
      </c>
      <c r="E109" s="42">
        <f>10*(Adjust!$B312*Input!B255+Adjust!$C312*Input!C255+Adjust!$D312*Input!D255)</f>
        <v>66.841328400875071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>
        <f>IF(B109&lt;&gt;0,0.1*D109/B109,"")</f>
        <v>1.6879999999999999</v>
      </c>
      <c r="K109" s="46" t="str">
        <f>IF(C109&lt;&gt;0,D109/C109,"")</f>
        <v/>
      </c>
      <c r="L109" s="37">
        <f>IF(B109&lt;&gt;0,0.1*E109/B109,0)</f>
        <v>1.6879999999999999</v>
      </c>
      <c r="M109" s="42">
        <f>Adjust!B312*Input!$B255*10</f>
        <v>66.841328400875071</v>
      </c>
      <c r="N109" s="42">
        <f>Adjust!C312*Input!$C255*10</f>
        <v>0</v>
      </c>
      <c r="O109" s="42">
        <f>Adjust!D312*Input!$D255*10</f>
        <v>0</v>
      </c>
      <c r="P109" s="39">
        <f>IF(E109&lt;&gt;0,$M109/E109,"")</f>
        <v>1</v>
      </c>
      <c r="Q109" s="39">
        <f>IF(E109&lt;&gt;0,$N109/E109,"")</f>
        <v>0</v>
      </c>
      <c r="R109" s="39">
        <f>IF(E109&lt;&gt;0,$O109/E109,"")</f>
        <v>0</v>
      </c>
      <c r="S109" s="39">
        <f>IF(D109&lt;&gt;0,$F109/D109,"")</f>
        <v>0</v>
      </c>
      <c r="T109" s="39">
        <f>IF(D109&lt;&gt;0,$G109/D109,"")</f>
        <v>0</v>
      </c>
      <c r="U109" s="39">
        <f>IF(D109&lt;&gt;0,$H109/D109,"")</f>
        <v>0</v>
      </c>
      <c r="V109" s="39">
        <f>IF(D109&lt;&gt;0,$I109/D109,"")</f>
        <v>0</v>
      </c>
      <c r="W109" s="17"/>
    </row>
    <row r="110" spans="1:23" x14ac:dyDescent="0.25">
      <c r="A110" s="28" t="s">
        <v>291</v>
      </c>
      <c r="W110" s="17"/>
    </row>
    <row r="111" spans="1:23" x14ac:dyDescent="0.25">
      <c r="A111" s="4" t="s">
        <v>233</v>
      </c>
      <c r="B111" s="42">
        <f>Input!B257+Input!C257+Input!D257</f>
        <v>0</v>
      </c>
      <c r="C111" s="44">
        <f>Input!E257</f>
        <v>0</v>
      </c>
      <c r="D111" s="42">
        <f>0.01*Input!F$60*(Adjust!$E314*Input!E257+Adjust!$F314*Input!F257+Adjust!$G314*Input!G257)+10*(Adjust!$B314*Input!B257+Adjust!$C314*Input!C257+Adjust!$D314*Input!D257+Adjust!$H314*Input!H257)</f>
        <v>0</v>
      </c>
      <c r="E111" s="42">
        <f>10*(Adjust!$B314*Input!B257+Adjust!$C314*Input!C257+Adjust!$D314*Input!D257)</f>
        <v>0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 t="str">
        <f>IF(B111&lt;&gt;0,0.1*D111/B111,"")</f>
        <v/>
      </c>
      <c r="K111" s="46" t="str">
        <f>IF(C111&lt;&gt;0,D111/C111,"")</f>
        <v/>
      </c>
      <c r="L111" s="37">
        <f>IF(B111&lt;&gt;0,0.1*E111/B111,0)</f>
        <v>0</v>
      </c>
      <c r="M111" s="42">
        <f>Adjust!B314*Input!$B257*10</f>
        <v>0</v>
      </c>
      <c r="N111" s="42">
        <f>Adjust!C314*Input!$C257*10</f>
        <v>0</v>
      </c>
      <c r="O111" s="42">
        <f>Adjust!D314*Input!$D257*10</f>
        <v>0</v>
      </c>
      <c r="P111" s="39" t="str">
        <f>IF(E111&lt;&gt;0,$M111/E111,"")</f>
        <v/>
      </c>
      <c r="Q111" s="39" t="str">
        <f>IF(E111&lt;&gt;0,$N111/E111,"")</f>
        <v/>
      </c>
      <c r="R111" s="39" t="str">
        <f>IF(E111&lt;&gt;0,$O111/E111,"")</f>
        <v/>
      </c>
      <c r="S111" s="39" t="str">
        <f>IF(D111&lt;&gt;0,$F111/D111,"")</f>
        <v/>
      </c>
      <c r="T111" s="39" t="str">
        <f>IF(D111&lt;&gt;0,$G111/D111,"")</f>
        <v/>
      </c>
      <c r="U111" s="39" t="str">
        <f>IF(D111&lt;&gt;0,$H111/D111,"")</f>
        <v/>
      </c>
      <c r="V111" s="39" t="str">
        <f>IF(D111&lt;&gt;0,$I111/D111,"")</f>
        <v/>
      </c>
      <c r="W111" s="17"/>
    </row>
    <row r="112" spans="1:23" x14ac:dyDescent="0.25">
      <c r="A112" s="4" t="s">
        <v>292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293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294</v>
      </c>
      <c r="W114" s="17"/>
    </row>
    <row r="115" spans="1:23" x14ac:dyDescent="0.25">
      <c r="A115" s="4" t="s">
        <v>234</v>
      </c>
      <c r="B115" s="42">
        <f>Input!B261+Input!C261+Input!D261</f>
        <v>121884.36577351103</v>
      </c>
      <c r="C115" s="44">
        <f>Input!E261</f>
        <v>22.330601092896174</v>
      </c>
      <c r="D115" s="42">
        <f>0.01*Input!F$60*(Adjust!$E318*Input!E261+Adjust!$F318*Input!F261+Adjust!$G318*Input!G261)+10*(Adjust!$B318*Input!B261+Adjust!$C318*Input!C261+Adjust!$D318*Input!D261+Adjust!$H318*Input!H261)</f>
        <v>4332284.9639098532</v>
      </c>
      <c r="E115" s="42">
        <f>10*(Adjust!$B318*Input!B261+Adjust!$C318*Input!C261+Adjust!$D318*Input!D261)</f>
        <v>4332284.9639098532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3.5544222069959552</v>
      </c>
      <c r="K115" s="46">
        <f>IF(C115&lt;&gt;0,D115/C115,"")</f>
        <v>194006.64343460251</v>
      </c>
      <c r="L115" s="37">
        <f>IF(B115&lt;&gt;0,0.1*E115/B115,0)</f>
        <v>3.5544222069959552</v>
      </c>
      <c r="M115" s="42">
        <f>Adjust!B318*Input!$B261*10</f>
        <v>1407892.8712921601</v>
      </c>
      <c r="N115" s="42">
        <f>Adjust!C318*Input!$C261*10</f>
        <v>889776.90879728855</v>
      </c>
      <c r="O115" s="42">
        <f>Adjust!D318*Input!$D261*10</f>
        <v>2034615.183820405</v>
      </c>
      <c r="P115" s="39">
        <f>IF(E115&lt;&gt;0,$M115/E115,"")</f>
        <v>0.32497697705036188</v>
      </c>
      <c r="Q115" s="39">
        <f>IF(E115&lt;&gt;0,$N115/E115,"")</f>
        <v>0.20538282135399327</v>
      </c>
      <c r="R115" s="39">
        <f>IF(E115&lt;&gt;0,$O115/E115,"")</f>
        <v>0.46964020159564501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295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296</v>
      </c>
      <c r="B117" s="42">
        <f>Input!B263+Input!C263+Input!D263</f>
        <v>50.51259407249259</v>
      </c>
      <c r="C117" s="44">
        <f>Input!E263</f>
        <v>1.6938525728247484</v>
      </c>
      <c r="D117" s="42">
        <f>0.01*Input!F$60*(Adjust!$E320*Input!E263+Adjust!$F320*Input!F263+Adjust!$G320*Input!G263)+10*(Adjust!$B320*Input!B263+Adjust!$C320*Input!C263+Adjust!$D320*Input!D263+Adjust!$H320*Input!H263)</f>
        <v>726.9603382829722</v>
      </c>
      <c r="E117" s="42">
        <f>10*(Adjust!$B320*Input!B263+Adjust!$C320*Input!C263+Adjust!$D320*Input!D263)</f>
        <v>726.9603382829722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>
        <f>IF(B117&lt;&gt;0,0.1*D117/B117,"")</f>
        <v>1.4391665120973258</v>
      </c>
      <c r="K117" s="46">
        <f>IF(C117&lt;&gt;0,D117/C117,"")</f>
        <v>429.17568503063927</v>
      </c>
      <c r="L117" s="37">
        <f>IF(B117&lt;&gt;0,0.1*E117/B117,0)</f>
        <v>1.4391665120973258</v>
      </c>
      <c r="M117" s="42">
        <f>Adjust!B320*Input!$B263*10</f>
        <v>277.19427735829447</v>
      </c>
      <c r="N117" s="42">
        <f>Adjust!C320*Input!$C263*10</f>
        <v>81.823958682652616</v>
      </c>
      <c r="O117" s="42">
        <f>Adjust!D320*Input!$D263*10</f>
        <v>367.9421022420251</v>
      </c>
      <c r="P117" s="39">
        <f>IF(E117&lt;&gt;0,$M117/E117,"")</f>
        <v>0.38130591555105653</v>
      </c>
      <c r="Q117" s="39">
        <f>IF(E117&lt;&gt;0,$N117/E117,"")</f>
        <v>0.11255629003903417</v>
      </c>
      <c r="R117" s="39">
        <f>IF(E117&lt;&gt;0,$O117/E117,"")</f>
        <v>0.50613779440990925</v>
      </c>
      <c r="S117" s="39">
        <f>IF(D117&lt;&gt;0,$F117/D117,"")</f>
        <v>0</v>
      </c>
      <c r="T117" s="39">
        <f>IF(D117&lt;&gt;0,$G117/D117,"")</f>
        <v>0</v>
      </c>
      <c r="U117" s="39">
        <f>IF(D117&lt;&gt;0,$H117/D117,"")</f>
        <v>0</v>
      </c>
      <c r="V117" s="39">
        <f>IF(D117&lt;&gt;0,$I117/D117,"")</f>
        <v>0</v>
      </c>
      <c r="W117" s="17"/>
    </row>
    <row r="118" spans="1:23" x14ac:dyDescent="0.25">
      <c r="A118" s="28" t="s">
        <v>297</v>
      </c>
      <c r="W118" s="17"/>
    </row>
    <row r="119" spans="1:23" x14ac:dyDescent="0.25">
      <c r="A119" s="4" t="s">
        <v>192</v>
      </c>
      <c r="B119" s="42">
        <f>Input!B265+Input!C265+Input!D265</f>
        <v>3884.1452388750013</v>
      </c>
      <c r="C119" s="44">
        <f>Input!E265</f>
        <v>332</v>
      </c>
      <c r="D119" s="42">
        <f>0.01*Input!F$60*(Adjust!$E322*Input!E265+Adjust!$F322*Input!F265+Adjust!$G322*Input!G265)+10*(Adjust!$B322*Input!B265+Adjust!$C322*Input!C265+Adjust!$D322*Input!D265+Adjust!$H322*Input!H265)</f>
        <v>-26917.126505403758</v>
      </c>
      <c r="E119" s="42">
        <f>10*(Adjust!$B322*Input!B265+Adjust!$C322*Input!C265+Adjust!$D322*Input!D265)</f>
        <v>-26917.126505403758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-0.69299999999999995</v>
      </c>
      <c r="K119" s="46">
        <f>IF(C119&lt;&gt;0,D119/C119,"")</f>
        <v>-81.075682245192041</v>
      </c>
      <c r="L119" s="37">
        <f>IF(B119&lt;&gt;0,0.1*E119/B119,0)</f>
        <v>-0.69299999999999995</v>
      </c>
      <c r="M119" s="42">
        <f>Adjust!B322*Input!$B265*10</f>
        <v>-26917.126505403758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298</v>
      </c>
      <c r="B120" s="42">
        <f>Input!B266+Input!C266+Input!D266</f>
        <v>78.224294571428587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-542.09436138000012</v>
      </c>
      <c r="E120" s="42">
        <f>10*(Adjust!$B323*Input!B266+Adjust!$C323*Input!C266+Adjust!$D323*Input!D266)</f>
        <v>-542.09436138000012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>
        <f>IF(B120&lt;&gt;0,0.1*D120/B120,"")</f>
        <v>-0.69300000000000006</v>
      </c>
      <c r="K120" s="46" t="str">
        <f>IF(C120&lt;&gt;0,D120/C120,"")</f>
        <v/>
      </c>
      <c r="L120" s="37">
        <f>IF(B120&lt;&gt;0,0.1*E120/B120,0)</f>
        <v>-0.69300000000000006</v>
      </c>
      <c r="M120" s="42">
        <f>Adjust!B323*Input!$B266*10</f>
        <v>-542.09436138000012</v>
      </c>
      <c r="N120" s="42">
        <f>Adjust!C323*Input!$C266*10</f>
        <v>0</v>
      </c>
      <c r="O120" s="42">
        <f>Adjust!D323*Input!$D266*10</f>
        <v>0</v>
      </c>
      <c r="P120" s="39">
        <f>IF(E120&lt;&gt;0,$M120/E120,"")</f>
        <v>1</v>
      </c>
      <c r="Q120" s="39">
        <f>IF(E120&lt;&gt;0,$N120/E120,"")</f>
        <v>0</v>
      </c>
      <c r="R120" s="39">
        <f>IF(E120&lt;&gt;0,$O120/E120,"")</f>
        <v>0</v>
      </c>
      <c r="S120" s="39">
        <f>IF(D120&lt;&gt;0,$F120/D120,"")</f>
        <v>0</v>
      </c>
      <c r="T120" s="39">
        <f>IF(D120&lt;&gt;0,$G120/D120,"")</f>
        <v>0</v>
      </c>
      <c r="U120" s="39">
        <f>IF(D120&lt;&gt;0,$H120/D120,"")</f>
        <v>0</v>
      </c>
      <c r="V120" s="39">
        <f>IF(D120&lt;&gt;0,$I120/D120,"")</f>
        <v>0</v>
      </c>
      <c r="W120" s="17"/>
    </row>
    <row r="121" spans="1:23" x14ac:dyDescent="0.25">
      <c r="A121" s="4" t="s">
        <v>299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300</v>
      </c>
      <c r="W122" s="17"/>
    </row>
    <row r="123" spans="1:23" x14ac:dyDescent="0.25">
      <c r="A123" s="4" t="s">
        <v>193</v>
      </c>
      <c r="B123" s="42">
        <f>Input!B269+Input!C269+Input!D269</f>
        <v>0</v>
      </c>
      <c r="C123" s="44">
        <f>Input!E269</f>
        <v>0</v>
      </c>
      <c r="D123" s="42">
        <f>0.01*Input!F$60*(Adjust!$E326*Input!E269+Adjust!$F326*Input!F269+Adjust!$G326*Input!G269)+10*(Adjust!$B326*Input!B269+Adjust!$C326*Input!C269+Adjust!$D326*Input!D269+Adjust!$H326*Input!H269)</f>
        <v>0</v>
      </c>
      <c r="E123" s="42">
        <f>10*(Adjust!$B326*Input!B269+Adjust!$C326*Input!C269+Adjust!$D326*Input!D269)</f>
        <v>0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 t="str">
        <f>IF(B123&lt;&gt;0,0.1*D123/B123,"")</f>
        <v/>
      </c>
      <c r="K123" s="46" t="str">
        <f>IF(C123&lt;&gt;0,D123/C123,"")</f>
        <v/>
      </c>
      <c r="L123" s="37">
        <f>IF(B123&lt;&gt;0,0.1*E123/B123,0)</f>
        <v>0</v>
      </c>
      <c r="M123" s="42">
        <f>Adjust!B326*Input!$B269*10</f>
        <v>0</v>
      </c>
      <c r="N123" s="42">
        <f>Adjust!C326*Input!$C269*10</f>
        <v>0</v>
      </c>
      <c r="O123" s="42">
        <f>Adjust!D326*Input!$D269*10</f>
        <v>0</v>
      </c>
      <c r="P123" s="39" t="str">
        <f>IF(E123&lt;&gt;0,$M123/E123,"")</f>
        <v/>
      </c>
      <c r="Q123" s="39" t="str">
        <f>IF(E123&lt;&gt;0,$N123/E123,"")</f>
        <v/>
      </c>
      <c r="R123" s="39" t="str">
        <f>IF(E123&lt;&gt;0,$O123/E123,"")</f>
        <v/>
      </c>
      <c r="S123" s="39" t="str">
        <f>IF(D123&lt;&gt;0,$F123/D123,"")</f>
        <v/>
      </c>
      <c r="T123" s="39" t="str">
        <f>IF(D123&lt;&gt;0,$G123/D123,"")</f>
        <v/>
      </c>
      <c r="U123" s="39" t="str">
        <f>IF(D123&lt;&gt;0,$H123/D123,"")</f>
        <v/>
      </c>
      <c r="V123" s="39" t="str">
        <f>IF(D123&lt;&gt;0,$I123/D123,"")</f>
        <v/>
      </c>
      <c r="W123" s="17"/>
    </row>
    <row r="124" spans="1:23" x14ac:dyDescent="0.25">
      <c r="A124" s="4" t="s">
        <v>301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302</v>
      </c>
      <c r="W125" s="17"/>
    </row>
    <row r="126" spans="1:23" x14ac:dyDescent="0.25">
      <c r="A126" s="4" t="s">
        <v>194</v>
      </c>
      <c r="B126" s="42">
        <f>Input!B272+Input!C272+Input!D272</f>
        <v>70648.168057500021</v>
      </c>
      <c r="C126" s="44">
        <f>Input!E272</f>
        <v>949.89529234972701</v>
      </c>
      <c r="D126" s="42">
        <f>0.01*Input!F$60*(Adjust!$E329*Input!E272+Adjust!$F329*Input!F272+Adjust!$G329*Input!G272)+10*(Adjust!$B329*Input!B272+Adjust!$C329*Input!C272+Adjust!$D329*Input!D272+Adjust!$H329*Input!H272)</f>
        <v>-479479.81960906507</v>
      </c>
      <c r="E126" s="42">
        <f>10*(Adjust!$B329*Input!B272+Adjust!$C329*Input!C272+Adjust!$D329*Input!D272)</f>
        <v>-489591.80463847506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10111.985029410003</v>
      </c>
      <c r="J126" s="37">
        <f>IF(B126&lt;&gt;0,0.1*D126/B126,"")</f>
        <v>-0.67868684042708649</v>
      </c>
      <c r="K126" s="46">
        <f>IF(C126&lt;&gt;0,D126/C126,"")</f>
        <v>-504.77123475682299</v>
      </c>
      <c r="L126" s="37">
        <f>IF(B126&lt;&gt;0,0.1*E126/B126,0)</f>
        <v>-0.69299999999999995</v>
      </c>
      <c r="M126" s="42">
        <f>Adjust!B329*Input!$B272*10</f>
        <v>-489591.80463847506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-2.1089490351553528E-2</v>
      </c>
      <c r="W126" s="17"/>
    </row>
    <row r="127" spans="1:23" x14ac:dyDescent="0.25">
      <c r="A127" s="4" t="s">
        <v>303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304</v>
      </c>
      <c r="B128" s="42">
        <f>Input!B274+Input!C274+Input!D274</f>
        <v>1073.9632738714286</v>
      </c>
      <c r="C128" s="44">
        <f>Input!E274</f>
        <v>4.0344262295081972</v>
      </c>
      <c r="D128" s="42">
        <f>0.01*Input!F$60*(Adjust!$E331*Input!E274+Adjust!$F331*Input!F274+Adjust!$G331*Input!G274)+10*(Adjust!$B331*Input!B274+Adjust!$C331*Input!C274+Adjust!$D331*Input!D274+Adjust!$H331*Input!H274)</f>
        <v>-7441.5899196398559</v>
      </c>
      <c r="E128" s="42">
        <f>10*(Adjust!$B331*Input!B274+Adjust!$C331*Input!C274+Adjust!$D331*Input!D274)</f>
        <v>-7442.5654879289996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0.97556828914285731</v>
      </c>
      <c r="J128" s="37">
        <f>IF(B128&lt;&gt;0,0.1*D128/B128,"")</f>
        <v>-0.69290916185749751</v>
      </c>
      <c r="K128" s="46">
        <f>IF(C128&lt;&gt;0,D128/C128,"")</f>
        <v>-1844.5224912557137</v>
      </c>
      <c r="L128" s="37">
        <f>IF(B128&lt;&gt;0,0.1*E128/B128,0)</f>
        <v>-0.69300000000000006</v>
      </c>
      <c r="M128" s="42">
        <f>Adjust!B331*Input!$B274*10</f>
        <v>-7442.5654879289996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-1.310967548168888E-4</v>
      </c>
      <c r="W128" s="17"/>
    </row>
    <row r="129" spans="1:23" x14ac:dyDescent="0.25">
      <c r="A129" s="28" t="s">
        <v>305</v>
      </c>
      <c r="W129" s="17"/>
    </row>
    <row r="130" spans="1:23" x14ac:dyDescent="0.25">
      <c r="A130" s="4" t="s">
        <v>195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306</v>
      </c>
      <c r="W131" s="17"/>
    </row>
    <row r="132" spans="1:23" x14ac:dyDescent="0.25">
      <c r="A132" s="4" t="s">
        <v>196</v>
      </c>
      <c r="B132" s="42">
        <f>Input!B278+Input!C278+Input!D278</f>
        <v>3676.7162300636837</v>
      </c>
      <c r="C132" s="44">
        <f>Input!E278</f>
        <v>18.34156352459016</v>
      </c>
      <c r="D132" s="42">
        <f>0.01*Input!F$60*(Adjust!$E335*Input!E278+Adjust!$F335*Input!F278+Adjust!$G335*Input!G278)+10*(Adjust!$B335*Input!B278+Adjust!$C335*Input!C278+Adjust!$D335*Input!D278+Adjust!$H335*Input!H278)</f>
        <v>-25236.561675717647</v>
      </c>
      <c r="E132" s="42">
        <f>10*(Adjust!$B335*Input!B278+Adjust!$C335*Input!C278+Adjust!$D335*Input!D278)</f>
        <v>-26218.590698097651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982.02902238000001</v>
      </c>
      <c r="J132" s="37">
        <f>IF(B132&lt;&gt;0,0.1*D132/B132,"")</f>
        <v>-0.68638861681420904</v>
      </c>
      <c r="K132" s="46">
        <f>IF(C132&lt;&gt;0,D132/C132,"")</f>
        <v>-1375.9220494961351</v>
      </c>
      <c r="L132" s="37">
        <f>IF(B132&lt;&gt;0,0.1*E132/B132,0)</f>
        <v>-0.71309802164535074</v>
      </c>
      <c r="M132" s="42">
        <f>Adjust!B335*Input!$B278*10</f>
        <v>-20154.395954891559</v>
      </c>
      <c r="N132" s="42">
        <f>Adjust!C335*Input!$C278*10</f>
        <v>-4742.1889106675835</v>
      </c>
      <c r="O132" s="42">
        <f>Adjust!D335*Input!$D278*10</f>
        <v>-1322.0058325385062</v>
      </c>
      <c r="P132" s="39">
        <f>IF(E132&lt;&gt;0,$M132/E132,"")</f>
        <v>0.76870630412464946</v>
      </c>
      <c r="Q132" s="39">
        <f>IF(E132&lt;&gt;0,$N132/E132,"")</f>
        <v>0.18087123618782697</v>
      </c>
      <c r="R132" s="39">
        <f>IF(E132&lt;&gt;0,$O132/E132,"")</f>
        <v>5.0422459687523451E-2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-3.8912948403938004E-2</v>
      </c>
      <c r="W132" s="17"/>
    </row>
    <row r="133" spans="1:23" x14ac:dyDescent="0.25">
      <c r="A133" s="4" t="s">
        <v>307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308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309</v>
      </c>
      <c r="W135" s="17"/>
    </row>
    <row r="136" spans="1:23" x14ac:dyDescent="0.25">
      <c r="A136" s="4" t="s">
        <v>197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310</v>
      </c>
      <c r="W137" s="17"/>
    </row>
    <row r="138" spans="1:23" x14ac:dyDescent="0.25">
      <c r="A138" s="4" t="s">
        <v>198</v>
      </c>
      <c r="B138" s="42">
        <f>Input!B284+Input!C284+Input!D284</f>
        <v>11531.789399625</v>
      </c>
      <c r="C138" s="44">
        <f>Input!E284</f>
        <v>129.04964071038253</v>
      </c>
      <c r="D138" s="42">
        <f>0.01*Input!F$60*(Adjust!$E341*Input!E284+Adjust!$F341*Input!F284+Adjust!$G341*Input!G284)+10*(Adjust!$B341*Input!B284+Adjust!$C341*Input!C284+Adjust!$D341*Input!D284+Adjust!$H341*Input!H284)</f>
        <v>-70260.17802203125</v>
      </c>
      <c r="E138" s="42">
        <f>10*(Adjust!$B341*Input!B284+Adjust!$C341*Input!C284+Adjust!$D341*Input!D284)</f>
        <v>-72073.68374765625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1813.5057256250004</v>
      </c>
      <c r="J138" s="37">
        <f>IF(B138&lt;&gt;0,0.1*D138/B138,"")</f>
        <v>-0.60927385670359213</v>
      </c>
      <c r="K138" s="46">
        <f>IF(C138&lt;&gt;0,D138/C138,"")</f>
        <v>-544.44303475211882</v>
      </c>
      <c r="L138" s="37">
        <f>IF(B138&lt;&gt;0,0.1*E138/B138,0)</f>
        <v>-0.625</v>
      </c>
      <c r="M138" s="42">
        <f>Adjust!B341*Input!$B284*10</f>
        <v>-72073.68374765625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-2.5811288509066194E-2</v>
      </c>
      <c r="W138" s="17"/>
    </row>
    <row r="139" spans="1:23" x14ac:dyDescent="0.25">
      <c r="A139" s="4" t="s">
        <v>311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312</v>
      </c>
      <c r="W140" s="17"/>
    </row>
    <row r="141" spans="1:23" x14ac:dyDescent="0.25">
      <c r="A141" s="4" t="s">
        <v>199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313</v>
      </c>
      <c r="W142" s="17"/>
    </row>
    <row r="143" spans="1:23" x14ac:dyDescent="0.25">
      <c r="A143" s="4" t="s">
        <v>200</v>
      </c>
      <c r="B143" s="42">
        <f>Input!B289+Input!C289+Input!D289</f>
        <v>4142.0305303234354</v>
      </c>
      <c r="C143" s="44">
        <f>Input!E289</f>
        <v>13.129690573770491</v>
      </c>
      <c r="D143" s="42">
        <f>0.01*Input!F$60*(Adjust!$E346*Input!E289+Adjust!$F346*Input!F289+Adjust!$G346*Input!G289)+10*(Adjust!$B346*Input!B289+Adjust!$C346*Input!C289+Adjust!$D346*Input!D289+Adjust!$H346*Input!H289)</f>
        <v>-26119.823986907475</v>
      </c>
      <c r="E143" s="42">
        <f>10*(Adjust!$B346*Input!B289+Adjust!$C346*Input!C289+Adjust!$D346*Input!D289)</f>
        <v>-26909.187113469976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789.36312656250016</v>
      </c>
      <c r="J143" s="37">
        <f>IF(B143&lt;&gt;0,0.1*D143/B143,"")</f>
        <v>-0.6306043327224794</v>
      </c>
      <c r="K143" s="46">
        <f>IF(C143&lt;&gt;0,D143/C143,"")</f>
        <v>-1989.3708720819131</v>
      </c>
      <c r="L143" s="37">
        <f>IF(B143&lt;&gt;0,0.1*E143/B143,0)</f>
        <v>-0.64966172790060872</v>
      </c>
      <c r="M143" s="42">
        <f>Adjust!B346*Input!$B289*10</f>
        <v>-21422.77284291957</v>
      </c>
      <c r="N143" s="42">
        <f>Adjust!C346*Input!$C289*10</f>
        <v>-4117.2117588486499</v>
      </c>
      <c r="O143" s="42">
        <f>Adjust!D346*Input!$D289*10</f>
        <v>-1369.2025117017545</v>
      </c>
      <c r="P143" s="39">
        <f>IF(E143&lt;&gt;0,$M143/E143,"")</f>
        <v>0.79611371211566395</v>
      </c>
      <c r="Q143" s="39">
        <f>IF(E143&lt;&gt;0,$N143/E143,"")</f>
        <v>0.15300394402429535</v>
      </c>
      <c r="R143" s="39">
        <f>IF(E143&lt;&gt;0,$O143/E143,"")</f>
        <v>5.0882343860040667E-2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-3.0220844020930896E-2</v>
      </c>
      <c r="W143" s="17"/>
    </row>
    <row r="144" spans="1:23" x14ac:dyDescent="0.25">
      <c r="A144" s="4" t="s">
        <v>314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315</v>
      </c>
      <c r="W145" s="17"/>
    </row>
    <row r="146" spans="1:23" x14ac:dyDescent="0.25">
      <c r="A146" s="4" t="s">
        <v>201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316</v>
      </c>
      <c r="W147" s="17"/>
    </row>
    <row r="148" spans="1:23" x14ac:dyDescent="0.25">
      <c r="A148" s="4" t="s">
        <v>209</v>
      </c>
      <c r="B148" s="42">
        <f>Input!B294+Input!C294+Input!D294</f>
        <v>407729.87522025005</v>
      </c>
      <c r="C148" s="44">
        <f>Input!E294</f>
        <v>252.79925000000006</v>
      </c>
      <c r="D148" s="42">
        <f>0.01*Input!F$60*(Adjust!$E351*Input!E294+Adjust!$F351*Input!F294+Adjust!$G351*Input!G294)+10*(Adjust!$B351*Input!B294+Adjust!$C351*Input!C294+Adjust!$D351*Input!D294+Adjust!$H351*Input!H294)</f>
        <v>-1563626.8434565354</v>
      </c>
      <c r="E148" s="42">
        <f>10*(Adjust!$B351*Input!B294+Adjust!$C351*Input!C294+Adjust!$D351*Input!D294)</f>
        <v>-1606455.7083677852</v>
      </c>
      <c r="F148" s="42">
        <f>Adjust!E351*Input!$F$60*Input!$E294/100</f>
        <v>38480.950155450009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4347.9147558000022</v>
      </c>
      <c r="J148" s="37">
        <f>IF(B148&lt;&gt;0,0.1*D148/B148,"")</f>
        <v>-0.38349577465028428</v>
      </c>
      <c r="K148" s="46">
        <f>IF(C148&lt;&gt;0,D148/C148,"")</f>
        <v>-6185.2511170683256</v>
      </c>
      <c r="L148" s="37">
        <f>IF(B148&lt;&gt;0,0.1*E148/B148,0)</f>
        <v>-0.39400000000000002</v>
      </c>
      <c r="M148" s="42">
        <f>Adjust!B351*Input!$B294*10</f>
        <v>-1606455.7083677852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-2.4610059821168373E-2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-2.7806600877921437E-3</v>
      </c>
      <c r="W148" s="17"/>
    </row>
    <row r="149" spans="1:23" x14ac:dyDescent="0.25">
      <c r="A149" s="4" t="s">
        <v>317</v>
      </c>
      <c r="B149" s="42">
        <f>Input!B295+Input!C295+Input!D295</f>
        <v>10.9835856</v>
      </c>
      <c r="C149" s="44">
        <f>Input!E295</f>
        <v>1.5662622950819671</v>
      </c>
      <c r="D149" s="42">
        <f>0.01*Input!F$60*(Adjust!$E352*Input!E295+Adjust!$F352*Input!F295+Adjust!$G352*Input!G295)+10*(Adjust!$B352*Input!B295+Adjust!$C352*Input!C295+Adjust!$D352*Input!D295+Adjust!$H352*Input!H295)</f>
        <v>-43.275327264000005</v>
      </c>
      <c r="E149" s="42">
        <f>10*(Adjust!$B352*Input!B295+Adjust!$C352*Input!C295+Adjust!$D352*Input!D295)</f>
        <v>-43.275327264000005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>
        <f>IF(B149&lt;&gt;0,0.1*D149/B149,"")</f>
        <v>-0.39400000000000002</v>
      </c>
      <c r="K149" s="46">
        <f>IF(C149&lt;&gt;0,D149/C149,"")</f>
        <v>-27.629680801155516</v>
      </c>
      <c r="L149" s="37">
        <f>IF(B149&lt;&gt;0,0.1*E149/B149,0)</f>
        <v>-0.39400000000000002</v>
      </c>
      <c r="M149" s="42">
        <f>Adjust!B352*Input!$B295*10</f>
        <v>-43.275327264000005</v>
      </c>
      <c r="N149" s="42">
        <f>Adjust!C352*Input!$C295*10</f>
        <v>0</v>
      </c>
      <c r="O149" s="42">
        <f>Adjust!D352*Input!$D295*10</f>
        <v>0</v>
      </c>
      <c r="P149" s="39">
        <f>IF(E149&lt;&gt;0,$M149/E149,"")</f>
        <v>1</v>
      </c>
      <c r="Q149" s="39">
        <f>IF(E149&lt;&gt;0,$N149/E149,"")</f>
        <v>0</v>
      </c>
      <c r="R149" s="39">
        <f>IF(E149&lt;&gt;0,$O149/E149,"")</f>
        <v>0</v>
      </c>
      <c r="S149" s="39">
        <f>IF(D149&lt;&gt;0,$F149/D149,"")</f>
        <v>0</v>
      </c>
      <c r="T149" s="39">
        <f>IF(D149&lt;&gt;0,$G149/D149,"")</f>
        <v>0</v>
      </c>
      <c r="U149" s="39">
        <f>IF(D149&lt;&gt;0,$H149/D149,"")</f>
        <v>0</v>
      </c>
      <c r="V149" s="39">
        <f>IF(D149&lt;&gt;0,$I149/D149,"")</f>
        <v>0</v>
      </c>
      <c r="W149" s="17"/>
    </row>
    <row r="150" spans="1:23" x14ac:dyDescent="0.25">
      <c r="A150" s="28" t="s">
        <v>318</v>
      </c>
      <c r="W150" s="17"/>
    </row>
    <row r="151" spans="1:23" x14ac:dyDescent="0.25">
      <c r="A151" s="4" t="s">
        <v>210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319</v>
      </c>
      <c r="W152" s="17"/>
    </row>
    <row r="153" spans="1:23" x14ac:dyDescent="0.25">
      <c r="A153" s="4" t="s">
        <v>211</v>
      </c>
      <c r="B153" s="42">
        <f>Input!B299+Input!C299+Input!D299</f>
        <v>217761.94725869276</v>
      </c>
      <c r="C153" s="44">
        <f>Input!E299</f>
        <v>68.906400614754091</v>
      </c>
      <c r="D153" s="42">
        <f>0.01*Input!F$60*(Adjust!$E356*Input!E299+Adjust!$F356*Input!F299+Adjust!$G356*Input!G299)+10*(Adjust!$B356*Input!B299+Adjust!$C356*Input!C299+Adjust!$D356*Input!D299+Adjust!$H356*Input!H299)</f>
        <v>-1068377.9497294549</v>
      </c>
      <c r="E153" s="42">
        <f>10*(Adjust!$B356*Input!B299+Adjust!$C356*Input!C299+Adjust!$D356*Input!D299)</f>
        <v>-1082607.5026354326</v>
      </c>
      <c r="F153" s="42">
        <f>Adjust!E356*Input!$F$60*Input!$E299/100</f>
        <v>10488.8909577375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3740.6619482400001</v>
      </c>
      <c r="J153" s="37">
        <f>IF(B153&lt;&gt;0,0.1*D153/B153,"")</f>
        <v>-0.49061737515612097</v>
      </c>
      <c r="K153" s="46">
        <f>IF(C153&lt;&gt;0,D153/C153,"")</f>
        <v>-15504.770822417564</v>
      </c>
      <c r="L153" s="37">
        <f>IF(B153&lt;&gt;0,0.1*E153/B153,0)</f>
        <v>-0.49715182852830436</v>
      </c>
      <c r="M153" s="42">
        <f>Adjust!B356*Input!$B299*10</f>
        <v>-951302.31602179888</v>
      </c>
      <c r="N153" s="42">
        <f>Adjust!C356*Input!$C299*10</f>
        <v>-98996.941238021711</v>
      </c>
      <c r="O153" s="42">
        <f>Adjust!D356*Input!$D299*10</f>
        <v>-32308.245375612063</v>
      </c>
      <c r="P153" s="39">
        <f>IF(E153&lt;&gt;0,$M153/E153,"")</f>
        <v>0.8787139509988684</v>
      </c>
      <c r="Q153" s="39">
        <f>IF(E153&lt;&gt;0,$N153/E153,"")</f>
        <v>9.1443058538786856E-2</v>
      </c>
      <c r="R153" s="39">
        <f>IF(E153&lt;&gt;0,$O153/E153,"")</f>
        <v>2.9842990462344728E-2</v>
      </c>
      <c r="S153" s="39">
        <f>IF(D153&lt;&gt;0,$F153/D153,"")</f>
        <v>-9.8175846481983256E-3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-3.5012534180317435E-3</v>
      </c>
      <c r="W153" s="17"/>
    </row>
    <row r="154" spans="1:23" x14ac:dyDescent="0.25">
      <c r="A154" s="4" t="s">
        <v>320</v>
      </c>
      <c r="B154" s="42">
        <f>Input!B300+Input!C300+Input!D300</f>
        <v>2.9214225459545138</v>
      </c>
      <c r="C154" s="44">
        <f>Input!E300</f>
        <v>1.2148524590163934</v>
      </c>
      <c r="D154" s="42">
        <f>0.01*Input!F$60*(Adjust!$E357*Input!E300+Adjust!$F357*Input!F300+Adjust!$G357*Input!G300)+10*(Adjust!$B357*Input!B300+Adjust!$C357*Input!C300+Adjust!$D357*Input!D300+Adjust!$H357*Input!H300)</f>
        <v>-2.013342783797218</v>
      </c>
      <c r="E154" s="42">
        <f>10*(Adjust!$B357*Input!B300+Adjust!$C357*Input!C300+Adjust!$D357*Input!D300)</f>
        <v>-2.3727179677972181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0.35937518400000001</v>
      </c>
      <c r="J154" s="37">
        <f>IF(B154&lt;&gt;0,0.1*D154/B154,"")</f>
        <v>-6.8916521048460674E-2</v>
      </c>
      <c r="K154" s="46">
        <f>IF(C154&lt;&gt;0,D154/C154,"")</f>
        <v>-1.6572734975795522</v>
      </c>
      <c r="L154" s="37">
        <f>IF(B154&lt;&gt;0,0.1*E154/B154,0)</f>
        <v>-8.1217897461730665E-2</v>
      </c>
      <c r="M154" s="42">
        <f>Adjust!B357*Input!$B300*10</f>
        <v>-1.0381032436363637</v>
      </c>
      <c r="N154" s="42">
        <f>Adjust!C357*Input!$C300*10</f>
        <v>-0.68785478057295613</v>
      </c>
      <c r="O154" s="42">
        <f>Adjust!D357*Input!$D300*10</f>
        <v>-0.64675994358789834</v>
      </c>
      <c r="P154" s="39">
        <f>IF(E154&lt;&gt;0,$M154/E154,"")</f>
        <v>0.43751649278406113</v>
      </c>
      <c r="Q154" s="39">
        <f>IF(E154&lt;&gt;0,$N154/E154,"")</f>
        <v>0.28990161911722956</v>
      </c>
      <c r="R154" s="39">
        <f>IF(E154&lt;&gt;0,$O154/E154,"")</f>
        <v>0.27258188809870937</v>
      </c>
      <c r="S154" s="39">
        <f>IF(D154&lt;&gt;0,$F154/D154,"")</f>
        <v>0</v>
      </c>
      <c r="T154" s="39">
        <f>IF(D154&lt;&gt;0,$G154/D154,"")</f>
        <v>0</v>
      </c>
      <c r="U154" s="39">
        <f>IF(D154&lt;&gt;0,$H154/D154,"")</f>
        <v>0</v>
      </c>
      <c r="V154" s="39">
        <f>IF(D154&lt;&gt;0,$I154/D154,"")</f>
        <v>-0.17849677009406659</v>
      </c>
      <c r="W154" s="17"/>
    </row>
    <row r="155" spans="1:23" x14ac:dyDescent="0.25">
      <c r="A155" s="28" t="s">
        <v>321</v>
      </c>
      <c r="W155" s="17"/>
    </row>
    <row r="156" spans="1:23" x14ac:dyDescent="0.25">
      <c r="A156" s="4" t="s">
        <v>212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1555</v>
      </c>
    </row>
    <row r="159" spans="1:23" x14ac:dyDescent="0.25">
      <c r="A159" s="2" t="s">
        <v>381</v>
      </c>
    </row>
    <row r="160" spans="1:23" x14ac:dyDescent="0.25">
      <c r="A160" s="32" t="s">
        <v>1556</v>
      </c>
    </row>
    <row r="161" spans="1:10" x14ac:dyDescent="0.25">
      <c r="A161" s="32" t="s">
        <v>1557</v>
      </c>
    </row>
    <row r="162" spans="1:10" x14ac:dyDescent="0.25">
      <c r="A162" s="32" t="s">
        <v>1558</v>
      </c>
    </row>
    <row r="163" spans="1:10" x14ac:dyDescent="0.25">
      <c r="A163" s="32" t="s">
        <v>1559</v>
      </c>
    </row>
    <row r="164" spans="1:10" x14ac:dyDescent="0.25">
      <c r="A164" s="32" t="s">
        <v>1560</v>
      </c>
    </row>
    <row r="165" spans="1:10" x14ac:dyDescent="0.25">
      <c r="A165" s="32" t="s">
        <v>1561</v>
      </c>
    </row>
    <row r="166" spans="1:10" x14ac:dyDescent="0.25">
      <c r="A166" s="32" t="s">
        <v>1562</v>
      </c>
    </row>
    <row r="167" spans="1:10" x14ac:dyDescent="0.25">
      <c r="A167" s="32" t="s">
        <v>1563</v>
      </c>
    </row>
    <row r="168" spans="1:10" x14ac:dyDescent="0.25">
      <c r="A168" s="33" t="s">
        <v>384</v>
      </c>
      <c r="B168" s="33" t="s">
        <v>515</v>
      </c>
      <c r="C168" s="33" t="s">
        <v>515</v>
      </c>
      <c r="D168" s="33" t="s">
        <v>515</v>
      </c>
      <c r="E168" s="33" t="s">
        <v>515</v>
      </c>
      <c r="F168" s="33" t="s">
        <v>515</v>
      </c>
      <c r="G168" s="33" t="s">
        <v>515</v>
      </c>
      <c r="H168" s="33" t="s">
        <v>515</v>
      </c>
      <c r="I168" s="33" t="s">
        <v>515</v>
      </c>
    </row>
    <row r="169" spans="1:10" x14ac:dyDescent="0.25">
      <c r="A169" s="33" t="s">
        <v>387</v>
      </c>
      <c r="B169" s="33" t="s">
        <v>568</v>
      </c>
      <c r="C169" s="33" t="s">
        <v>569</v>
      </c>
      <c r="D169" s="33" t="s">
        <v>570</v>
      </c>
      <c r="E169" s="33" t="s">
        <v>571</v>
      </c>
      <c r="F169" s="33" t="s">
        <v>517</v>
      </c>
      <c r="G169" s="33" t="s">
        <v>572</v>
      </c>
      <c r="H169" s="33" t="s">
        <v>573</v>
      </c>
      <c r="I169" s="33" t="s">
        <v>1564</v>
      </c>
    </row>
    <row r="171" spans="1:10" ht="45" x14ac:dyDescent="0.25">
      <c r="B171" s="15" t="s">
        <v>1565</v>
      </c>
      <c r="C171" s="15" t="s">
        <v>1566</v>
      </c>
      <c r="D171" s="15" t="s">
        <v>1444</v>
      </c>
      <c r="E171" s="15" t="s">
        <v>1567</v>
      </c>
      <c r="F171" s="15" t="s">
        <v>1568</v>
      </c>
      <c r="G171" s="15" t="s">
        <v>1569</v>
      </c>
      <c r="H171" s="15" t="s">
        <v>1570</v>
      </c>
      <c r="I171" s="15" t="s">
        <v>1571</v>
      </c>
    </row>
    <row r="172" spans="1:10" x14ac:dyDescent="0.25">
      <c r="A172" s="4" t="s">
        <v>1572</v>
      </c>
      <c r="B172" s="42">
        <f>SUM(B$48:B$156)</f>
        <v>13404500.281129219</v>
      </c>
      <c r="C172" s="42">
        <f>SUM(C$48:C$156)</f>
        <v>1684619.7810841552</v>
      </c>
      <c r="D172" s="42">
        <f>SUM(D$48:D$156)</f>
        <v>346778309.41879362</v>
      </c>
      <c r="E172" s="42">
        <f>SUM(E$48:E$156)</f>
        <v>289993554.63777816</v>
      </c>
      <c r="F172" s="42">
        <f>SUM($F$48:$F$156)</f>
        <v>33359468.680533174</v>
      </c>
      <c r="G172" s="42">
        <f>SUM($G$48:$G$156)</f>
        <v>21864346.359237157</v>
      </c>
      <c r="H172" s="42">
        <f>SUM($H$48:$H$156)</f>
        <v>1186030.1387000224</v>
      </c>
      <c r="I172" s="42">
        <f>SUM($I$48:$I$156)</f>
        <v>374909.60254508129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South West in April 19 (no data version)</v>
      </c>
    </row>
    <row r="2" spans="1:1" x14ac:dyDescent="0.25">
      <c r="A2" s="2" t="s">
        <v>1595</v>
      </c>
    </row>
    <row r="3" spans="1:1" x14ac:dyDescent="0.25">
      <c r="A3" s="2" t="s">
        <v>1482</v>
      </c>
    </row>
    <row r="4" spans="1:1" x14ac:dyDescent="0.25">
      <c r="A4" s="2"/>
    </row>
    <row r="5" spans="1:1" x14ac:dyDescent="0.25">
      <c r="A5" s="32" t="s">
        <v>182</v>
      </c>
    </row>
    <row r="6" spans="1:1" x14ac:dyDescent="0.25">
      <c r="A6" s="32" t="s">
        <v>183</v>
      </c>
    </row>
    <row r="7" spans="1:1" x14ac:dyDescent="0.25">
      <c r="A7" s="32" t="s">
        <v>228</v>
      </c>
    </row>
    <row r="8" spans="1:1" x14ac:dyDescent="0.25">
      <c r="A8" s="32" t="s">
        <v>184</v>
      </c>
    </row>
    <row r="9" spans="1:1" x14ac:dyDescent="0.25">
      <c r="A9" s="32" t="s">
        <v>185</v>
      </c>
    </row>
    <row r="10" spans="1:1" x14ac:dyDescent="0.25">
      <c r="A10" s="32" t="s">
        <v>229</v>
      </c>
    </row>
    <row r="11" spans="1:1" x14ac:dyDescent="0.25">
      <c r="A11" s="32" t="s">
        <v>186</v>
      </c>
    </row>
    <row r="12" spans="1:1" x14ac:dyDescent="0.25">
      <c r="A12" s="32" t="s">
        <v>187</v>
      </c>
    </row>
    <row r="13" spans="1:1" x14ac:dyDescent="0.25">
      <c r="A13" s="32" t="s">
        <v>207</v>
      </c>
    </row>
    <row r="14" spans="1:1" x14ac:dyDescent="0.25">
      <c r="A14" s="32" t="s">
        <v>188</v>
      </c>
    </row>
    <row r="15" spans="1:1" x14ac:dyDescent="0.25">
      <c r="A15" s="32" t="s">
        <v>189</v>
      </c>
    </row>
    <row r="16" spans="1:1" x14ac:dyDescent="0.25">
      <c r="A16" s="32" t="s">
        <v>190</v>
      </c>
    </row>
    <row r="17" spans="1:1" x14ac:dyDescent="0.25">
      <c r="A17" s="32" t="s">
        <v>191</v>
      </c>
    </row>
    <row r="18" spans="1:1" x14ac:dyDescent="0.25">
      <c r="A18" s="32" t="s">
        <v>208</v>
      </c>
    </row>
    <row r="19" spans="1:1" x14ac:dyDescent="0.25">
      <c r="A19" s="32" t="s">
        <v>230</v>
      </c>
    </row>
    <row r="20" spans="1:1" x14ac:dyDescent="0.25">
      <c r="A20" s="32" t="s">
        <v>231</v>
      </c>
    </row>
    <row r="21" spans="1:1" x14ac:dyDescent="0.25">
      <c r="A21" s="32" t="s">
        <v>232</v>
      </c>
    </row>
    <row r="22" spans="1:1" x14ac:dyDescent="0.25">
      <c r="A22" s="32" t="s">
        <v>233</v>
      </c>
    </row>
    <row r="23" spans="1:1" x14ac:dyDescent="0.25">
      <c r="A23" s="32" t="s">
        <v>234</v>
      </c>
    </row>
    <row r="24" spans="1:1" x14ac:dyDescent="0.25">
      <c r="A24" s="32" t="s">
        <v>192</v>
      </c>
    </row>
    <row r="25" spans="1:1" x14ac:dyDescent="0.25">
      <c r="A25" s="32" t="s">
        <v>193</v>
      </c>
    </row>
    <row r="26" spans="1:1" x14ac:dyDescent="0.25">
      <c r="A26" s="32" t="s">
        <v>194</v>
      </c>
    </row>
    <row r="27" spans="1:1" x14ac:dyDescent="0.25">
      <c r="A27" s="32" t="s">
        <v>195</v>
      </c>
    </row>
    <row r="28" spans="1:1" x14ac:dyDescent="0.25">
      <c r="A28" s="32" t="s">
        <v>196</v>
      </c>
    </row>
    <row r="29" spans="1:1" x14ac:dyDescent="0.25">
      <c r="A29" s="32" t="s">
        <v>197</v>
      </c>
    </row>
    <row r="30" spans="1:1" x14ac:dyDescent="0.25">
      <c r="A30" s="32" t="s">
        <v>198</v>
      </c>
    </row>
    <row r="31" spans="1:1" x14ac:dyDescent="0.25">
      <c r="A31" s="32" t="s">
        <v>199</v>
      </c>
    </row>
    <row r="32" spans="1:1" x14ac:dyDescent="0.25">
      <c r="A32" s="32" t="s">
        <v>200</v>
      </c>
    </row>
    <row r="33" spans="1:7" x14ac:dyDescent="0.25">
      <c r="A33" s="32" t="s">
        <v>201</v>
      </c>
    </row>
    <row r="34" spans="1:7" x14ac:dyDescent="0.25">
      <c r="A34" s="32" t="s">
        <v>209</v>
      </c>
    </row>
    <row r="35" spans="1:7" x14ac:dyDescent="0.25">
      <c r="A35" s="32" t="s">
        <v>210</v>
      </c>
    </row>
    <row r="36" spans="1:7" x14ac:dyDescent="0.25">
      <c r="A36" s="32" t="s">
        <v>211</v>
      </c>
    </row>
    <row r="37" spans="1:7" x14ac:dyDescent="0.25">
      <c r="A37" s="32" t="s">
        <v>212</v>
      </c>
    </row>
    <row r="39" spans="1:7" ht="21" customHeight="1" x14ac:dyDescent="0.3">
      <c r="A39" s="1" t="s">
        <v>182</v>
      </c>
    </row>
    <row r="41" spans="1:7" x14ac:dyDescent="0.25">
      <c r="B41" s="15" t="s">
        <v>239</v>
      </c>
      <c r="C41" s="15" t="s">
        <v>242</v>
      </c>
      <c r="D41" s="15" t="s">
        <v>1573</v>
      </c>
      <c r="E41" s="15" t="s">
        <v>1574</v>
      </c>
    </row>
    <row r="42" spans="1:7" x14ac:dyDescent="0.25">
      <c r="A42" s="4" t="s">
        <v>182</v>
      </c>
      <c r="B42" s="44">
        <f>Loads!B$334</f>
        <v>4363552.1514066206</v>
      </c>
      <c r="C42" s="44">
        <f>Loads!E$334</f>
        <v>1280825.3420757684</v>
      </c>
      <c r="D42" s="44">
        <f>Multi!B$128</f>
        <v>4363552.1514066206</v>
      </c>
      <c r="E42" s="37">
        <f>IF(C42,D42/C42,"")</f>
        <v>3.4068284004553142</v>
      </c>
      <c r="F42" s="17"/>
    </row>
    <row r="44" spans="1:7" ht="30" x14ac:dyDescent="0.25">
      <c r="B44" s="15" t="s">
        <v>1381</v>
      </c>
      <c r="C44" s="15" t="s">
        <v>1384</v>
      </c>
      <c r="D44" s="15" t="s">
        <v>1575</v>
      </c>
      <c r="E44" s="15" t="s">
        <v>1542</v>
      </c>
      <c r="F44" s="15" t="s">
        <v>1576</v>
      </c>
    </row>
    <row r="45" spans="1:7" x14ac:dyDescent="0.25">
      <c r="A45" s="4" t="s">
        <v>481</v>
      </c>
      <c r="B45" s="38">
        <f>Standing!$C$79</f>
        <v>0.31164758426320643</v>
      </c>
      <c r="C45" s="48">
        <f>AggCap!$C$89</f>
        <v>0</v>
      </c>
      <c r="D45" s="42">
        <f>0.01*Input!$F$60*(C45*$C$42)+10*(B45*$B$42)</f>
        <v>13598904.867923904</v>
      </c>
      <c r="E45" s="37">
        <f t="shared" ref="E45:E67" si="0">IF($D$42&lt;&gt;0,0.1*D45/$D$42,"")</f>
        <v>0.31164758426320643</v>
      </c>
      <c r="F45" s="46">
        <f t="shared" ref="F45:F67" si="1">IF($C$42&lt;&gt;0,D45/$C$42,"")</f>
        <v>10.617298410011822</v>
      </c>
      <c r="G45" s="17"/>
    </row>
    <row r="46" spans="1:7" x14ac:dyDescent="0.25">
      <c r="A46" s="4" t="s">
        <v>482</v>
      </c>
      <c r="B46" s="38">
        <f>Standing!$D$79</f>
        <v>4.8064258484123067E-2</v>
      </c>
      <c r="C46" s="48">
        <f>AggCap!$D$89</f>
        <v>0</v>
      </c>
      <c r="D46" s="42">
        <f>0.01*Input!$F$60*(C46*$C$42)+10*(B46*$B$42)</f>
        <v>2097308.9851415912</v>
      </c>
      <c r="E46" s="37">
        <f t="shared" si="0"/>
        <v>4.8064258484123067E-2</v>
      </c>
      <c r="F46" s="46">
        <f t="shared" si="1"/>
        <v>1.6374668085053574</v>
      </c>
      <c r="G46" s="17"/>
    </row>
    <row r="47" spans="1:7" x14ac:dyDescent="0.25">
      <c r="A47" s="4" t="s">
        <v>483</v>
      </c>
      <c r="B47" s="38">
        <f>Standing!$E$79</f>
        <v>0.10027897427643628</v>
      </c>
      <c r="C47" s="48">
        <f>AggCap!$E$89</f>
        <v>0</v>
      </c>
      <c r="D47" s="42">
        <f>0.01*Input!$F$60*(C47*$C$42)+10*(B47*$B$42)</f>
        <v>4375725.3394479267</v>
      </c>
      <c r="E47" s="37">
        <f t="shared" si="0"/>
        <v>0.10027897427643628</v>
      </c>
      <c r="F47" s="46">
        <f t="shared" si="1"/>
        <v>3.4163325753349101</v>
      </c>
      <c r="G47" s="17"/>
    </row>
    <row r="48" spans="1:7" x14ac:dyDescent="0.25">
      <c r="A48" s="4" t="s">
        <v>484</v>
      </c>
      <c r="B48" s="38">
        <f>Standing!$F$79</f>
        <v>1.8909876242254552E-2</v>
      </c>
      <c r="C48" s="48">
        <f>AggCap!$F$89</f>
        <v>0</v>
      </c>
      <c r="D48" s="42">
        <f>0.01*Input!$F$60*(C48*$C$42)+10*(B48*$B$42)</f>
        <v>825142.31159722793</v>
      </c>
      <c r="E48" s="37">
        <f t="shared" si="0"/>
        <v>1.8909876242254552E-2</v>
      </c>
      <c r="F48" s="46">
        <f t="shared" si="1"/>
        <v>0.64422703431208017</v>
      </c>
      <c r="G48" s="17"/>
    </row>
    <row r="49" spans="1:7" x14ac:dyDescent="0.25">
      <c r="A49" s="4" t="s">
        <v>485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486</v>
      </c>
      <c r="B50" s="38">
        <f>Standing!$H$79</f>
        <v>7.3067998889581737E-2</v>
      </c>
      <c r="C50" s="48">
        <f>AggCap!$H$89</f>
        <v>0</v>
      </c>
      <c r="D50" s="42">
        <f>0.01*Input!$F$60*(C50*$C$42)+10*(B50*$B$42)</f>
        <v>3188360.2375361095</v>
      </c>
      <c r="E50" s="37">
        <f t="shared" si="0"/>
        <v>7.3067998889581737E-2</v>
      </c>
      <c r="F50" s="46">
        <f t="shared" si="1"/>
        <v>2.489301337814644</v>
      </c>
      <c r="G50" s="17"/>
    </row>
    <row r="51" spans="1:7" x14ac:dyDescent="0.25">
      <c r="A51" s="4" t="s">
        <v>487</v>
      </c>
      <c r="B51" s="38">
        <f>Standing!$I$79</f>
        <v>8.0084955435748735E-3</v>
      </c>
      <c r="C51" s="48">
        <f>AggCap!$I$89</f>
        <v>0</v>
      </c>
      <c r="D51" s="42">
        <f>0.01*Input!$F$60*(C51*$C$42)+10*(B51*$B$42)</f>
        <v>349454.87958696473</v>
      </c>
      <c r="E51" s="37">
        <f t="shared" si="0"/>
        <v>8.0084955435748735E-3</v>
      </c>
      <c r="F51" s="46">
        <f t="shared" si="1"/>
        <v>0.27283570062770696</v>
      </c>
      <c r="G51" s="17"/>
    </row>
    <row r="52" spans="1:7" x14ac:dyDescent="0.25">
      <c r="A52" s="4" t="s">
        <v>488</v>
      </c>
      <c r="B52" s="38">
        <f>Standing!$J$79</f>
        <v>0</v>
      </c>
      <c r="C52" s="48">
        <f>AggCap!$J$89</f>
        <v>0.19377034374633198</v>
      </c>
      <c r="D52" s="42">
        <f>0.01*Input!$F$60*(C52*$C$42)+10*(B52*$B$42)</f>
        <v>908360.63853570772</v>
      </c>
      <c r="E52" s="37">
        <f t="shared" si="0"/>
        <v>2.0816999706142886E-2</v>
      </c>
      <c r="F52" s="46">
        <f t="shared" si="1"/>
        <v>0.70919945811157503</v>
      </c>
      <c r="G52" s="17"/>
    </row>
    <row r="53" spans="1:7" x14ac:dyDescent="0.25">
      <c r="A53" s="4" t="s">
        <v>1577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1578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1579</v>
      </c>
      <c r="B55" s="38">
        <f>Standing!$K$79</f>
        <v>0.10000843429932009</v>
      </c>
      <c r="C55" s="48">
        <f>AggCap!$K$89</f>
        <v>0</v>
      </c>
      <c r="D55" s="42">
        <f>0.01*Input!$F$60*(C55*$C$42)+10*(B55*$B$42)</f>
        <v>4363920.1864560582</v>
      </c>
      <c r="E55" s="37">
        <f t="shared" si="0"/>
        <v>0.10000843429932009</v>
      </c>
      <c r="F55" s="46">
        <f t="shared" si="1"/>
        <v>3.4071157425599301</v>
      </c>
      <c r="G55" s="17"/>
    </row>
    <row r="56" spans="1:7" x14ac:dyDescent="0.25">
      <c r="A56" s="4" t="s">
        <v>1580</v>
      </c>
      <c r="B56" s="38">
        <f>Standing!$L$79</f>
        <v>0.2175967656181016</v>
      </c>
      <c r="C56" s="48">
        <f>AggCap!$L$89</f>
        <v>0</v>
      </c>
      <c r="D56" s="42">
        <f>0.01*Input!$F$60*(C56*$C$42)+10*(B56*$B$42)</f>
        <v>9494948.3475198932</v>
      </c>
      <c r="E56" s="37">
        <f t="shared" si="0"/>
        <v>0.2175967656181016</v>
      </c>
      <c r="F56" s="46">
        <f t="shared" si="1"/>
        <v>7.4131484095496694</v>
      </c>
      <c r="G56" s="17"/>
    </row>
    <row r="57" spans="1:7" x14ac:dyDescent="0.25">
      <c r="A57" s="4" t="s">
        <v>1581</v>
      </c>
      <c r="B57" s="38">
        <f>Standing!$M$79</f>
        <v>3.3559147306415807E-2</v>
      </c>
      <c r="C57" s="48">
        <f>AggCap!$M$89</f>
        <v>0</v>
      </c>
      <c r="D57" s="42">
        <f>0.01*Input!$F$60*(C57*$C$42)+10*(B57*$B$42)</f>
        <v>1464370.8942828239</v>
      </c>
      <c r="E57" s="37">
        <f t="shared" si="0"/>
        <v>3.3559147306415807E-2</v>
      </c>
      <c r="F57" s="46">
        <f t="shared" si="1"/>
        <v>1.1433025613856083</v>
      </c>
      <c r="G57" s="17"/>
    </row>
    <row r="58" spans="1:7" x14ac:dyDescent="0.25">
      <c r="A58" s="4" t="s">
        <v>1582</v>
      </c>
      <c r="B58" s="38">
        <f>Standing!$N$79</f>
        <v>7.0016202800483221E-2</v>
      </c>
      <c r="C58" s="48">
        <f>AggCap!$N$89</f>
        <v>0</v>
      </c>
      <c r="D58" s="42">
        <f>0.01*Input!$F$60*(C58*$C$42)+10*(B58*$B$42)</f>
        <v>3055193.5236337082</v>
      </c>
      <c r="E58" s="37">
        <f t="shared" si="0"/>
        <v>7.0016202800483221E-2</v>
      </c>
      <c r="F58" s="46">
        <f t="shared" si="1"/>
        <v>2.3853318819272515</v>
      </c>
      <c r="G58" s="17"/>
    </row>
    <row r="59" spans="1:7" x14ac:dyDescent="0.25">
      <c r="A59" s="4" t="s">
        <v>1583</v>
      </c>
      <c r="B59" s="38">
        <f>Standing!$O$79</f>
        <v>6.9490231178257353E-2</v>
      </c>
      <c r="C59" s="48">
        <f>AggCap!$O$89</f>
        <v>0</v>
      </c>
      <c r="D59" s="42">
        <f>0.01*Input!$F$60*(C59*$C$42)+10*(B59*$B$42)</f>
        <v>3032242.477596283</v>
      </c>
      <c r="E59" s="37">
        <f t="shared" si="0"/>
        <v>6.9490231178257353E-2</v>
      </c>
      <c r="F59" s="46">
        <f t="shared" si="1"/>
        <v>2.3674129313229249</v>
      </c>
      <c r="G59" s="17"/>
    </row>
    <row r="60" spans="1:7" x14ac:dyDescent="0.25">
      <c r="A60" s="4" t="s">
        <v>1584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1585</v>
      </c>
      <c r="B61" s="38">
        <f>Standing!$Q$79</f>
        <v>0.268511124532051</v>
      </c>
      <c r="C61" s="48">
        <f>AggCap!$Q$89</f>
        <v>0</v>
      </c>
      <c r="D61" s="42">
        <f>0.01*Input!$F$60*(C61*$C$42)+10*(B61*$B$42)</f>
        <v>11716622.951284422</v>
      </c>
      <c r="E61" s="37">
        <f t="shared" si="0"/>
        <v>0.268511124532051</v>
      </c>
      <c r="F61" s="46">
        <f t="shared" si="1"/>
        <v>9.1477132489398496</v>
      </c>
      <c r="G61" s="17"/>
    </row>
    <row r="62" spans="1:7" x14ac:dyDescent="0.25">
      <c r="A62" s="4" t="s">
        <v>1586</v>
      </c>
      <c r="B62" s="38">
        <f>Standing!$R$79</f>
        <v>0.11183290458475775</v>
      </c>
      <c r="C62" s="48">
        <f>AggCap!$R$89</f>
        <v>0</v>
      </c>
      <c r="D62" s="42">
        <f>0.01*Input!$F$60*(C62*$C$42)+10*(B62*$B$42)</f>
        <v>4879887.1139887106</v>
      </c>
      <c r="E62" s="37">
        <f t="shared" si="0"/>
        <v>0.11183290458475777</v>
      </c>
      <c r="F62" s="46">
        <f t="shared" si="1"/>
        <v>3.8099551544476205</v>
      </c>
      <c r="G62" s="17"/>
    </row>
    <row r="63" spans="1:7" x14ac:dyDescent="0.25">
      <c r="A63" s="4" t="s">
        <v>1587</v>
      </c>
      <c r="B63" s="38">
        <f>Standing!$S$79</f>
        <v>0</v>
      </c>
      <c r="C63" s="48">
        <f>AggCap!$S$89</f>
        <v>2.7058640721758009</v>
      </c>
      <c r="D63" s="42">
        <f>0.01*Input!$F$60*(C63*$C$42)+10*(B63*$B$42)</f>
        <v>12684605.749629674</v>
      </c>
      <c r="E63" s="37">
        <f t="shared" si="0"/>
        <v>0.29069449176952561</v>
      </c>
      <c r="F63" s="46">
        <f t="shared" si="1"/>
        <v>9.9034625041634321</v>
      </c>
      <c r="G63" s="17"/>
    </row>
    <row r="64" spans="1:7" x14ac:dyDescent="0.25">
      <c r="A64" s="4" t="s">
        <v>1588</v>
      </c>
      <c r="B64" s="10"/>
      <c r="C64" s="48">
        <f>Otex!$B$121</f>
        <v>2.1249285582131563</v>
      </c>
      <c r="D64" s="42">
        <f>0.01*Input!$F$60*(C64*$C$42)+10*(B64*$B$42)</f>
        <v>9961284.1917033624</v>
      </c>
      <c r="E64" s="37">
        <f t="shared" si="0"/>
        <v>0.2282838349598337</v>
      </c>
      <c r="F64" s="46">
        <f t="shared" si="1"/>
        <v>7.7772385230601513</v>
      </c>
      <c r="G64" s="17"/>
    </row>
    <row r="65" spans="1:9" x14ac:dyDescent="0.25">
      <c r="A65" s="4" t="s">
        <v>1589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1590</v>
      </c>
      <c r="B66" s="38">
        <f>Adder!$B$265</f>
        <v>1.3195379706717336</v>
      </c>
      <c r="C66" s="10"/>
      <c r="D66" s="42">
        <f>0.01*Input!$F$60*(C66*$C$42)+10*(B66*$B$42)</f>
        <v>57578727.507873699</v>
      </c>
      <c r="E66" s="37">
        <f t="shared" si="0"/>
        <v>1.3195379706717336</v>
      </c>
      <c r="F66" s="46">
        <f t="shared" si="1"/>
        <v>44.954394339636337</v>
      </c>
      <c r="G66" s="17"/>
    </row>
    <row r="67" spans="1:9" x14ac:dyDescent="0.25">
      <c r="A67" s="4" t="s">
        <v>1591</v>
      </c>
      <c r="B67" s="38">
        <f>Adjust!$B$78</f>
        <v>4.7003130970280083E-4</v>
      </c>
      <c r="C67" s="48">
        <f>Adjust!$E$78</f>
        <v>-4.5629741352897213E-3</v>
      </c>
      <c r="D67" s="42">
        <f>0.01*Input!$F$60*(C67*$C$42)+10*(B67*$B$42)</f>
        <v>-880.34351541686556</v>
      </c>
      <c r="E67" s="37">
        <f t="shared" si="0"/>
        <v>-2.017492824356599E-5</v>
      </c>
      <c r="F67" s="46">
        <f t="shared" si="1"/>
        <v>-6.8732518517328656E-4</v>
      </c>
      <c r="G67" s="17"/>
    </row>
    <row r="69" spans="1:9" x14ac:dyDescent="0.25">
      <c r="A69" s="4" t="s">
        <v>1592</v>
      </c>
      <c r="B69" s="37">
        <f>SUM($B$45:$B$67)</f>
        <v>2.7509999999999999</v>
      </c>
      <c r="C69" s="46">
        <f>SUM($C$45:$C$67)</f>
        <v>5.0199999999999996</v>
      </c>
      <c r="D69" s="42">
        <f>SUM($D$45:$D$67)</f>
        <v>143574179.86022267</v>
      </c>
      <c r="E69" s="37">
        <f>SUM($E$45:$E$67)</f>
        <v>3.2903051201975559</v>
      </c>
      <c r="F69" s="46">
        <f>SUM($F$45:$F$67)</f>
        <v>112.0950492965257</v>
      </c>
    </row>
    <row r="71" spans="1:9" ht="21" customHeight="1" x14ac:dyDescent="0.3">
      <c r="A71" s="1" t="s">
        <v>183</v>
      </c>
    </row>
    <row r="73" spans="1:9" x14ac:dyDescent="0.25">
      <c r="B73" s="15" t="s">
        <v>239</v>
      </c>
      <c r="C73" s="15" t="s">
        <v>240</v>
      </c>
      <c r="D73" s="15" t="s">
        <v>242</v>
      </c>
      <c r="E73" s="15" t="s">
        <v>1573</v>
      </c>
      <c r="F73" s="15" t="s">
        <v>1574</v>
      </c>
    </row>
    <row r="74" spans="1:9" x14ac:dyDescent="0.25">
      <c r="A74" s="4" t="s">
        <v>183</v>
      </c>
      <c r="B74" s="44">
        <f>Loads!B$335</f>
        <v>633661.12788438995</v>
      </c>
      <c r="C74" s="44">
        <f>Loads!C$335</f>
        <v>609406.89988925145</v>
      </c>
      <c r="D74" s="44">
        <f>Loads!E$335</f>
        <v>204830.32022446717</v>
      </c>
      <c r="E74" s="44">
        <f>Multi!B$129</f>
        <v>1243068.0277736415</v>
      </c>
      <c r="F74" s="37">
        <f>IF(D74,E74/D74,"")</f>
        <v>6.0687696353323179</v>
      </c>
      <c r="G74" s="17"/>
    </row>
    <row r="76" spans="1:9" ht="30" x14ac:dyDescent="0.25">
      <c r="B76" s="15" t="s">
        <v>1381</v>
      </c>
      <c r="C76" s="15" t="s">
        <v>1382</v>
      </c>
      <c r="D76" s="15" t="s">
        <v>1384</v>
      </c>
      <c r="E76" s="15" t="s">
        <v>1593</v>
      </c>
      <c r="F76" s="15" t="s">
        <v>1575</v>
      </c>
      <c r="G76" s="15" t="s">
        <v>1542</v>
      </c>
      <c r="H76" s="15" t="s">
        <v>1576</v>
      </c>
    </row>
    <row r="77" spans="1:9" x14ac:dyDescent="0.25">
      <c r="A77" s="4" t="s">
        <v>481</v>
      </c>
      <c r="B77" s="38">
        <f>Standing!$C$80</f>
        <v>0.37163931550563578</v>
      </c>
      <c r="C77" s="38">
        <f>Standing!$C$106</f>
        <v>1.3965423724658241E-2</v>
      </c>
      <c r="D77" s="48">
        <f>AggCap!$C$90</f>
        <v>0</v>
      </c>
      <c r="E77" s="37">
        <f t="shared" ref="E77:E99" si="2">IF(E$74&lt;&gt;0,(($B77*B$74+$C77*C$74))/E$74,0)</f>
        <v>0.19629176195946688</v>
      </c>
      <c r="F77" s="42">
        <f>0.01*Input!$F$60*(D77*$D$74)+10*(B77*$B$74+C77*$C$74)</f>
        <v>2440040.1340716761</v>
      </c>
      <c r="G77" s="37">
        <f t="shared" ref="G77:G99" si="3">IF($E$74&lt;&gt;0,0.1*F77/$E$74,"")</f>
        <v>0.1962917619594669</v>
      </c>
      <c r="H77" s="46">
        <f t="shared" ref="H77:H99" si="4">IF($D$74&lt;&gt;0,F77/$D$74,"")</f>
        <v>11.912494846454919</v>
      </c>
      <c r="I77" s="17"/>
    </row>
    <row r="78" spans="1:9" x14ac:dyDescent="0.25">
      <c r="A78" s="4" t="s">
        <v>482</v>
      </c>
      <c r="B78" s="38">
        <f>Standing!$D$80</f>
        <v>5.7316562121140495E-2</v>
      </c>
      <c r="C78" s="38">
        <f>Standing!$D$106</f>
        <v>2.1538358377755783E-3</v>
      </c>
      <c r="D78" s="48">
        <f>AggCap!$D$90</f>
        <v>0</v>
      </c>
      <c r="E78" s="37">
        <f t="shared" si="2"/>
        <v>3.0273355102138792E-2</v>
      </c>
      <c r="F78" s="42">
        <f>0.01*Input!$F$60*(D78*$D$74)+10*(B78*$B$74+C78*$C$74)</f>
        <v>376318.39820906776</v>
      </c>
      <c r="G78" s="37">
        <f t="shared" si="3"/>
        <v>3.0273355102138792E-2</v>
      </c>
      <c r="H78" s="46">
        <f t="shared" si="4"/>
        <v>1.8372201820349261</v>
      </c>
      <c r="I78" s="17"/>
    </row>
    <row r="79" spans="1:9" x14ac:dyDescent="0.25">
      <c r="A79" s="4" t="s">
        <v>483</v>
      </c>
      <c r="B79" s="38">
        <f>Standing!$E$80</f>
        <v>0.11773244254627918</v>
      </c>
      <c r="C79" s="38">
        <f>Standing!$E$106</f>
        <v>1.0814084288328155E-2</v>
      </c>
      <c r="D79" s="48">
        <f>AggCap!$E$90</f>
        <v>0</v>
      </c>
      <c r="E79" s="37">
        <f t="shared" si="2"/>
        <v>6.5316336756861257E-2</v>
      </c>
      <c r="F79" s="42">
        <f>0.01*Input!$F$60*(D79*$D$74)+10*(B79*$B$74+C79*$C$74)</f>
        <v>811926.49913750531</v>
      </c>
      <c r="G79" s="37">
        <f t="shared" si="3"/>
        <v>6.5316336756861257E-2</v>
      </c>
      <c r="H79" s="46">
        <f t="shared" si="4"/>
        <v>3.9638980120117977</v>
      </c>
      <c r="I79" s="17"/>
    </row>
    <row r="80" spans="1:9" x14ac:dyDescent="0.25">
      <c r="A80" s="4" t="s">
        <v>484</v>
      </c>
      <c r="B80" s="38">
        <f>Standing!$F$80</f>
        <v>2.220112375811991E-2</v>
      </c>
      <c r="C80" s="38">
        <f>Standing!$F$106</f>
        <v>2.0392409978374397E-3</v>
      </c>
      <c r="D80" s="48">
        <f>AggCap!$F$90</f>
        <v>0</v>
      </c>
      <c r="E80" s="37">
        <f t="shared" si="2"/>
        <v>1.2316877526736934E-2</v>
      </c>
      <c r="F80" s="42">
        <f>0.01*Input!$F$60*(D80*$D$74)+10*(B80*$B$74+C80*$C$74)</f>
        <v>153107.16655490367</v>
      </c>
      <c r="G80" s="37">
        <f t="shared" si="3"/>
        <v>1.2316877526736934E-2</v>
      </c>
      <c r="H80" s="46">
        <f t="shared" si="4"/>
        <v>0.74748292336368116</v>
      </c>
      <c r="I80" s="17"/>
    </row>
    <row r="81" spans="1:9" x14ac:dyDescent="0.25">
      <c r="A81" s="4" t="s">
        <v>485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486</v>
      </c>
      <c r="B82" s="38">
        <f>Standing!$H$80</f>
        <v>8.5785420556108521E-2</v>
      </c>
      <c r="C82" s="38">
        <f>Standing!$H$106</f>
        <v>7.8796527833759344E-3</v>
      </c>
      <c r="D82" s="48">
        <f>AggCap!$H$90</f>
        <v>0</v>
      </c>
      <c r="E82" s="37">
        <f t="shared" si="2"/>
        <v>4.7592569190681722E-2</v>
      </c>
      <c r="F82" s="42">
        <f>0.01*Input!$F$60*(D82*$D$74)+10*(B82*$B$74+C82*$C$74)</f>
        <v>591608.01120541303</v>
      </c>
      <c r="G82" s="37">
        <f t="shared" si="3"/>
        <v>4.7592569190681722E-2</v>
      </c>
      <c r="H82" s="46">
        <f t="shared" si="4"/>
        <v>2.8882833877186163</v>
      </c>
      <c r="I82" s="17"/>
    </row>
    <row r="83" spans="1:9" x14ac:dyDescent="0.25">
      <c r="A83" s="4" t="s">
        <v>487</v>
      </c>
      <c r="B83" s="38">
        <f>Standing!$I$80</f>
        <v>9.4023672287164243E-3</v>
      </c>
      <c r="C83" s="38">
        <f>Standing!$I$106</f>
        <v>8.636361356487226E-4</v>
      </c>
      <c r="D83" s="48">
        <f>AggCap!$I$90</f>
        <v>0</v>
      </c>
      <c r="E83" s="37">
        <f t="shared" si="2"/>
        <v>5.2163037726930027E-3</v>
      </c>
      <c r="F83" s="42">
        <f>0.01*Input!$F$60*(D83*$D$74)+10*(B83*$B$74+C83*$C$74)</f>
        <v>64842.204429896963</v>
      </c>
      <c r="G83" s="37">
        <f t="shared" si="3"/>
        <v>5.2163037726930027E-3</v>
      </c>
      <c r="H83" s="46">
        <f t="shared" si="4"/>
        <v>0.31656545944388709</v>
      </c>
      <c r="I83" s="17"/>
    </row>
    <row r="84" spans="1:9" x14ac:dyDescent="0.25">
      <c r="A84" s="4" t="s">
        <v>488</v>
      </c>
      <c r="B84" s="38">
        <f>Standing!$J$80</f>
        <v>0</v>
      </c>
      <c r="C84" s="38">
        <f>Standing!$J$106</f>
        <v>0</v>
      </c>
      <c r="D84" s="48">
        <f>AggCap!$J$90</f>
        <v>0.19377034374633198</v>
      </c>
      <c r="E84" s="37">
        <f t="shared" si="2"/>
        <v>0</v>
      </c>
      <c r="F84" s="42">
        <f>0.01*Input!$F$60*(D84*$D$74)+10*(B84*$B$74+C84*$C$74)</f>
        <v>145265.55210801249</v>
      </c>
      <c r="G84" s="37">
        <f t="shared" si="3"/>
        <v>1.1686050068248143E-2</v>
      </c>
      <c r="H84" s="46">
        <f t="shared" si="4"/>
        <v>0.70919945811157492</v>
      </c>
      <c r="I84" s="17"/>
    </row>
    <row r="85" spans="1:9" x14ac:dyDescent="0.25">
      <c r="A85" s="4" t="s">
        <v>1577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1578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1579</v>
      </c>
      <c r="B87" s="38">
        <f>Standing!$K$80</f>
        <v>0.12034503342403396</v>
      </c>
      <c r="C87" s="38">
        <f>Standing!$K$106</f>
        <v>0</v>
      </c>
      <c r="D87" s="48">
        <f>AggCap!$K$90</f>
        <v>0</v>
      </c>
      <c r="E87" s="37">
        <f t="shared" si="2"/>
        <v>6.1346577911216525E-2</v>
      </c>
      <c r="F87" s="42">
        <f>0.01*Input!$F$60*(D87*$D$74)+10*(B87*$B$74+C87*$C$74)</f>
        <v>762579.6961475797</v>
      </c>
      <c r="G87" s="37">
        <f t="shared" si="3"/>
        <v>6.1346577911216525E-2</v>
      </c>
      <c r="H87" s="46">
        <f t="shared" si="4"/>
        <v>3.7229824925913917</v>
      </c>
      <c r="I87" s="17"/>
    </row>
    <row r="88" spans="1:9" x14ac:dyDescent="0.25">
      <c r="A88" s="4" t="s">
        <v>1580</v>
      </c>
      <c r="B88" s="38">
        <f>Standing!$L$80</f>
        <v>0.2594838436554468</v>
      </c>
      <c r="C88" s="38">
        <f>Standing!$L$106</f>
        <v>9.7508570142018063E-3</v>
      </c>
      <c r="D88" s="48">
        <f>AggCap!$L$90</f>
        <v>0</v>
      </c>
      <c r="E88" s="37">
        <f t="shared" si="2"/>
        <v>0.13705369358417643</v>
      </c>
      <c r="F88" s="42">
        <f>0.01*Input!$F$60*(D88*$D$74)+10*(B88*$B$74+C88*$C$74)</f>
        <v>1703670.6458277521</v>
      </c>
      <c r="G88" s="37">
        <f t="shared" si="3"/>
        <v>0.13705369358417646</v>
      </c>
      <c r="H88" s="46">
        <f t="shared" si="4"/>
        <v>8.3174729403378969</v>
      </c>
      <c r="I88" s="17"/>
    </row>
    <row r="89" spans="1:9" x14ac:dyDescent="0.25">
      <c r="A89" s="4" t="s">
        <v>1581</v>
      </c>
      <c r="B89" s="38">
        <f>Standing!$M$80</f>
        <v>4.001923699615733E-2</v>
      </c>
      <c r="C89" s="38">
        <f>Standing!$M$106</f>
        <v>1.5038387449090571E-3</v>
      </c>
      <c r="D89" s="48">
        <f>AggCap!$M$90</f>
        <v>0</v>
      </c>
      <c r="E89" s="37">
        <f t="shared" si="2"/>
        <v>2.1137286111835171E-2</v>
      </c>
      <c r="F89" s="42">
        <f>0.01*Input!$F$60*(D89*$D$74)+10*(B89*$B$74+C89*$C$74)</f>
        <v>262750.84559526131</v>
      </c>
      <c r="G89" s="37">
        <f t="shared" si="3"/>
        <v>2.1137286111835175E-2</v>
      </c>
      <c r="H89" s="46">
        <f t="shared" si="4"/>
        <v>1.2827732012883681</v>
      </c>
      <c r="I89" s="17"/>
    </row>
    <row r="90" spans="1:9" x14ac:dyDescent="0.25">
      <c r="A90" s="4" t="s">
        <v>1582</v>
      </c>
      <c r="B90" s="38">
        <f>Standing!$N$80</f>
        <v>8.2202462011555677E-2</v>
      </c>
      <c r="C90" s="38">
        <f>Standing!$N$106</f>
        <v>7.5505471021857298E-3</v>
      </c>
      <c r="D90" s="48">
        <f>AggCap!$N$90</f>
        <v>0</v>
      </c>
      <c r="E90" s="37">
        <f t="shared" si="2"/>
        <v>4.5604793163781618E-2</v>
      </c>
      <c r="F90" s="42">
        <f>0.01*Input!$F$60*(D90*$D$74)+10*(B90*$B$74+C90*$C$74)</f>
        <v>566898.60295126867</v>
      </c>
      <c r="G90" s="37">
        <f t="shared" si="3"/>
        <v>4.5604793163781625E-2</v>
      </c>
      <c r="H90" s="46">
        <f t="shared" si="4"/>
        <v>2.7676498397796876</v>
      </c>
      <c r="I90" s="17"/>
    </row>
    <row r="91" spans="1:9" x14ac:dyDescent="0.25">
      <c r="A91" s="4" t="s">
        <v>1583</v>
      </c>
      <c r="B91" s="38">
        <f>Standing!$O$80</f>
        <v>8.158494548586831E-2</v>
      </c>
      <c r="C91" s="38">
        <f>Standing!$O$106</f>
        <v>7.4938263240060549E-3</v>
      </c>
      <c r="D91" s="48">
        <f>AggCap!$O$90</f>
        <v>0</v>
      </c>
      <c r="E91" s="37">
        <f t="shared" si="2"/>
        <v>4.5262203504785388E-2</v>
      </c>
      <c r="F91" s="42">
        <f>0.01*Input!$F$60*(D91*$D$74)+10*(B91*$B$74+C91*$C$74)</f>
        <v>562639.98043382785</v>
      </c>
      <c r="G91" s="37">
        <f t="shared" si="3"/>
        <v>4.5262203504785395E-2</v>
      </c>
      <c r="H91" s="46">
        <f t="shared" si="4"/>
        <v>2.7468588625807362</v>
      </c>
      <c r="I91" s="17"/>
    </row>
    <row r="92" spans="1:9" x14ac:dyDescent="0.25">
      <c r="A92" s="4" t="s">
        <v>1584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1585</v>
      </c>
      <c r="B93" s="38">
        <f>Standing!$Q$80</f>
        <v>0.31524525225857702</v>
      </c>
      <c r="C93" s="38">
        <f>Standing!$Q$106</f>
        <v>2.8956238872555898E-2</v>
      </c>
      <c r="D93" s="48">
        <f>AggCap!$Q$90</f>
        <v>0</v>
      </c>
      <c r="E93" s="37">
        <f t="shared" si="2"/>
        <v>0.17489372183397073</v>
      </c>
      <c r="F93" s="42">
        <f>0.01*Input!$F$60*(D93*$D$74)+10*(B93*$B$74+C93*$C$74)</f>
        <v>2174047.9387014587</v>
      </c>
      <c r="G93" s="37">
        <f t="shared" si="3"/>
        <v>0.17489372183397076</v>
      </c>
      <c r="H93" s="46">
        <f t="shared" si="4"/>
        <v>10.613897084762584</v>
      </c>
      <c r="I93" s="17"/>
    </row>
    <row r="94" spans="1:9" x14ac:dyDescent="0.25">
      <c r="A94" s="4" t="s">
        <v>1586</v>
      </c>
      <c r="B94" s="38">
        <f>Standing!$R$80</f>
        <v>0.13129732437742303</v>
      </c>
      <c r="C94" s="38">
        <f>Standing!$R$106</f>
        <v>1.2060060098483783E-2</v>
      </c>
      <c r="D94" s="48">
        <f>AggCap!$R$90</f>
        <v>0</v>
      </c>
      <c r="E94" s="37">
        <f t="shared" si="2"/>
        <v>7.2841946271008054E-2</v>
      </c>
      <c r="F94" s="42">
        <f>0.01*Input!$F$60*(D94*$D$74)+10*(B94*$B$74+C94*$C$74)</f>
        <v>905474.94490295544</v>
      </c>
      <c r="G94" s="37">
        <f t="shared" si="3"/>
        <v>7.2841946271008054E-2</v>
      </c>
      <c r="H94" s="46">
        <f t="shared" si="4"/>
        <v>4.4206099170800188</v>
      </c>
      <c r="I94" s="17"/>
    </row>
    <row r="95" spans="1:9" x14ac:dyDescent="0.25">
      <c r="A95" s="4" t="s">
        <v>1587</v>
      </c>
      <c r="B95" s="38">
        <f>Standing!$S$80</f>
        <v>0</v>
      </c>
      <c r="C95" s="38">
        <f>Standing!$S$106</f>
        <v>0</v>
      </c>
      <c r="D95" s="48">
        <f>AggCap!$S$90</f>
        <v>2.7058640721758009</v>
      </c>
      <c r="E95" s="37">
        <f t="shared" si="2"/>
        <v>0</v>
      </c>
      <c r="F95" s="42">
        <f>0.01*Input!$F$60*(D95*$D$74)+10*(B95*$B$74+C95*$C$74)</f>
        <v>2028529.3960587992</v>
      </c>
      <c r="G95" s="37">
        <f t="shared" si="3"/>
        <v>0.16318731965875868</v>
      </c>
      <c r="H95" s="46">
        <f t="shared" si="4"/>
        <v>9.9034625041634321</v>
      </c>
      <c r="I95" s="17"/>
    </row>
    <row r="96" spans="1:9" x14ac:dyDescent="0.25">
      <c r="A96" s="4" t="s">
        <v>1588</v>
      </c>
      <c r="B96" s="10"/>
      <c r="C96" s="10"/>
      <c r="D96" s="48">
        <f>Otex!$B$122</f>
        <v>2.1249285582131563</v>
      </c>
      <c r="E96" s="37">
        <f t="shared" si="2"/>
        <v>0</v>
      </c>
      <c r="F96" s="42">
        <f>0.01*Input!$F$60*(D96*$D$74)+10*(B96*$B$74+C96*$C$74)</f>
        <v>1593014.257140473</v>
      </c>
      <c r="G96" s="37">
        <f t="shared" si="3"/>
        <v>0.12815181643707721</v>
      </c>
      <c r="H96" s="46">
        <f t="shared" si="4"/>
        <v>7.7772385230601522</v>
      </c>
      <c r="I96" s="17"/>
    </row>
    <row r="97" spans="1:9" x14ac:dyDescent="0.25">
      <c r="A97" s="4" t="s">
        <v>1589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1590</v>
      </c>
      <c r="B98" s="38">
        <f>Adder!$B$266</f>
        <v>1.3195379706717336</v>
      </c>
      <c r="C98" s="38">
        <f>Adder!$C$266</f>
        <v>1.3195379706717336</v>
      </c>
      <c r="D98" s="10"/>
      <c r="E98" s="37">
        <f t="shared" si="2"/>
        <v>1.3195379706717334</v>
      </c>
      <c r="F98" s="42">
        <f>0.01*Input!$F$60*(D98*$D$74)+10*(B98*$B$74+C98*$C$74)</f>
        <v>16402754.62775345</v>
      </c>
      <c r="G98" s="37">
        <f t="shared" si="3"/>
        <v>1.3195379706717334</v>
      </c>
      <c r="H98" s="46">
        <f t="shared" si="4"/>
        <v>80.079719690806428</v>
      </c>
      <c r="I98" s="17"/>
    </row>
    <row r="99" spans="1:9" x14ac:dyDescent="0.25">
      <c r="A99" s="4" t="s">
        <v>1591</v>
      </c>
      <c r="B99" s="38">
        <f>Adjust!$B$79</f>
        <v>2.0669940320372504E-4</v>
      </c>
      <c r="C99" s="38">
        <f>Adjust!$C$79</f>
        <v>4.3078740429991491E-4</v>
      </c>
      <c r="D99" s="48">
        <f>Adjust!$E$79</f>
        <v>-4.5629741352897213E-3</v>
      </c>
      <c r="E99" s="37">
        <f t="shared" si="2"/>
        <v>3.1655724766537619E-4</v>
      </c>
      <c r="F99" s="42">
        <f>0.01*Input!$F$60*(D99*$D$74)+10*(B99*$B$74+C99*$C$74)</f>
        <v>514.25617622359505</v>
      </c>
      <c r="G99" s="37">
        <f t="shared" si="3"/>
        <v>4.1369914174740515E-5</v>
      </c>
      <c r="H99" s="46">
        <f t="shared" si="4"/>
        <v>2.5106447895996927E-3</v>
      </c>
      <c r="I99" s="17"/>
    </row>
    <row r="101" spans="1:9" x14ac:dyDescent="0.25">
      <c r="A101" s="4" t="s">
        <v>1592</v>
      </c>
      <c r="B101" s="37">
        <f>SUM($B$77:$B$99)</f>
        <v>3.0139999999999998</v>
      </c>
      <c r="C101" s="37">
        <f>SUM($C$77:$C$99)</f>
        <v>1.425</v>
      </c>
      <c r="D101" s="46">
        <f>SUM($D$77:$D$99)</f>
        <v>5.0199999999999996</v>
      </c>
      <c r="E101" s="37">
        <f>SUM(E$77:E$99)</f>
        <v>2.2350019546087516</v>
      </c>
      <c r="F101" s="42">
        <f>SUM($F$77:$F$99)</f>
        <v>31545983.157405522</v>
      </c>
      <c r="G101" s="37">
        <f>SUM($G$77:$G$99)</f>
        <v>2.5377519534393449</v>
      </c>
      <c r="H101" s="46">
        <f>SUM($H$77:$H$99)</f>
        <v>154.0103199703797</v>
      </c>
    </row>
    <row r="103" spans="1:9" ht="21" customHeight="1" x14ac:dyDescent="0.3">
      <c r="A103" s="1" t="s">
        <v>228</v>
      </c>
    </row>
    <row r="105" spans="1:9" x14ac:dyDescent="0.25">
      <c r="B105" s="15" t="s">
        <v>239</v>
      </c>
      <c r="C105" s="15" t="s">
        <v>1573</v>
      </c>
    </row>
    <row r="106" spans="1:9" x14ac:dyDescent="0.25">
      <c r="A106" s="4" t="s">
        <v>228</v>
      </c>
      <c r="B106" s="44">
        <f>Loads!B$336</f>
        <v>49584.948626394573</v>
      </c>
      <c r="C106" s="44">
        <f>Multi!B$130</f>
        <v>49584.948626394573</v>
      </c>
      <c r="D106" s="17"/>
    </row>
    <row r="108" spans="1:9" x14ac:dyDescent="0.25">
      <c r="B108" s="15" t="s">
        <v>1381</v>
      </c>
      <c r="C108" s="15" t="s">
        <v>1575</v>
      </c>
      <c r="D108" s="15" t="s">
        <v>1542</v>
      </c>
    </row>
    <row r="109" spans="1:9" x14ac:dyDescent="0.25">
      <c r="A109" s="4" t="s">
        <v>481</v>
      </c>
      <c r="B109" s="38">
        <f>Standing!$C$81</f>
        <v>1.4142086506262216E-2</v>
      </c>
      <c r="C109" s="42">
        <f t="shared" ref="C109:C127" si="5">0+10*(B109*$B$106)</f>
        <v>7012.3463288303992</v>
      </c>
      <c r="D109" s="37">
        <f t="shared" ref="D109:D127" si="6">IF($C$106&lt;&gt;0,0.1*C109/$C$106,"")</f>
        <v>1.4142086506262216E-2</v>
      </c>
      <c r="E109" s="17"/>
    </row>
    <row r="110" spans="1:9" x14ac:dyDescent="0.25">
      <c r="A110" s="4" t="s">
        <v>482</v>
      </c>
      <c r="B110" s="38">
        <f>Standing!$D$81</f>
        <v>2.1810818875712549E-3</v>
      </c>
      <c r="C110" s="42">
        <f t="shared" si="5"/>
        <v>1081.4883334518038</v>
      </c>
      <c r="D110" s="37">
        <f t="shared" si="6"/>
        <v>2.1810818875712549E-3</v>
      </c>
      <c r="E110" s="17"/>
    </row>
    <row r="111" spans="1:9" x14ac:dyDescent="0.25">
      <c r="A111" s="4" t="s">
        <v>483</v>
      </c>
      <c r="B111" s="38">
        <f>Standing!$E$81</f>
        <v>1.0782010689689658E-2</v>
      </c>
      <c r="C111" s="42">
        <f t="shared" si="5"/>
        <v>5346.2544613749878</v>
      </c>
      <c r="D111" s="37">
        <f t="shared" si="6"/>
        <v>1.0782010689689658E-2</v>
      </c>
      <c r="E111" s="17"/>
    </row>
    <row r="112" spans="1:9" x14ac:dyDescent="0.25">
      <c r="A112" s="4" t="s">
        <v>484</v>
      </c>
      <c r="B112" s="38">
        <f>Standing!$F$81</f>
        <v>2.0331927929642443E-3</v>
      </c>
      <c r="C112" s="42">
        <f t="shared" si="5"/>
        <v>1008.1576018668775</v>
      </c>
      <c r="D112" s="37">
        <f t="shared" si="6"/>
        <v>2.0331927929642443E-3</v>
      </c>
      <c r="E112" s="17"/>
    </row>
    <row r="113" spans="1:5" x14ac:dyDescent="0.25">
      <c r="A113" s="4" t="s">
        <v>485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486</v>
      </c>
      <c r="B114" s="38">
        <f>Standing!$H$81</f>
        <v>7.8562824439143211E-3</v>
      </c>
      <c r="C114" s="42">
        <f t="shared" si="5"/>
        <v>3895.5336137593722</v>
      </c>
      <c r="D114" s="37">
        <f t="shared" si="6"/>
        <v>7.8562824439143211E-3</v>
      </c>
      <c r="E114" s="17"/>
    </row>
    <row r="115" spans="1:5" x14ac:dyDescent="0.25">
      <c r="A115" s="4" t="s">
        <v>487</v>
      </c>
      <c r="B115" s="38">
        <f>Standing!$I$81</f>
        <v>8.6107466876480002E-4</v>
      </c>
      <c r="C115" s="42">
        <f t="shared" si="5"/>
        <v>426.96343214192331</v>
      </c>
      <c r="D115" s="37">
        <f t="shared" si="6"/>
        <v>8.6107466876480002E-4</v>
      </c>
      <c r="E115" s="17"/>
    </row>
    <row r="116" spans="1:5" x14ac:dyDescent="0.25">
      <c r="A116" s="4" t="s">
        <v>488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1579</v>
      </c>
      <c r="B117" s="38">
        <f>Standing!$K$81</f>
        <v>1.0240571852856504E-3</v>
      </c>
      <c r="C117" s="42">
        <f t="shared" si="5"/>
        <v>507.77822922879204</v>
      </c>
      <c r="D117" s="37">
        <f t="shared" si="6"/>
        <v>1.0240571852856506E-3</v>
      </c>
      <c r="E117" s="17"/>
    </row>
    <row r="118" spans="1:5" x14ac:dyDescent="0.25">
      <c r="A118" s="4" t="s">
        <v>1580</v>
      </c>
      <c r="B118" s="38">
        <f>Standing!$L$81</f>
        <v>9.87420547516615E-3</v>
      </c>
      <c r="C118" s="42">
        <f t="shared" si="5"/>
        <v>4896.1197121257755</v>
      </c>
      <c r="D118" s="37">
        <f t="shared" si="6"/>
        <v>9.87420547516615E-3</v>
      </c>
      <c r="E118" s="17"/>
    </row>
    <row r="119" spans="1:5" x14ac:dyDescent="0.25">
      <c r="A119" s="4" t="s">
        <v>1581</v>
      </c>
      <c r="B119" s="38">
        <f>Standing!$M$81</f>
        <v>1.522862323498397E-3</v>
      </c>
      <c r="C119" s="42">
        <f t="shared" si="5"/>
        <v>755.11050075739888</v>
      </c>
      <c r="D119" s="37">
        <f t="shared" si="6"/>
        <v>1.522862323498397E-3</v>
      </c>
      <c r="E119" s="17"/>
    </row>
    <row r="120" spans="1:5" x14ac:dyDescent="0.25">
      <c r="A120" s="4" t="s">
        <v>1582</v>
      </c>
      <c r="B120" s="38">
        <f>Standing!$N$81</f>
        <v>7.5281528604913177E-3</v>
      </c>
      <c r="C120" s="42">
        <f t="shared" si="5"/>
        <v>3732.8307283910731</v>
      </c>
      <c r="D120" s="37">
        <f t="shared" si="6"/>
        <v>7.5281528604913177E-3</v>
      </c>
      <c r="E120" s="17"/>
    </row>
    <row r="121" spans="1:5" x14ac:dyDescent="0.25">
      <c r="A121" s="4" t="s">
        <v>1583</v>
      </c>
      <c r="B121" s="38">
        <f>Standing!$O$81</f>
        <v>7.4716003110238752E-3</v>
      </c>
      <c r="C121" s="42">
        <f t="shared" si="5"/>
        <v>3704.7891757907255</v>
      </c>
      <c r="D121" s="37">
        <f t="shared" si="6"/>
        <v>7.4716003110238752E-3</v>
      </c>
      <c r="E121" s="17"/>
    </row>
    <row r="122" spans="1:5" x14ac:dyDescent="0.25">
      <c r="A122" s="4" t="s">
        <v>1584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1585</v>
      </c>
      <c r="B123" s="38">
        <f>Standing!$Q$81</f>
        <v>2.887035727972596E-2</v>
      </c>
      <c r="C123" s="42">
        <f t="shared" si="5"/>
        <v>14315.351825408685</v>
      </c>
      <c r="D123" s="37">
        <f t="shared" si="6"/>
        <v>2.8870357279725967E-2</v>
      </c>
      <c r="E123" s="17"/>
    </row>
    <row r="124" spans="1:5" x14ac:dyDescent="0.25">
      <c r="A124" s="4" t="s">
        <v>1586</v>
      </c>
      <c r="B124" s="38">
        <f>Standing!$R$81</f>
        <v>1.2024291047971343E-2</v>
      </c>
      <c r="C124" s="42">
        <f t="shared" si="5"/>
        <v>5962.2385388247512</v>
      </c>
      <c r="D124" s="37">
        <f t="shared" si="6"/>
        <v>1.2024291047971342E-2</v>
      </c>
      <c r="E124" s="17"/>
    </row>
    <row r="125" spans="1:5" x14ac:dyDescent="0.25">
      <c r="A125" s="4" t="s">
        <v>1587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1590</v>
      </c>
      <c r="B126" s="38">
        <f>Adder!$B$267</f>
        <v>1.3195379706717336</v>
      </c>
      <c r="C126" s="42">
        <f t="shared" si="5"/>
        <v>654292.22486334865</v>
      </c>
      <c r="D126" s="37">
        <f t="shared" si="6"/>
        <v>1.3195379706717338</v>
      </c>
      <c r="E126" s="17"/>
    </row>
    <row r="127" spans="1:5" x14ac:dyDescent="0.25">
      <c r="A127" s="4" t="s">
        <v>1591</v>
      </c>
      <c r="B127" s="38">
        <f>Adjust!$B$80</f>
        <v>2.9077385593723193E-4</v>
      </c>
      <c r="C127" s="42">
        <f t="shared" si="5"/>
        <v>144.18006708546301</v>
      </c>
      <c r="D127" s="37">
        <f t="shared" si="6"/>
        <v>2.9077385593723193E-4</v>
      </c>
      <c r="E127" s="17"/>
    </row>
    <row r="129" spans="1:7" x14ac:dyDescent="0.25">
      <c r="A129" s="4" t="s">
        <v>1592</v>
      </c>
      <c r="B129" s="37">
        <f>SUM($B$109:$B$127)</f>
        <v>1.4259999999999999</v>
      </c>
      <c r="C129" s="42">
        <f>SUM($C$109:$C$127)</f>
        <v>707081.36741238669</v>
      </c>
      <c r="D129" s="37">
        <f>SUM($D$109:$D$127)</f>
        <v>1.4260000000000002</v>
      </c>
    </row>
    <row r="131" spans="1:7" ht="21" customHeight="1" x14ac:dyDescent="0.3">
      <c r="A131" s="1" t="s">
        <v>184</v>
      </c>
    </row>
    <row r="133" spans="1:7" x14ac:dyDescent="0.25">
      <c r="B133" s="15" t="s">
        <v>239</v>
      </c>
      <c r="C133" s="15" t="s">
        <v>242</v>
      </c>
      <c r="D133" s="15" t="s">
        <v>1573</v>
      </c>
      <c r="E133" s="15" t="s">
        <v>1574</v>
      </c>
    </row>
    <row r="134" spans="1:7" x14ac:dyDescent="0.25">
      <c r="A134" s="4" t="s">
        <v>184</v>
      </c>
      <c r="B134" s="44">
        <f>Loads!B$337</f>
        <v>1193652.4726898838</v>
      </c>
      <c r="C134" s="44">
        <f>Loads!E$337</f>
        <v>110012.44210425091</v>
      </c>
      <c r="D134" s="44">
        <f>Multi!B$131</f>
        <v>1193652.4726898838</v>
      </c>
      <c r="E134" s="37">
        <f>IF(C134,D134/C134,"")</f>
        <v>10.850158853475364</v>
      </c>
      <c r="F134" s="17"/>
    </row>
    <row r="136" spans="1:7" ht="30" x14ac:dyDescent="0.25">
      <c r="B136" s="15" t="s">
        <v>1381</v>
      </c>
      <c r="C136" s="15" t="s">
        <v>1384</v>
      </c>
      <c r="D136" s="15" t="s">
        <v>1575</v>
      </c>
      <c r="E136" s="15" t="s">
        <v>1542</v>
      </c>
      <c r="F136" s="15" t="s">
        <v>1576</v>
      </c>
    </row>
    <row r="137" spans="1:7" x14ac:dyDescent="0.25">
      <c r="A137" s="4" t="s">
        <v>481</v>
      </c>
      <c r="B137" s="38">
        <f>Standing!$C$82</f>
        <v>0.24723878685871525</v>
      </c>
      <c r="C137" s="48">
        <f>AggCap!$C$91</f>
        <v>0</v>
      </c>
      <c r="D137" s="42">
        <f>0.01*Input!$F$60*(C137*$C$134)+10*(B137*$B$134)</f>
        <v>2951171.8927875259</v>
      </c>
      <c r="E137" s="37">
        <f t="shared" ref="E137:E159" si="7">IF($D$134&lt;&gt;0,0.1*D137/$D$134,"")</f>
        <v>0.24723878685871525</v>
      </c>
      <c r="F137" s="46">
        <f t="shared" ref="F137:F159" si="8">IF($C$134&lt;&gt;0,D137/$C$134,"")</f>
        <v>26.825801121575974</v>
      </c>
      <c r="G137" s="17"/>
    </row>
    <row r="138" spans="1:7" x14ac:dyDescent="0.25">
      <c r="A138" s="4" t="s">
        <v>482</v>
      </c>
      <c r="B138" s="38">
        <f>Standing!$D$82</f>
        <v>3.8130727010038508E-2</v>
      </c>
      <c r="C138" s="48">
        <f>AggCap!$D$91</f>
        <v>0</v>
      </c>
      <c r="D138" s="42">
        <f>0.01*Input!$F$60*(C138*$C$134)+10*(B138*$B$134)</f>
        <v>455148.36580995406</v>
      </c>
      <c r="E138" s="37">
        <f t="shared" si="7"/>
        <v>3.8130727010038515E-2</v>
      </c>
      <c r="F138" s="46">
        <f t="shared" si="8"/>
        <v>4.1372444525742154</v>
      </c>
      <c r="G138" s="17"/>
    </row>
    <row r="139" spans="1:7" x14ac:dyDescent="0.25">
      <c r="A139" s="4" t="s">
        <v>483</v>
      </c>
      <c r="B139" s="38">
        <f>Standing!$E$82</f>
        <v>9.0585046551459519E-2</v>
      </c>
      <c r="C139" s="48">
        <f>AggCap!$E$91</f>
        <v>0</v>
      </c>
      <c r="D139" s="42">
        <f>0.01*Input!$F$60*(C139*$C$134)+10*(B139*$B$134)</f>
        <v>1081270.6480487788</v>
      </c>
      <c r="E139" s="37">
        <f t="shared" si="7"/>
        <v>9.0585046551459519E-2</v>
      </c>
      <c r="F139" s="46">
        <f t="shared" si="8"/>
        <v>9.8286214483279633</v>
      </c>
      <c r="G139" s="17"/>
    </row>
    <row r="140" spans="1:7" x14ac:dyDescent="0.25">
      <c r="A140" s="4" t="s">
        <v>484</v>
      </c>
      <c r="B140" s="38">
        <f>Standing!$F$82</f>
        <v>1.7081866184280266E-2</v>
      </c>
      <c r="C140" s="48">
        <f>AggCap!$F$91</f>
        <v>0</v>
      </c>
      <c r="D140" s="42">
        <f>0.01*Input!$F$60*(C140*$C$134)+10*(B140*$B$134)</f>
        <v>203898.11809023848</v>
      </c>
      <c r="E140" s="37">
        <f t="shared" si="7"/>
        <v>1.7081866184280266E-2</v>
      </c>
      <c r="F140" s="46">
        <f t="shared" si="8"/>
        <v>1.8534096161324993</v>
      </c>
      <c r="G140" s="17"/>
    </row>
    <row r="141" spans="1:7" x14ac:dyDescent="0.25">
      <c r="A141" s="4" t="s">
        <v>485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486</v>
      </c>
      <c r="B142" s="38">
        <f>Standing!$H$82</f>
        <v>6.6004545106222404E-2</v>
      </c>
      <c r="C142" s="48">
        <f>AggCap!$H$91</f>
        <v>0</v>
      </c>
      <c r="D142" s="42">
        <f>0.01*Input!$F$60*(C142*$C$134)+10*(B142*$B$134)</f>
        <v>787864.88474813337</v>
      </c>
      <c r="E142" s="37">
        <f t="shared" si="7"/>
        <v>6.6004545106222404E-2</v>
      </c>
      <c r="F142" s="46">
        <f t="shared" si="8"/>
        <v>7.161597994538929</v>
      </c>
      <c r="G142" s="17"/>
    </row>
    <row r="143" spans="1:7" x14ac:dyDescent="0.25">
      <c r="A143" s="4" t="s">
        <v>487</v>
      </c>
      <c r="B143" s="38">
        <f>Standing!$I$82</f>
        <v>7.2343175312310059E-3</v>
      </c>
      <c r="C143" s="48">
        <f>AggCap!$I$91</f>
        <v>0</v>
      </c>
      <c r="D143" s="42">
        <f>0.01*Input!$F$60*(C143*$C$134)+10*(B143*$B$134)</f>
        <v>86352.610093776661</v>
      </c>
      <c r="E143" s="37">
        <f t="shared" si="7"/>
        <v>7.2343175312310059E-3</v>
      </c>
      <c r="F143" s="46">
        <f t="shared" si="8"/>
        <v>0.78493494410338138</v>
      </c>
      <c r="G143" s="17"/>
    </row>
    <row r="144" spans="1:7" x14ac:dyDescent="0.25">
      <c r="A144" s="4" t="s">
        <v>488</v>
      </c>
      <c r="B144" s="38">
        <f>Standing!$J$82</f>
        <v>0</v>
      </c>
      <c r="C144" s="48">
        <f>AggCap!$J$91</f>
        <v>0.19377034374633198</v>
      </c>
      <c r="D144" s="42">
        <f>0.01*Input!$F$60*(C144*$C$134)+10*(B144*$B$134)</f>
        <v>78020.764325865763</v>
      </c>
      <c r="E144" s="37">
        <f t="shared" si="7"/>
        <v>6.5363048383795296E-3</v>
      </c>
      <c r="F144" s="46">
        <f t="shared" si="8"/>
        <v>0.70919945811157503</v>
      </c>
      <c r="G144" s="17"/>
    </row>
    <row r="145" spans="1:7" x14ac:dyDescent="0.25">
      <c r="A145" s="4" t="s">
        <v>1577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1578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1579</v>
      </c>
      <c r="B147" s="38">
        <f>Standing!$K$82</f>
        <v>7.560122174243758E-2</v>
      </c>
      <c r="C147" s="48">
        <f>AggCap!$K$91</f>
        <v>0</v>
      </c>
      <c r="D147" s="42">
        <f>0.01*Input!$F$60*(C147*$C$134)+10*(B147*$B$134)</f>
        <v>902415.85271236824</v>
      </c>
      <c r="E147" s="37">
        <f t="shared" si="7"/>
        <v>7.5601221742437594E-2</v>
      </c>
      <c r="F147" s="46">
        <f t="shared" si="8"/>
        <v>8.2028526542226334</v>
      </c>
      <c r="G147" s="17"/>
    </row>
    <row r="148" spans="1:7" x14ac:dyDescent="0.25">
      <c r="A148" s="4" t="s">
        <v>1580</v>
      </c>
      <c r="B148" s="38">
        <f>Standing!$L$82</f>
        <v>0.17262562930814654</v>
      </c>
      <c r="C148" s="48">
        <f>AggCap!$L$91</f>
        <v>0</v>
      </c>
      <c r="D148" s="42">
        <f>0.01*Input!$F$60*(C148*$C$134)+10*(B148*$B$134)</f>
        <v>2060550.0927331639</v>
      </c>
      <c r="E148" s="37">
        <f t="shared" si="7"/>
        <v>0.17262562930814654</v>
      </c>
      <c r="F148" s="46">
        <f t="shared" si="8"/>
        <v>18.730155001745423</v>
      </c>
      <c r="G148" s="17"/>
    </row>
    <row r="149" spans="1:7" x14ac:dyDescent="0.25">
      <c r="A149" s="4" t="s">
        <v>1581</v>
      </c>
      <c r="B149" s="38">
        <f>Standing!$M$82</f>
        <v>2.6623414674197224E-2</v>
      </c>
      <c r="C149" s="48">
        <f>AggCap!$M$91</f>
        <v>0</v>
      </c>
      <c r="D149" s="42">
        <f>0.01*Input!$F$60*(C149*$C$134)+10*(B149*$B$134)</f>
        <v>317791.04757303651</v>
      </c>
      <c r="E149" s="37">
        <f t="shared" si="7"/>
        <v>2.6623414674197224E-2</v>
      </c>
      <c r="F149" s="46">
        <f t="shared" si="8"/>
        <v>2.8886827843698688</v>
      </c>
      <c r="G149" s="17"/>
    </row>
    <row r="150" spans="1:7" x14ac:dyDescent="0.25">
      <c r="A150" s="4" t="s">
        <v>1582</v>
      </c>
      <c r="B150" s="38">
        <f>Standing!$N$82</f>
        <v>6.3247764905873749E-2</v>
      </c>
      <c r="C150" s="48">
        <f>AggCap!$N$91</f>
        <v>0</v>
      </c>
      <c r="D150" s="42">
        <f>0.01*Input!$F$60*(C150*$C$134)+10*(B150*$B$134)</f>
        <v>754958.50972004654</v>
      </c>
      <c r="E150" s="37">
        <f t="shared" si="7"/>
        <v>6.3247764905873749E-2</v>
      </c>
      <c r="F150" s="46">
        <f t="shared" si="8"/>
        <v>6.8624829635599438</v>
      </c>
      <c r="G150" s="17"/>
    </row>
    <row r="151" spans="1:7" x14ac:dyDescent="0.25">
      <c r="A151" s="4" t="s">
        <v>1583</v>
      </c>
      <c r="B151" s="38">
        <f>Standing!$O$82</f>
        <v>6.2772638746797421E-2</v>
      </c>
      <c r="C151" s="48">
        <f>AggCap!$O$91</f>
        <v>0</v>
      </c>
      <c r="D151" s="42">
        <f>0.01*Input!$F$60*(C151*$C$134)+10*(B151*$B$134)</f>
        <v>749287.15457383543</v>
      </c>
      <c r="E151" s="37">
        <f t="shared" si="7"/>
        <v>6.2772638746797421E-2</v>
      </c>
      <c r="F151" s="46">
        <f t="shared" si="8"/>
        <v>6.8109310205457465</v>
      </c>
      <c r="G151" s="17"/>
    </row>
    <row r="152" spans="1:7" x14ac:dyDescent="0.25">
      <c r="A152" s="4" t="s">
        <v>1584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1585</v>
      </c>
      <c r="B153" s="38">
        <f>Standing!$Q$82</f>
        <v>0.24255426315261047</v>
      </c>
      <c r="C153" s="48">
        <f>AggCap!$Q$91</f>
        <v>0</v>
      </c>
      <c r="D153" s="42">
        <f>0.01*Input!$F$60*(C153*$C$134)+10*(B153*$B$134)</f>
        <v>2895254.9597358629</v>
      </c>
      <c r="E153" s="37">
        <f t="shared" si="7"/>
        <v>0.2425542631526105</v>
      </c>
      <c r="F153" s="46">
        <f t="shared" si="8"/>
        <v>26.3175228579349</v>
      </c>
      <c r="G153" s="17"/>
    </row>
    <row r="154" spans="1:7" x14ac:dyDescent="0.25">
      <c r="A154" s="4" t="s">
        <v>1586</v>
      </c>
      <c r="B154" s="38">
        <f>Standing!$R$82</f>
        <v>0.10102206310835458</v>
      </c>
      <c r="C154" s="48">
        <f>AggCap!$R$91</f>
        <v>0</v>
      </c>
      <c r="D154" s="42">
        <f>0.01*Input!$F$60*(C154*$C$134)+10*(B154*$B$134)</f>
        <v>1205852.3542552094</v>
      </c>
      <c r="E154" s="37">
        <f t="shared" si="7"/>
        <v>0.1010220631083546</v>
      </c>
      <c r="F154" s="46">
        <f t="shared" si="8"/>
        <v>10.961054324314604</v>
      </c>
      <c r="G154" s="17"/>
    </row>
    <row r="155" spans="1:7" x14ac:dyDescent="0.25">
      <c r="A155" s="4" t="s">
        <v>1587</v>
      </c>
      <c r="B155" s="38">
        <f>Standing!$S$82</f>
        <v>0</v>
      </c>
      <c r="C155" s="48">
        <f>AggCap!$S$91</f>
        <v>2.7058640721758009</v>
      </c>
      <c r="D155" s="42">
        <f>0.01*Input!$F$60*(C155*$C$134)+10*(B155*$B$134)</f>
        <v>1089504.0953708992</v>
      </c>
      <c r="E155" s="37">
        <f t="shared" si="7"/>
        <v>9.1274815769091716E-2</v>
      </c>
      <c r="F155" s="46">
        <f t="shared" si="8"/>
        <v>9.9034625041634321</v>
      </c>
      <c r="G155" s="17"/>
    </row>
    <row r="156" spans="1:7" x14ac:dyDescent="0.25">
      <c r="A156" s="4" t="s">
        <v>1588</v>
      </c>
      <c r="B156" s="10"/>
      <c r="C156" s="48">
        <f>Otex!$B$124</f>
        <v>6.4794669092842296</v>
      </c>
      <c r="D156" s="42">
        <f>0.01*Input!$F$60*(C156*$C$134)+10*(B156*$B$134)</f>
        <v>2608928.4402999897</v>
      </c>
      <c r="E156" s="37">
        <f t="shared" si="7"/>
        <v>0.2185668358245676</v>
      </c>
      <c r="F156" s="46">
        <f t="shared" si="8"/>
        <v>23.714848887980281</v>
      </c>
      <c r="G156" s="17"/>
    </row>
    <row r="157" spans="1:7" x14ac:dyDescent="0.25">
      <c r="A157" s="4" t="s">
        <v>1589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1590</v>
      </c>
      <c r="B158" s="38">
        <f>Adder!$B$268</f>
        <v>1.3195379706717336</v>
      </c>
      <c r="C158" s="10"/>
      <c r="D158" s="42">
        <f>0.01*Input!$F$60*(C158*$C$134)+10*(B158*$B$134)</f>
        <v>15750697.615005061</v>
      </c>
      <c r="E158" s="37">
        <f t="shared" si="7"/>
        <v>1.3195379706717336</v>
      </c>
      <c r="F158" s="46">
        <f t="shared" si="8"/>
        <v>143.17196594980825</v>
      </c>
      <c r="G158" s="17"/>
    </row>
    <row r="159" spans="1:7" x14ac:dyDescent="0.25">
      <c r="A159" s="4" t="s">
        <v>1591</v>
      </c>
      <c r="B159" s="38">
        <f>Adjust!$B$81</f>
        <v>-2.6025555209807649E-4</v>
      </c>
      <c r="C159" s="48">
        <f>Adjust!$E$81</f>
        <v>8.9867479363725522E-4</v>
      </c>
      <c r="D159" s="42">
        <f>0.01*Input!$F$60*(C159*$C$134)+10*(B159*$B$134)</f>
        <v>-2744.6994370690195</v>
      </c>
      <c r="E159" s="37">
        <f t="shared" si="7"/>
        <v>-2.2994125173501022E-4</v>
      </c>
      <c r="F159" s="46">
        <f t="shared" si="8"/>
        <v>-2.494899108291828E-2</v>
      </c>
      <c r="G159" s="17"/>
    </row>
    <row r="161" spans="1:9" x14ac:dyDescent="0.25">
      <c r="A161" s="4" t="s">
        <v>1592</v>
      </c>
      <c r="B161" s="37">
        <f>SUM($B$137:$B$159)</f>
        <v>2.5299999999999998</v>
      </c>
      <c r="C161" s="46">
        <f>SUM($C$137:$C$159)</f>
        <v>9.3800000000000008</v>
      </c>
      <c r="D161" s="42">
        <f>SUM($D$137:$D$159)</f>
        <v>33976222.706446677</v>
      </c>
      <c r="E161" s="37">
        <f>SUM($E$137:$E$159)</f>
        <v>2.8464082707324017</v>
      </c>
      <c r="F161" s="46">
        <f>SUM($F$137:$F$159)</f>
        <v>308.83981899292672</v>
      </c>
    </row>
    <row r="163" spans="1:9" ht="21" customHeight="1" x14ac:dyDescent="0.3">
      <c r="A163" s="1" t="s">
        <v>185</v>
      </c>
    </row>
    <row r="165" spans="1:9" x14ac:dyDescent="0.25">
      <c r="B165" s="15" t="s">
        <v>239</v>
      </c>
      <c r="C165" s="15" t="s">
        <v>240</v>
      </c>
      <c r="D165" s="15" t="s">
        <v>242</v>
      </c>
      <c r="E165" s="15" t="s">
        <v>1573</v>
      </c>
      <c r="F165" s="15" t="s">
        <v>1574</v>
      </c>
    </row>
    <row r="166" spans="1:9" x14ac:dyDescent="0.25">
      <c r="A166" s="4" t="s">
        <v>185</v>
      </c>
      <c r="B166" s="44">
        <f>Loads!B$338</f>
        <v>409236.45013398881</v>
      </c>
      <c r="C166" s="44">
        <f>Loads!C$338</f>
        <v>170972.2537973822</v>
      </c>
      <c r="D166" s="44">
        <f>Loads!E$338</f>
        <v>30195.010748389152</v>
      </c>
      <c r="E166" s="44">
        <f>Multi!B$132</f>
        <v>580208.70393137098</v>
      </c>
      <c r="F166" s="37">
        <f>IF(D166,E166/D166,"")</f>
        <v>19.215383255405001</v>
      </c>
      <c r="G166" s="17"/>
    </row>
    <row r="168" spans="1:9" ht="30" x14ac:dyDescent="0.25">
      <c r="B168" s="15" t="s">
        <v>1381</v>
      </c>
      <c r="C168" s="15" t="s">
        <v>1382</v>
      </c>
      <c r="D168" s="15" t="s">
        <v>1384</v>
      </c>
      <c r="E168" s="15" t="s">
        <v>1593</v>
      </c>
      <c r="F168" s="15" t="s">
        <v>1575</v>
      </c>
      <c r="G168" s="15" t="s">
        <v>1542</v>
      </c>
      <c r="H168" s="15" t="s">
        <v>1576</v>
      </c>
    </row>
    <row r="169" spans="1:9" x14ac:dyDescent="0.25">
      <c r="A169" s="4" t="s">
        <v>481</v>
      </c>
      <c r="B169" s="38">
        <f>Standing!$C$83</f>
        <v>0.28973332131242335</v>
      </c>
      <c r="C169" s="38">
        <f>Standing!$C$107</f>
        <v>1.3915744569823228E-2</v>
      </c>
      <c r="D169" s="48">
        <f>AggCap!$C$92</f>
        <v>0</v>
      </c>
      <c r="E169" s="37">
        <f t="shared" ref="E169:E191" si="9">IF(E$166&lt;&gt;0,(($B169*B$166+$C169*C$166))/E$166,0)</f>
        <v>0.20845713153262874</v>
      </c>
      <c r="F169" s="42">
        <f>0.01*Input!$F$60*(D169*$D$166)+10*(B169*$B$166+C169*$C$166)</f>
        <v>1209486.4211179784</v>
      </c>
      <c r="G169" s="37">
        <f t="shared" ref="G169:G191" si="10">IF($E$166&lt;&gt;0,0.1*F169/$E$166,"")</f>
        <v>0.20845713153262874</v>
      </c>
      <c r="H169" s="46">
        <f t="shared" ref="H169:H191" si="11">IF($D$166&lt;&gt;0,F169/$D$166,"")</f>
        <v>40.055836747218322</v>
      </c>
      <c r="I169" s="17"/>
    </row>
    <row r="170" spans="1:9" x14ac:dyDescent="0.25">
      <c r="A170" s="4" t="s">
        <v>482</v>
      </c>
      <c r="B170" s="38">
        <f>Standing!$D$83</f>
        <v>4.4684502464368697E-2</v>
      </c>
      <c r="C170" s="38">
        <f>Standing!$D$107</f>
        <v>2.1461740047955219E-3</v>
      </c>
      <c r="D170" s="48">
        <f>AggCap!$D$92</f>
        <v>0</v>
      </c>
      <c r="E170" s="37">
        <f t="shared" si="9"/>
        <v>3.2149575221417842E-2</v>
      </c>
      <c r="F170" s="42">
        <f>0.01*Input!$F$60*(D170*$D$166)+10*(B170*$B$166+C170*$C$166)</f>
        <v>186534.63371162966</v>
      </c>
      <c r="G170" s="37">
        <f t="shared" si="10"/>
        <v>3.2149575221417849E-2</v>
      </c>
      <c r="H170" s="46">
        <f t="shared" si="11"/>
        <v>6.1776640937801606</v>
      </c>
      <c r="I170" s="17"/>
    </row>
    <row r="171" spans="1:9" x14ac:dyDescent="0.25">
      <c r="A171" s="4" t="s">
        <v>483</v>
      </c>
      <c r="B171" s="38">
        <f>Standing!$E$83</f>
        <v>0.1007513728518955</v>
      </c>
      <c r="C171" s="38">
        <f>Standing!$E$107</f>
        <v>1.0922940619834978E-2</v>
      </c>
      <c r="D171" s="48">
        <f>AggCap!$E$92</f>
        <v>0</v>
      </c>
      <c r="E171" s="37">
        <f t="shared" si="9"/>
        <v>7.4281295085503685E-2</v>
      </c>
      <c r="F171" s="42">
        <f>0.01*Input!$F$60*(D171*$D$166)+10*(B171*$B$166+C171*$C$166)</f>
        <v>430986.5394790381</v>
      </c>
      <c r="G171" s="37">
        <f t="shared" si="10"/>
        <v>7.4281295085503685E-2</v>
      </c>
      <c r="H171" s="46">
        <f t="shared" si="11"/>
        <v>14.273435537757853</v>
      </c>
      <c r="I171" s="17"/>
    </row>
    <row r="172" spans="1:9" x14ac:dyDescent="0.25">
      <c r="A172" s="4" t="s">
        <v>484</v>
      </c>
      <c r="B172" s="38">
        <f>Standing!$F$83</f>
        <v>1.8998957713853234E-2</v>
      </c>
      <c r="C172" s="38">
        <f>Standing!$F$107</f>
        <v>2.0597683294324492E-3</v>
      </c>
      <c r="D172" s="48">
        <f>AggCap!$F$92</f>
        <v>0</v>
      </c>
      <c r="E172" s="37">
        <f t="shared" si="9"/>
        <v>1.400742386244504E-2</v>
      </c>
      <c r="F172" s="42">
        <f>0.01*Input!$F$60*(D172*$D$166)+10*(B172*$B$166+C172*$C$166)</f>
        <v>81272.292446465959</v>
      </c>
      <c r="G172" s="37">
        <f t="shared" si="10"/>
        <v>1.4007423862445042E-2</v>
      </c>
      <c r="H172" s="46">
        <f t="shared" si="11"/>
        <v>2.6915801793778691</v>
      </c>
      <c r="I172" s="17"/>
    </row>
    <row r="173" spans="1:9" x14ac:dyDescent="0.25">
      <c r="A173" s="4" t="s">
        <v>485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486</v>
      </c>
      <c r="B174" s="38">
        <f>Standing!$H$83</f>
        <v>7.3412210812730666E-2</v>
      </c>
      <c r="C174" s="38">
        <f>Standing!$H$107</f>
        <v>7.9589706500280029E-3</v>
      </c>
      <c r="D174" s="48">
        <f>AggCap!$H$92</f>
        <v>0</v>
      </c>
      <c r="E174" s="37">
        <f t="shared" si="9"/>
        <v>5.4124861427702689E-2</v>
      </c>
      <c r="F174" s="42">
        <f>0.01*Input!$F$60*(D174*$D$166)+10*(B174*$B$166+C174*$C$166)</f>
        <v>314037.15699432429</v>
      </c>
      <c r="G174" s="37">
        <f t="shared" si="10"/>
        <v>5.4124861427702689E-2</v>
      </c>
      <c r="H174" s="46">
        <f t="shared" si="11"/>
        <v>10.400299559789943</v>
      </c>
      <c r="I174" s="17"/>
    </row>
    <row r="175" spans="1:9" x14ac:dyDescent="0.25">
      <c r="A175" s="4" t="s">
        <v>487</v>
      </c>
      <c r="B175" s="38">
        <f>Standing!$I$83</f>
        <v>8.0462223144523587E-3</v>
      </c>
      <c r="C175" s="38">
        <f>Standing!$I$107</f>
        <v>8.7232963747253551E-4</v>
      </c>
      <c r="D175" s="48">
        <f>AggCap!$I$92</f>
        <v>0</v>
      </c>
      <c r="E175" s="37">
        <f t="shared" si="9"/>
        <v>5.9322647140699026E-3</v>
      </c>
      <c r="F175" s="42">
        <f>0.01*Input!$F$60*(D175*$D$166)+10*(B175*$B$166+C175*$C$166)</f>
        <v>34419.516211283037</v>
      </c>
      <c r="G175" s="37">
        <f t="shared" si="10"/>
        <v>5.9322647140699035E-3</v>
      </c>
      <c r="H175" s="46">
        <f t="shared" si="11"/>
        <v>1.1399074005336876</v>
      </c>
      <c r="I175" s="17"/>
    </row>
    <row r="176" spans="1:9" x14ac:dyDescent="0.25">
      <c r="A176" s="4" t="s">
        <v>488</v>
      </c>
      <c r="B176" s="38">
        <f>Standing!$J$83</f>
        <v>0</v>
      </c>
      <c r="C176" s="38">
        <f>Standing!$J$107</f>
        <v>0</v>
      </c>
      <c r="D176" s="48">
        <f>AggCap!$J$92</f>
        <v>0.19377034374633198</v>
      </c>
      <c r="E176" s="37">
        <f t="shared" si="9"/>
        <v>0</v>
      </c>
      <c r="F176" s="42">
        <f>0.01*Input!$F$60*(D176*$D$166)+10*(B176*$B$166+C176*$C$166)</f>
        <v>21414.28526043077</v>
      </c>
      <c r="G176" s="37">
        <f t="shared" si="10"/>
        <v>3.6907900752491509E-3</v>
      </c>
      <c r="H176" s="46">
        <f t="shared" si="11"/>
        <v>0.70919945811157503</v>
      </c>
      <c r="I176" s="17"/>
    </row>
    <row r="177" spans="1:9" x14ac:dyDescent="0.25">
      <c r="A177" s="4" t="s">
        <v>1577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1578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1579</v>
      </c>
      <c r="B179" s="38">
        <f>Standing!$K$83</f>
        <v>9.0836667849616137E-2</v>
      </c>
      <c r="C179" s="38">
        <f>Standing!$K$107</f>
        <v>0</v>
      </c>
      <c r="D179" s="48">
        <f>AggCap!$K$92</f>
        <v>0</v>
      </c>
      <c r="E179" s="37">
        <f t="shared" si="9"/>
        <v>6.4069489549012634E-2</v>
      </c>
      <c r="F179" s="42">
        <f>0.01*Input!$F$60*(D179*$D$166)+10*(B179*$B$166+C179*$C$166)</f>
        <v>371736.7549277714</v>
      </c>
      <c r="G179" s="37">
        <f t="shared" si="10"/>
        <v>6.4069489549012634E-2</v>
      </c>
      <c r="H179" s="46">
        <f t="shared" si="11"/>
        <v>12.311197966624432</v>
      </c>
      <c r="I179" s="17"/>
    </row>
    <row r="180" spans="1:9" x14ac:dyDescent="0.25">
      <c r="A180" s="4" t="s">
        <v>1580</v>
      </c>
      <c r="B180" s="38">
        <f>Standing!$L$83</f>
        <v>0.20229591626202989</v>
      </c>
      <c r="C180" s="38">
        <f>Standing!$L$107</f>
        <v>9.716170323347784E-3</v>
      </c>
      <c r="D180" s="48">
        <f>AggCap!$L$92</f>
        <v>0</v>
      </c>
      <c r="E180" s="37">
        <f t="shared" si="9"/>
        <v>0.14554772724699863</v>
      </c>
      <c r="F180" s="42">
        <f>0.01*Input!$F$60*(D180*$D$166)+10*(B180*$B$166+C180*$C$166)</f>
        <v>844480.58186137769</v>
      </c>
      <c r="G180" s="37">
        <f t="shared" si="10"/>
        <v>0.14554772724699863</v>
      </c>
      <c r="H180" s="46">
        <f t="shared" si="11"/>
        <v>27.967553610042319</v>
      </c>
      <c r="I180" s="17"/>
    </row>
    <row r="181" spans="1:9" x14ac:dyDescent="0.25">
      <c r="A181" s="4" t="s">
        <v>1581</v>
      </c>
      <c r="B181" s="38">
        <f>Standing!$M$83</f>
        <v>3.1199353694616957E-2</v>
      </c>
      <c r="C181" s="38">
        <f>Standing!$M$107</f>
        <v>1.4984891444008164E-3</v>
      </c>
      <c r="D181" s="48">
        <f>AggCap!$M$92</f>
        <v>0</v>
      </c>
      <c r="E181" s="37">
        <f t="shared" si="9"/>
        <v>2.2447289622717286E-2</v>
      </c>
      <c r="F181" s="42">
        <f>0.01*Input!$F$60*(D181*$D$166)+10*(B181*$B$166+C181*$C$166)</f>
        <v>130241.1281876891</v>
      </c>
      <c r="G181" s="37">
        <f t="shared" si="10"/>
        <v>2.2447289622717286E-2</v>
      </c>
      <c r="H181" s="46">
        <f t="shared" si="11"/>
        <v>4.3133327314558825</v>
      </c>
      <c r="I181" s="17"/>
    </row>
    <row r="182" spans="1:9" x14ac:dyDescent="0.25">
      <c r="A182" s="4" t="s">
        <v>1582</v>
      </c>
      <c r="B182" s="38">
        <f>Standing!$N$83</f>
        <v>7.0346038189214199E-2</v>
      </c>
      <c r="C182" s="38">
        <f>Standing!$N$107</f>
        <v>7.6265521375173412E-3</v>
      </c>
      <c r="D182" s="48">
        <f>AggCap!$N$92</f>
        <v>0</v>
      </c>
      <c r="E182" s="37">
        <f t="shared" si="9"/>
        <v>5.1864254281779966E-2</v>
      </c>
      <c r="F182" s="42">
        <f>0.01*Input!$F$60*(D182*$D$166)+10*(B182*$B$166+C182*$C$166)</f>
        <v>300920.91757198609</v>
      </c>
      <c r="G182" s="37">
        <f t="shared" si="10"/>
        <v>5.1864254281779966E-2</v>
      </c>
      <c r="H182" s="46">
        <f t="shared" si="11"/>
        <v>9.9659152328018195</v>
      </c>
      <c r="I182" s="17"/>
    </row>
    <row r="183" spans="1:9" x14ac:dyDescent="0.25">
      <c r="A183" s="4" t="s">
        <v>1583</v>
      </c>
      <c r="B183" s="38">
        <f>Standing!$O$83</f>
        <v>6.9817588796878854E-2</v>
      </c>
      <c r="C183" s="38">
        <f>Standing!$O$107</f>
        <v>7.5692603987580903E-3</v>
      </c>
      <c r="D183" s="48">
        <f>AggCap!$O$92</f>
        <v>0</v>
      </c>
      <c r="E183" s="37">
        <f t="shared" si="9"/>
        <v>5.1474642665196642E-2</v>
      </c>
      <c r="F183" s="42">
        <f>0.01*Input!$F$60*(D183*$D$166)+10*(B183*$B$166+C183*$C$166)</f>
        <v>298660.35706104193</v>
      </c>
      <c r="G183" s="37">
        <f t="shared" si="10"/>
        <v>5.1474642665196642E-2</v>
      </c>
      <c r="H183" s="46">
        <f t="shared" si="11"/>
        <v>9.8910498674677534</v>
      </c>
      <c r="I183" s="17"/>
    </row>
    <row r="184" spans="1:9" x14ac:dyDescent="0.25">
      <c r="A184" s="4" t="s">
        <v>1584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1585</v>
      </c>
      <c r="B185" s="38">
        <f>Standing!$Q$83</f>
        <v>0.26977603847477072</v>
      </c>
      <c r="C185" s="38">
        <f>Standing!$Q$107</f>
        <v>2.9247717083180146E-2</v>
      </c>
      <c r="D185" s="48">
        <f>AggCap!$Q$92</f>
        <v>0</v>
      </c>
      <c r="E185" s="37">
        <f t="shared" si="9"/>
        <v>0.19889866464053474</v>
      </c>
      <c r="F185" s="42">
        <f>0.01*Input!$F$60*(D185*$D$166)+10*(B185*$B$166+C185*$C$166)</f>
        <v>1154027.3642476506</v>
      </c>
      <c r="G185" s="37">
        <f t="shared" si="10"/>
        <v>0.19889866464053474</v>
      </c>
      <c r="H185" s="46">
        <f t="shared" si="11"/>
        <v>38.219140700561461</v>
      </c>
      <c r="I185" s="17"/>
    </row>
    <row r="186" spans="1:9" x14ac:dyDescent="0.25">
      <c r="A186" s="4" t="s">
        <v>1586</v>
      </c>
      <c r="B186" s="38">
        <f>Standing!$R$83</f>
        <v>0.11235973192016378</v>
      </c>
      <c r="C186" s="38">
        <f>Standing!$R$107</f>
        <v>1.2181458625170841E-2</v>
      </c>
      <c r="D186" s="48">
        <f>AggCap!$R$92</f>
        <v>0</v>
      </c>
      <c r="E186" s="37">
        <f t="shared" si="9"/>
        <v>8.2839828046400152E-2</v>
      </c>
      <c r="F186" s="42">
        <f>0.01*Input!$F$60*(D186*$D$166)+10*(B186*$B$166+C186*$C$166)</f>
        <v>480643.89264699473</v>
      </c>
      <c r="G186" s="37">
        <f t="shared" si="10"/>
        <v>8.2839828046400166E-2</v>
      </c>
      <c r="H186" s="46">
        <f t="shared" si="11"/>
        <v>15.917990447234274</v>
      </c>
      <c r="I186" s="17"/>
    </row>
    <row r="187" spans="1:9" x14ac:dyDescent="0.25">
      <c r="A187" s="4" t="s">
        <v>1587</v>
      </c>
      <c r="B187" s="38">
        <f>Standing!$S$83</f>
        <v>0</v>
      </c>
      <c r="C187" s="38">
        <f>Standing!$S$107</f>
        <v>0</v>
      </c>
      <c r="D187" s="48">
        <f>AggCap!$S$92</f>
        <v>2.7058640721758009</v>
      </c>
      <c r="E187" s="37">
        <f t="shared" si="9"/>
        <v>0</v>
      </c>
      <c r="F187" s="42">
        <f>0.01*Input!$F$60*(D187*$D$166)+10*(B187*$B$166+C187*$C$166)</f>
        <v>299035.15675948374</v>
      </c>
      <c r="G187" s="37">
        <f t="shared" si="10"/>
        <v>5.1539240058497061E-2</v>
      </c>
      <c r="H187" s="46">
        <f t="shared" si="11"/>
        <v>9.9034625041634303</v>
      </c>
      <c r="I187" s="17"/>
    </row>
    <row r="188" spans="1:9" x14ac:dyDescent="0.25">
      <c r="A188" s="4" t="s">
        <v>1588</v>
      </c>
      <c r="B188" s="10"/>
      <c r="C188" s="10"/>
      <c r="D188" s="48">
        <f>Otex!$B$125</f>
        <v>6.4794669092842296</v>
      </c>
      <c r="E188" s="37">
        <f t="shared" si="9"/>
        <v>0</v>
      </c>
      <c r="F188" s="42">
        <f>0.01*Input!$F$60*(D188*$D$166)+10*(B188*$B$166+C188*$C$166)</f>
        <v>716070.11706898909</v>
      </c>
      <c r="G188" s="37">
        <f t="shared" si="10"/>
        <v>0.12341595570991093</v>
      </c>
      <c r="H188" s="46">
        <f t="shared" si="11"/>
        <v>23.714848887980281</v>
      </c>
      <c r="I188" s="17"/>
    </row>
    <row r="189" spans="1:9" x14ac:dyDescent="0.25">
      <c r="A189" s="4" t="s">
        <v>1589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1590</v>
      </c>
      <c r="B190" s="38">
        <f>Adder!$B$269</f>
        <v>1.3195379706717336</v>
      </c>
      <c r="C190" s="38">
        <f>Adder!$C$269</f>
        <v>1.3195379706717336</v>
      </c>
      <c r="D190" s="10"/>
      <c r="E190" s="37">
        <f t="shared" si="9"/>
        <v>1.3195379706717336</v>
      </c>
      <c r="F190" s="42">
        <f>0.01*Input!$F$60*(D190*$D$166)+10*(B190*$B$166+C190*$C$166)</f>
        <v>7656074.1575167794</v>
      </c>
      <c r="G190" s="37">
        <f t="shared" si="10"/>
        <v>1.3195379706717336</v>
      </c>
      <c r="H190" s="46">
        <f t="shared" si="11"/>
        <v>253.55427826516726</v>
      </c>
      <c r="I190" s="17"/>
    </row>
    <row r="191" spans="1:9" x14ac:dyDescent="0.25">
      <c r="A191" s="4" t="s">
        <v>1591</v>
      </c>
      <c r="B191" s="38">
        <f>Adjust!$B$82</f>
        <v>2.0410667125192461E-4</v>
      </c>
      <c r="C191" s="38">
        <f>Adjust!$C$82</f>
        <v>-2.5354619549533552E-4</v>
      </c>
      <c r="D191" s="48">
        <f>Adjust!$E$82</f>
        <v>8.9867479363725522E-4</v>
      </c>
      <c r="E191" s="37">
        <f t="shared" si="9"/>
        <v>6.9248401194212263E-5</v>
      </c>
      <c r="F191" s="42">
        <f>0.01*Input!$F$60*(D191*$D$166)+10*(B191*$B$166+C191*$C$166)</f>
        <v>501.10116295678597</v>
      </c>
      <c r="G191" s="37">
        <f t="shared" si="10"/>
        <v>8.6365674896193541E-5</v>
      </c>
      <c r="H191" s="46">
        <f t="shared" si="11"/>
        <v>1.6595495432420695E-2</v>
      </c>
      <c r="I191" s="17"/>
    </row>
    <row r="193" spans="1:8" x14ac:dyDescent="0.25">
      <c r="A193" s="4" t="s">
        <v>1592</v>
      </c>
      <c r="B193" s="37">
        <f>SUM($B$169:$B$191)</f>
        <v>2.702</v>
      </c>
      <c r="C193" s="37">
        <f>SUM($C$169:$C$191)</f>
        <v>1.425</v>
      </c>
      <c r="D193" s="46">
        <f>SUM($D$169:$D$191)</f>
        <v>9.3800000000000008</v>
      </c>
      <c r="E193" s="37">
        <f>SUM(E$169:E$191)</f>
        <v>2.3257016669693358</v>
      </c>
      <c r="F193" s="42">
        <f>SUM($F$169:$F$191)</f>
        <v>14530542.37423387</v>
      </c>
      <c r="G193" s="37">
        <f>SUM($G$169:$G$191)</f>
        <v>2.5043647700866947</v>
      </c>
      <c r="H193" s="46">
        <f>SUM($H$169:$H$191)</f>
        <v>481.22328868550073</v>
      </c>
    </row>
    <row r="195" spans="1:8" ht="21" customHeight="1" x14ac:dyDescent="0.3">
      <c r="A195" s="1" t="s">
        <v>229</v>
      </c>
    </row>
    <row r="197" spans="1:8" x14ac:dyDescent="0.25">
      <c r="B197" s="15" t="s">
        <v>239</v>
      </c>
      <c r="C197" s="15" t="s">
        <v>1573</v>
      </c>
    </row>
    <row r="198" spans="1:8" ht="30" x14ac:dyDescent="0.25">
      <c r="A198" s="4" t="s">
        <v>229</v>
      </c>
      <c r="B198" s="44">
        <f>Loads!B$339</f>
        <v>18696.270931315648</v>
      </c>
      <c r="C198" s="44">
        <f>Multi!B$133</f>
        <v>18696.270931315648</v>
      </c>
      <c r="D198" s="17"/>
    </row>
    <row r="200" spans="1:8" x14ac:dyDescent="0.25">
      <c r="B200" s="15" t="s">
        <v>1381</v>
      </c>
      <c r="C200" s="15" t="s">
        <v>1575</v>
      </c>
      <c r="D200" s="15" t="s">
        <v>1542</v>
      </c>
    </row>
    <row r="201" spans="1:8" x14ac:dyDescent="0.25">
      <c r="A201" s="4" t="s">
        <v>481</v>
      </c>
      <c r="B201" s="38">
        <f>Standing!$C$84</f>
        <v>1.5912490937114734E-2</v>
      </c>
      <c r="C201" s="42">
        <f t="shared" ref="C201:C219" si="12">0+10*(B201*$B$198)</f>
        <v>2975.0424175240191</v>
      </c>
      <c r="D201" s="37">
        <f t="shared" ref="D201:D219" si="13">IF($C$198&lt;&gt;0,0.1*C201/$C$198,"")</f>
        <v>1.5912490937114734E-2</v>
      </c>
      <c r="E201" s="17"/>
    </row>
    <row r="202" spans="1:8" x14ac:dyDescent="0.25">
      <c r="A202" s="4" t="s">
        <v>482</v>
      </c>
      <c r="B202" s="38">
        <f>Standing!$D$84</f>
        <v>2.4541248389135812E-3</v>
      </c>
      <c r="C202" s="42">
        <f t="shared" si="12"/>
        <v>458.8298288759969</v>
      </c>
      <c r="D202" s="37">
        <f t="shared" si="13"/>
        <v>2.4541248389135816E-3</v>
      </c>
      <c r="E202" s="17"/>
    </row>
    <row r="203" spans="1:8" x14ac:dyDescent="0.25">
      <c r="A203" s="4" t="s">
        <v>483</v>
      </c>
      <c r="B203" s="38">
        <f>Standing!$E$84</f>
        <v>1.1383734919636413E-2</v>
      </c>
      <c r="C203" s="42">
        <f t="shared" si="12"/>
        <v>2128.3339226780113</v>
      </c>
      <c r="D203" s="37">
        <f t="shared" si="13"/>
        <v>1.1383734919636413E-2</v>
      </c>
      <c r="E203" s="17"/>
    </row>
    <row r="204" spans="1:8" x14ac:dyDescent="0.25">
      <c r="A204" s="4" t="s">
        <v>484</v>
      </c>
      <c r="B204" s="38">
        <f>Standing!$F$84</f>
        <v>2.1466615515186764E-3</v>
      </c>
      <c r="C204" s="42">
        <f t="shared" si="12"/>
        <v>401.34565965031578</v>
      </c>
      <c r="D204" s="37">
        <f t="shared" si="13"/>
        <v>2.1466615515186769E-3</v>
      </c>
      <c r="E204" s="17"/>
    </row>
    <row r="205" spans="1:8" x14ac:dyDescent="0.25">
      <c r="A205" s="4" t="s">
        <v>485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486</v>
      </c>
      <c r="B206" s="38">
        <f>Standing!$H$84</f>
        <v>8.2947271496248316E-3</v>
      </c>
      <c r="C206" s="42">
        <f t="shared" si="12"/>
        <v>1550.8046609072544</v>
      </c>
      <c r="D206" s="37">
        <f t="shared" si="13"/>
        <v>8.2947271496248316E-3</v>
      </c>
      <c r="E206" s="17"/>
    </row>
    <row r="207" spans="1:8" x14ac:dyDescent="0.25">
      <c r="A207" s="4" t="s">
        <v>487</v>
      </c>
      <c r="B207" s="38">
        <f>Standing!$I$84</f>
        <v>9.0912966582435773E-4</v>
      </c>
      <c r="C207" s="42">
        <f t="shared" si="12"/>
        <v>169.97334543948651</v>
      </c>
      <c r="D207" s="37">
        <f t="shared" si="13"/>
        <v>9.0912966582435784E-4</v>
      </c>
      <c r="E207" s="17"/>
    </row>
    <row r="208" spans="1:8" x14ac:dyDescent="0.25">
      <c r="A208" s="4" t="s">
        <v>488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1579</v>
      </c>
      <c r="B209" s="38">
        <f>Standing!$K$84</f>
        <v>1.6283111626838145E-3</v>
      </c>
      <c r="C209" s="42">
        <f t="shared" si="12"/>
        <v>304.43346658022188</v>
      </c>
      <c r="D209" s="37">
        <f t="shared" si="13"/>
        <v>1.6283111626838147E-3</v>
      </c>
      <c r="E209" s="17"/>
    </row>
    <row r="210" spans="1:5" x14ac:dyDescent="0.25">
      <c r="A210" s="4" t="s">
        <v>1580</v>
      </c>
      <c r="B210" s="38">
        <f>Standing!$L$84</f>
        <v>1.1110326970862098E-2</v>
      </c>
      <c r="C210" s="42">
        <f t="shared" si="12"/>
        <v>2077.216831827413</v>
      </c>
      <c r="D210" s="37">
        <f t="shared" si="13"/>
        <v>1.1110326970862099E-2</v>
      </c>
      <c r="E210" s="17"/>
    </row>
    <row r="211" spans="1:5" x14ac:dyDescent="0.25">
      <c r="A211" s="4" t="s">
        <v>1581</v>
      </c>
      <c r="B211" s="38">
        <f>Standing!$M$84</f>
        <v>1.7135047866106169E-3</v>
      </c>
      <c r="C211" s="42">
        <f t="shared" si="12"/>
        <v>320.36149732578303</v>
      </c>
      <c r="D211" s="37">
        <f t="shared" si="13"/>
        <v>1.7135047866106169E-3</v>
      </c>
      <c r="E211" s="17"/>
    </row>
    <row r="212" spans="1:5" x14ac:dyDescent="0.25">
      <c r="A212" s="4" t="s">
        <v>1582</v>
      </c>
      <c r="B212" s="38">
        <f>Standing!$N$84</f>
        <v>7.9482852563191476E-3</v>
      </c>
      <c r="C212" s="42">
        <f t="shared" si="12"/>
        <v>1486.0329459152442</v>
      </c>
      <c r="D212" s="37">
        <f t="shared" si="13"/>
        <v>7.9482852563191476E-3</v>
      </c>
      <c r="E212" s="17"/>
    </row>
    <row r="213" spans="1:5" x14ac:dyDescent="0.25">
      <c r="A213" s="4" t="s">
        <v>1583</v>
      </c>
      <c r="B213" s="38">
        <f>Standing!$O$84</f>
        <v>7.8885766128485354E-3</v>
      </c>
      <c r="C213" s="42">
        <f t="shared" si="12"/>
        <v>1474.8696561625652</v>
      </c>
      <c r="D213" s="37">
        <f t="shared" si="13"/>
        <v>7.8885766128485354E-3</v>
      </c>
      <c r="E213" s="17"/>
    </row>
    <row r="214" spans="1:5" x14ac:dyDescent="0.25">
      <c r="A214" s="4" t="s">
        <v>1584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1585</v>
      </c>
      <c r="B215" s="38">
        <f>Standing!$Q$84</f>
        <v>3.0481558937969805E-2</v>
      </c>
      <c r="C215" s="42">
        <f t="shared" si="12"/>
        <v>5698.9148431314961</v>
      </c>
      <c r="D215" s="37">
        <f t="shared" si="13"/>
        <v>3.0481558937969808E-2</v>
      </c>
      <c r="E215" s="17"/>
    </row>
    <row r="216" spans="1:5" x14ac:dyDescent="0.25">
      <c r="A216" s="4" t="s">
        <v>1586</v>
      </c>
      <c r="B216" s="38">
        <f>Standing!$R$84</f>
        <v>1.2695344664938636E-2</v>
      </c>
      <c r="C216" s="42">
        <f t="shared" si="12"/>
        <v>2373.5560342212543</v>
      </c>
      <c r="D216" s="37">
        <f t="shared" si="13"/>
        <v>1.2695344664938638E-2</v>
      </c>
      <c r="E216" s="17"/>
    </row>
    <row r="217" spans="1:5" x14ac:dyDescent="0.25">
      <c r="A217" s="4" t="s">
        <v>1587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1590</v>
      </c>
      <c r="B218" s="38">
        <f>Adder!$B$270</f>
        <v>1.3195379706717336</v>
      </c>
      <c r="C218" s="42">
        <f t="shared" si="12"/>
        <v>246704.39403837171</v>
      </c>
      <c r="D218" s="37">
        <f t="shared" si="13"/>
        <v>1.3195379706717336</v>
      </c>
      <c r="E218" s="17"/>
    </row>
    <row r="219" spans="1:5" x14ac:dyDescent="0.25">
      <c r="A219" s="4" t="s">
        <v>1591</v>
      </c>
      <c r="B219" s="38">
        <f>Adjust!$B$83</f>
        <v>-1.047481265989969E-4</v>
      </c>
      <c r="C219" s="42">
        <f t="shared" si="12"/>
        <v>-19.583993544425972</v>
      </c>
      <c r="D219" s="37">
        <f t="shared" si="13"/>
        <v>-1.047481265989969E-4</v>
      </c>
      <c r="E219" s="17"/>
    </row>
    <row r="221" spans="1:5" x14ac:dyDescent="0.25">
      <c r="A221" s="4" t="s">
        <v>1592</v>
      </c>
      <c r="B221" s="37">
        <f>SUM($B$201:$B$219)</f>
        <v>1.4339999999999999</v>
      </c>
      <c r="C221" s="42">
        <f>SUM($C$201:$C$219)</f>
        <v>268104.52515506634</v>
      </c>
      <c r="D221" s="37">
        <f>SUM($D$201:$D$219)</f>
        <v>1.4339999999999999</v>
      </c>
    </row>
    <row r="223" spans="1:5" ht="21" customHeight="1" x14ac:dyDescent="0.3">
      <c r="A223" s="1" t="s">
        <v>186</v>
      </c>
    </row>
    <row r="225" spans="1:9" x14ac:dyDescent="0.25">
      <c r="B225" s="15" t="s">
        <v>239</v>
      </c>
      <c r="C225" s="15" t="s">
        <v>240</v>
      </c>
      <c r="D225" s="15" t="s">
        <v>242</v>
      </c>
      <c r="E225" s="15" t="s">
        <v>1573</v>
      </c>
      <c r="F225" s="15" t="s">
        <v>1574</v>
      </c>
    </row>
    <row r="226" spans="1:9" x14ac:dyDescent="0.25">
      <c r="A226" s="4" t="s">
        <v>186</v>
      </c>
      <c r="B226" s="44">
        <f>Loads!B$340</f>
        <v>61016.900719428624</v>
      </c>
      <c r="C226" s="44">
        <f>Loads!C$340</f>
        <v>15363.298917763981</v>
      </c>
      <c r="D226" s="44">
        <f>Loads!E$340</f>
        <v>1833.471677508197</v>
      </c>
      <c r="E226" s="44">
        <f>Multi!B$134</f>
        <v>76380.199637192607</v>
      </c>
      <c r="F226" s="37">
        <f>IF(D226,E226/D226,"")</f>
        <v>41.658783483908564</v>
      </c>
      <c r="G226" s="17"/>
    </row>
    <row r="228" spans="1:9" ht="30" x14ac:dyDescent="0.25">
      <c r="B228" s="15" t="s">
        <v>1381</v>
      </c>
      <c r="C228" s="15" t="s">
        <v>1382</v>
      </c>
      <c r="D228" s="15" t="s">
        <v>1384</v>
      </c>
      <c r="E228" s="15" t="s">
        <v>1593</v>
      </c>
      <c r="F228" s="15" t="s">
        <v>1575</v>
      </c>
      <c r="G228" s="15" t="s">
        <v>1542</v>
      </c>
      <c r="H228" s="15" t="s">
        <v>1576</v>
      </c>
    </row>
    <row r="229" spans="1:9" x14ac:dyDescent="0.25">
      <c r="A229" s="4" t="s">
        <v>481</v>
      </c>
      <c r="B229" s="38">
        <f>Standing!$C$85</f>
        <v>0.26169945395769456</v>
      </c>
      <c r="C229" s="38">
        <f>Standing!$C$108</f>
        <v>1.179848258184844E-2</v>
      </c>
      <c r="D229" s="48">
        <f>AggCap!$C$93</f>
        <v>0</v>
      </c>
      <c r="E229" s="37">
        <f t="shared" ref="E229:E251" si="14">IF(E$226&lt;&gt;0,(($B229*B$226+$C229*C$226))/E$226,0)</f>
        <v>0.21143376545041823</v>
      </c>
      <c r="F229" s="42">
        <f>0.01*Input!$F$60*(D229*$D$226)+10*(B229*$B$226+C229*$C$226)</f>
        <v>161493.532151463</v>
      </c>
      <c r="G229" s="37">
        <f t="shared" ref="G229:G251" si="15">IF($E$226&lt;&gt;0,0.1*F229/$E$226,"")</f>
        <v>0.21143376545041823</v>
      </c>
      <c r="H229" s="46">
        <f t="shared" ref="H229:H251" si="16">IF($D$226&lt;&gt;0,F229/$D$226,"")</f>
        <v>88.080734560864798</v>
      </c>
      <c r="I229" s="17"/>
    </row>
    <row r="230" spans="1:9" x14ac:dyDescent="0.25">
      <c r="A230" s="4" t="s">
        <v>482</v>
      </c>
      <c r="B230" s="38">
        <f>Standing!$D$85</f>
        <v>4.0360942408439252E-2</v>
      </c>
      <c r="C230" s="38">
        <f>Standing!$D$108</f>
        <v>1.8196364906055136E-3</v>
      </c>
      <c r="D230" s="48">
        <f>AggCap!$D$93</f>
        <v>0</v>
      </c>
      <c r="E230" s="37">
        <f t="shared" si="14"/>
        <v>3.2608650501515013E-2</v>
      </c>
      <c r="F230" s="42">
        <f>0.01*Input!$F$60*(D230*$D$226)+10*(B230*$B$226+C230*$C$226)</f>
        <v>24906.552352051578</v>
      </c>
      <c r="G230" s="37">
        <f t="shared" si="15"/>
        <v>3.260865050151502E-2</v>
      </c>
      <c r="H230" s="46">
        <f t="shared" si="16"/>
        <v>13.584367109450605</v>
      </c>
      <c r="I230" s="17"/>
    </row>
    <row r="231" spans="1:9" x14ac:dyDescent="0.25">
      <c r="A231" s="4" t="s">
        <v>483</v>
      </c>
      <c r="B231" s="38">
        <f>Standing!$E$85</f>
        <v>9.0568423187629463E-2</v>
      </c>
      <c r="C231" s="38">
        <f>Standing!$E$108</f>
        <v>8.7025608238194118E-3</v>
      </c>
      <c r="D231" s="48">
        <f>AggCap!$E$93</f>
        <v>0</v>
      </c>
      <c r="E231" s="37">
        <f t="shared" si="14"/>
        <v>7.4101724741828343E-2</v>
      </c>
      <c r="F231" s="42">
        <f>0.01*Input!$F$60*(D231*$D$226)+10*(B231*$B$226+C231*$C$226)</f>
        <v>56599.045292411436</v>
      </c>
      <c r="G231" s="37">
        <f t="shared" si="15"/>
        <v>7.4101724741828343E-2</v>
      </c>
      <c r="H231" s="46">
        <f t="shared" si="16"/>
        <v>30.869877068040172</v>
      </c>
      <c r="I231" s="17"/>
    </row>
    <row r="232" spans="1:9" x14ac:dyDescent="0.25">
      <c r="A232" s="4" t="s">
        <v>484</v>
      </c>
      <c r="B232" s="38">
        <f>Standing!$F$85</f>
        <v>1.7078731471794176E-2</v>
      </c>
      <c r="C232" s="38">
        <f>Standing!$F$108</f>
        <v>1.6410653315566224E-3</v>
      </c>
      <c r="D232" s="48">
        <f>AggCap!$F$93</f>
        <v>0</v>
      </c>
      <c r="E232" s="37">
        <f t="shared" si="14"/>
        <v>1.3973561799134355E-2</v>
      </c>
      <c r="F232" s="42">
        <f>0.01*Input!$F$60*(D232*$D$226)+10*(B232*$B$226+C232*$C$226)</f>
        <v>10673.034398605303</v>
      </c>
      <c r="G232" s="37">
        <f t="shared" si="15"/>
        <v>1.3973561799134355E-2</v>
      </c>
      <c r="H232" s="46">
        <f t="shared" si="16"/>
        <v>5.8212158548915394</v>
      </c>
      <c r="I232" s="17"/>
    </row>
    <row r="233" spans="1:9" x14ac:dyDescent="0.25">
      <c r="A233" s="4" t="s">
        <v>485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486</v>
      </c>
      <c r="B234" s="38">
        <f>Standing!$H$85</f>
        <v>6.5992432537873555E-2</v>
      </c>
      <c r="C234" s="38">
        <f>Standing!$H$108</f>
        <v>6.3410970165933781E-3</v>
      </c>
      <c r="D234" s="48">
        <f>AggCap!$H$93</f>
        <v>0</v>
      </c>
      <c r="E234" s="37">
        <f t="shared" si="14"/>
        <v>5.3994017990512157E-2</v>
      </c>
      <c r="F234" s="42">
        <f>0.01*Input!$F$60*(D234*$D$226)+10*(B234*$B$226+C234*$C$226)</f>
        <v>41240.738733294871</v>
      </c>
      <c r="G234" s="37">
        <f t="shared" si="15"/>
        <v>5.3994017990512157E-2</v>
      </c>
      <c r="H234" s="46">
        <f t="shared" si="16"/>
        <v>22.493251048930095</v>
      </c>
      <c r="I234" s="17"/>
    </row>
    <row r="235" spans="1:9" x14ac:dyDescent="0.25">
      <c r="A235" s="4" t="s">
        <v>487</v>
      </c>
      <c r="B235" s="38">
        <f>Standing!$I$85</f>
        <v>7.2329899534799092E-3</v>
      </c>
      <c r="C235" s="38">
        <f>Standing!$I$108</f>
        <v>6.9500530971848941E-4</v>
      </c>
      <c r="D235" s="48">
        <f>AggCap!$I$93</f>
        <v>0</v>
      </c>
      <c r="E235" s="37">
        <f t="shared" si="14"/>
        <v>5.9179238384530685E-3</v>
      </c>
      <c r="F235" s="42">
        <f>0.01*Input!$F$60*(D235*$D$226)+10*(B235*$B$226+C235*$C$226)</f>
        <v>4520.1220421874659</v>
      </c>
      <c r="G235" s="37">
        <f t="shared" si="15"/>
        <v>5.9179238384530694E-3</v>
      </c>
      <c r="H235" s="46">
        <f t="shared" si="16"/>
        <v>2.4653350786037751</v>
      </c>
      <c r="I235" s="17"/>
    </row>
    <row r="236" spans="1:9" x14ac:dyDescent="0.25">
      <c r="A236" s="4" t="s">
        <v>488</v>
      </c>
      <c r="B236" s="38">
        <f>Standing!$J$85</f>
        <v>0</v>
      </c>
      <c r="C236" s="38">
        <f>Standing!$J$108</f>
        <v>0</v>
      </c>
      <c r="D236" s="48">
        <f>AggCap!$J$93</f>
        <v>1.0673640665739224</v>
      </c>
      <c r="E236" s="37">
        <f t="shared" si="14"/>
        <v>0</v>
      </c>
      <c r="F236" s="42">
        <f>0.01*Input!$F$60*(D236*$D$226)+10*(B236*$B$226+C236*$C$226)</f>
        <v>7162.553335490933</v>
      </c>
      <c r="G236" s="37">
        <f t="shared" si="15"/>
        <v>9.3775001499252393E-3</v>
      </c>
      <c r="H236" s="46">
        <f t="shared" si="16"/>
        <v>3.9065524836605561</v>
      </c>
      <c r="I236" s="17"/>
    </row>
    <row r="237" spans="1:9" x14ac:dyDescent="0.25">
      <c r="A237" s="4" t="s">
        <v>1577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1578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1579</v>
      </c>
      <c r="B239" s="38">
        <f>Standing!$K$85</f>
        <v>8.2183314217517303E-2</v>
      </c>
      <c r="C239" s="38">
        <f>Standing!$K$108</f>
        <v>0</v>
      </c>
      <c r="D239" s="48">
        <f>AggCap!$K$93</f>
        <v>0</v>
      </c>
      <c r="E239" s="37">
        <f t="shared" si="14"/>
        <v>6.5652762734624517E-2</v>
      </c>
      <c r="F239" s="42">
        <f>0.01*Input!$F$60*(D239*$D$226)+10*(B239*$B$226+C239*$C$226)</f>
        <v>50145.711244038604</v>
      </c>
      <c r="G239" s="37">
        <f t="shared" si="15"/>
        <v>6.5652762734624531E-2</v>
      </c>
      <c r="H239" s="46">
        <f t="shared" si="16"/>
        <v>27.350142278821437</v>
      </c>
      <c r="I239" s="17"/>
    </row>
    <row r="240" spans="1:9" x14ac:dyDescent="0.25">
      <c r="A240" s="4" t="s">
        <v>1580</v>
      </c>
      <c r="B240" s="38">
        <f>Standing!$L$85</f>
        <v>0.1827222722738128</v>
      </c>
      <c r="C240" s="38">
        <f>Standing!$L$108</f>
        <v>8.2378679593533097E-3</v>
      </c>
      <c r="D240" s="48">
        <f>AggCap!$L$93</f>
        <v>0</v>
      </c>
      <c r="E240" s="37">
        <f t="shared" si="14"/>
        <v>0.14762605528689479</v>
      </c>
      <c r="F240" s="42">
        <f>0.01*Input!$F$60*(D240*$D$226)+10*(B240*$B$226+C240*$C$226)</f>
        <v>112757.07574464257</v>
      </c>
      <c r="G240" s="37">
        <f t="shared" si="15"/>
        <v>0.14762605528689479</v>
      </c>
      <c r="H240" s="46">
        <f t="shared" si="16"/>
        <v>61.49921873780265</v>
      </c>
      <c r="I240" s="17"/>
    </row>
    <row r="241" spans="1:9" x14ac:dyDescent="0.25">
      <c r="A241" s="4" t="s">
        <v>1581</v>
      </c>
      <c r="B241" s="38">
        <f>Standing!$M$85</f>
        <v>2.818058271216228E-2</v>
      </c>
      <c r="C241" s="38">
        <f>Standing!$M$108</f>
        <v>1.2704960184194147E-3</v>
      </c>
      <c r="D241" s="48">
        <f>AggCap!$M$93</f>
        <v>0</v>
      </c>
      <c r="E241" s="37">
        <f t="shared" si="14"/>
        <v>2.2767822497568653E-2</v>
      </c>
      <c r="F241" s="42">
        <f>0.01*Input!$F$60*(D241*$D$226)+10*(B241*$B$226+C241*$C$226)</f>
        <v>17390.10827668459</v>
      </c>
      <c r="G241" s="37">
        <f t="shared" si="15"/>
        <v>2.2767822497568656E-2</v>
      </c>
      <c r="H241" s="46">
        <f t="shared" si="16"/>
        <v>9.48479787826275</v>
      </c>
      <c r="I241" s="17"/>
    </row>
    <row r="242" spans="1:9" x14ac:dyDescent="0.25">
      <c r="A242" s="4" t="s">
        <v>1582</v>
      </c>
      <c r="B242" s="38">
        <f>Standing!$N$85</f>
        <v>6.3236158237361742E-2</v>
      </c>
      <c r="C242" s="38">
        <f>Standing!$N$108</f>
        <v>6.0762514567050101E-3</v>
      </c>
      <c r="D242" s="48">
        <f>AggCap!$N$93</f>
        <v>0</v>
      </c>
      <c r="E242" s="37">
        <f t="shared" si="14"/>
        <v>5.1738875719719038E-2</v>
      </c>
      <c r="F242" s="42">
        <f>0.01*Input!$F$60*(D242*$D$226)+10*(B242*$B$226+C242*$C$226)</f>
        <v>39518.256564760377</v>
      </c>
      <c r="G242" s="37">
        <f t="shared" si="15"/>
        <v>5.1738875719719038E-2</v>
      </c>
      <c r="H242" s="46">
        <f t="shared" si="16"/>
        <v>21.553786213086294</v>
      </c>
      <c r="I242" s="17"/>
    </row>
    <row r="243" spans="1:9" x14ac:dyDescent="0.25">
      <c r="A243" s="4" t="s">
        <v>1583</v>
      </c>
      <c r="B243" s="38">
        <f>Standing!$O$85</f>
        <v>6.2761119269221538E-2</v>
      </c>
      <c r="C243" s="38">
        <f>Standing!$O$108</f>
        <v>6.0306057960164061E-3</v>
      </c>
      <c r="D243" s="48">
        <f>AggCap!$O$93</f>
        <v>0</v>
      </c>
      <c r="E243" s="37">
        <f t="shared" si="14"/>
        <v>5.1350205964634077E-2</v>
      </c>
      <c r="F243" s="42">
        <f>0.01*Input!$F$60*(D243*$D$226)+10*(B243*$B$226+C243*$C$226)</f>
        <v>39221.389829897096</v>
      </c>
      <c r="G243" s="37">
        <f t="shared" si="15"/>
        <v>5.1350205964634084E-2</v>
      </c>
      <c r="H243" s="46">
        <f t="shared" si="16"/>
        <v>21.391871121348014</v>
      </c>
      <c r="I243" s="17"/>
    </row>
    <row r="244" spans="1:9" x14ac:dyDescent="0.25">
      <c r="A244" s="4" t="s">
        <v>1584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1585</v>
      </c>
      <c r="B245" s="38">
        <f>Standing!$Q$85</f>
        <v>0.24250975174682757</v>
      </c>
      <c r="C245" s="38">
        <f>Standing!$Q$108</f>
        <v>2.330233640673977E-2</v>
      </c>
      <c r="D245" s="48">
        <f>AggCap!$Q$93</f>
        <v>0</v>
      </c>
      <c r="E245" s="37">
        <f t="shared" si="14"/>
        <v>0.19841783966939019</v>
      </c>
      <c r="F245" s="42">
        <f>0.01*Input!$F$60*(D245*$D$226)+10*(B245*$B$226+C245*$C$226)</f>
        <v>151551.94205528498</v>
      </c>
      <c r="G245" s="37">
        <f t="shared" si="15"/>
        <v>0.19841783966939019</v>
      </c>
      <c r="H245" s="46">
        <f t="shared" si="16"/>
        <v>82.658458221320103</v>
      </c>
      <c r="I245" s="17"/>
    </row>
    <row r="246" spans="1:9" x14ac:dyDescent="0.25">
      <c r="A246" s="4" t="s">
        <v>1586</v>
      </c>
      <c r="B246" s="38">
        <f>Standing!$R$85</f>
        <v>0.10100352443587117</v>
      </c>
      <c r="C246" s="38">
        <f>Standing!$R$108</f>
        <v>9.7052513876973202E-3</v>
      </c>
      <c r="D246" s="48">
        <f>AggCap!$R$93</f>
        <v>0</v>
      </c>
      <c r="E246" s="37">
        <f t="shared" si="14"/>
        <v>8.2639567989340398E-2</v>
      </c>
      <c r="F246" s="42">
        <f>0.01*Input!$F$60*(D246*$D$226)+10*(B246*$B$226+C246*$C$226)</f>
        <v>63120.267009571719</v>
      </c>
      <c r="G246" s="37">
        <f t="shared" si="15"/>
        <v>8.2639567989340412E-2</v>
      </c>
      <c r="H246" s="46">
        <f t="shared" si="16"/>
        <v>34.42663870071673</v>
      </c>
      <c r="I246" s="17"/>
    </row>
    <row r="247" spans="1:9" x14ac:dyDescent="0.25">
      <c r="A247" s="4" t="s">
        <v>1587</v>
      </c>
      <c r="B247" s="38">
        <f>Standing!$S$85</f>
        <v>0</v>
      </c>
      <c r="C247" s="38">
        <f>Standing!$S$108</f>
        <v>0</v>
      </c>
      <c r="D247" s="48">
        <f>AggCap!$S$93</f>
        <v>14.904974743992568</v>
      </c>
      <c r="E247" s="37">
        <f t="shared" si="14"/>
        <v>0</v>
      </c>
      <c r="F247" s="42">
        <f>0.01*Input!$F$60*(D247*$D$226)+10*(B247*$B$226+C247*$C$226)</f>
        <v>100019.92751233243</v>
      </c>
      <c r="G247" s="37">
        <f t="shared" si="15"/>
        <v>0.13095007343189594</v>
      </c>
      <c r="H247" s="46">
        <f t="shared" si="16"/>
        <v>54.5522075630128</v>
      </c>
      <c r="I247" s="17"/>
    </row>
    <row r="248" spans="1:9" x14ac:dyDescent="0.25">
      <c r="A248" s="4" t="s">
        <v>1588</v>
      </c>
      <c r="B248" s="10"/>
      <c r="C248" s="10"/>
      <c r="D248" s="48">
        <f>Otex!$B$127</f>
        <v>7.4940396535042888</v>
      </c>
      <c r="E248" s="37">
        <f t="shared" si="14"/>
        <v>0</v>
      </c>
      <c r="F248" s="42">
        <f>0.01*Input!$F$60*(D248*$D$226)+10*(B248*$B$226+C248*$C$226)</f>
        <v>50288.80060465385</v>
      </c>
      <c r="G248" s="37">
        <f t="shared" si="15"/>
        <v>6.5840101025562398E-2</v>
      </c>
      <c r="H248" s="46">
        <f t="shared" si="16"/>
        <v>27.4281851318257</v>
      </c>
      <c r="I248" s="17"/>
    </row>
    <row r="249" spans="1:9" x14ac:dyDescent="0.25">
      <c r="A249" s="4" t="s">
        <v>1589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1590</v>
      </c>
      <c r="B250" s="38">
        <f>Adder!$B$271</f>
        <v>1.3195379706717336</v>
      </c>
      <c r="C250" s="38">
        <f>Adder!$C$271</f>
        <v>1.3195379706717336</v>
      </c>
      <c r="D250" s="10"/>
      <c r="E250" s="37">
        <f t="shared" si="14"/>
        <v>1.3195379706717338</v>
      </c>
      <c r="F250" s="42">
        <f>0.01*Input!$F$60*(D250*$D$226)+10*(B250*$B$226+C250*$C$226)</f>
        <v>1007865.7362876303</v>
      </c>
      <c r="G250" s="37">
        <f t="shared" si="15"/>
        <v>1.3195379706717338</v>
      </c>
      <c r="H250" s="46">
        <f t="shared" si="16"/>
        <v>549.70346619009842</v>
      </c>
      <c r="I250" s="17"/>
    </row>
    <row r="251" spans="1:9" x14ac:dyDescent="0.25">
      <c r="A251" s="4" t="s">
        <v>1591</v>
      </c>
      <c r="B251" s="38">
        <f>Adjust!$B$84</f>
        <v>-6.7667081419031661E-5</v>
      </c>
      <c r="C251" s="38">
        <f>Adjust!$C$84</f>
        <v>-1.5862725080673101E-4</v>
      </c>
      <c r="D251" s="48">
        <f>Adjust!$E$84</f>
        <v>3.6215359292199878E-3</v>
      </c>
      <c r="E251" s="37">
        <f t="shared" si="14"/>
        <v>-8.5963030873884819E-5</v>
      </c>
      <c r="F251" s="42">
        <f>0.01*Input!$F$60*(D251*$D$226)+10*(B251*$B$226+C251*$C$226)</f>
        <v>-41.356394783245122</v>
      </c>
      <c r="G251" s="37">
        <f t="shared" si="15"/>
        <v>-5.4145439498310796E-5</v>
      </c>
      <c r="H251" s="46">
        <f t="shared" si="16"/>
        <v>-2.2556331407011999E-2</v>
      </c>
      <c r="I251" s="17"/>
    </row>
    <row r="253" spans="1:9" x14ac:dyDescent="0.25">
      <c r="A253" s="4" t="s">
        <v>1592</v>
      </c>
      <c r="B253" s="37">
        <f>SUM($B$229:$B$251)</f>
        <v>2.5649999999999999</v>
      </c>
      <c r="C253" s="37">
        <f>SUM($C$229:$C$251)</f>
        <v>1.405</v>
      </c>
      <c r="D253" s="46">
        <f>SUM($D$229:$D$251)</f>
        <v>23.47</v>
      </c>
      <c r="E253" s="37">
        <f>SUM(E$229:E$251)</f>
        <v>2.3316747818248924</v>
      </c>
      <c r="F253" s="42">
        <f>SUM($F$229:$F$251)</f>
        <v>1938433.4370402179</v>
      </c>
      <c r="G253" s="37">
        <f>SUM($G$229:$G$251)</f>
        <v>2.5378742740236522</v>
      </c>
      <c r="H253" s="46">
        <f>SUM($H$229:$H$251)</f>
        <v>1057.2475489093295</v>
      </c>
    </row>
    <row r="255" spans="1:9" ht="21" customHeight="1" x14ac:dyDescent="0.3">
      <c r="A255" s="1" t="s">
        <v>187</v>
      </c>
    </row>
    <row r="257" spans="1:9" x14ac:dyDescent="0.25">
      <c r="B257" s="15" t="s">
        <v>239</v>
      </c>
      <c r="C257" s="15" t="s">
        <v>240</v>
      </c>
      <c r="D257" s="15" t="s">
        <v>242</v>
      </c>
      <c r="E257" s="15" t="s">
        <v>1573</v>
      </c>
      <c r="F257" s="15" t="s">
        <v>1574</v>
      </c>
    </row>
    <row r="258" spans="1:9" x14ac:dyDescent="0.25">
      <c r="A258" s="4" t="s">
        <v>187</v>
      </c>
      <c r="B258" s="44">
        <f>Loads!B$341</f>
        <v>11011.490224251203</v>
      </c>
      <c r="C258" s="44">
        <f>Loads!C$341</f>
        <v>2877.3369030231497</v>
      </c>
      <c r="D258" s="44">
        <f>Loads!E$341</f>
        <v>151.42512767842624</v>
      </c>
      <c r="E258" s="44">
        <f>Multi!B$135</f>
        <v>13888.827127274353</v>
      </c>
      <c r="F258" s="37">
        <f>IF(D258,E258/D258,"")</f>
        <v>91.720755598564466</v>
      </c>
      <c r="G258" s="17"/>
    </row>
    <row r="260" spans="1:9" ht="30" x14ac:dyDescent="0.25">
      <c r="B260" s="15" t="s">
        <v>1381</v>
      </c>
      <c r="C260" s="15" t="s">
        <v>1382</v>
      </c>
      <c r="D260" s="15" t="s">
        <v>1384</v>
      </c>
      <c r="E260" s="15" t="s">
        <v>1593</v>
      </c>
      <c r="F260" s="15" t="s">
        <v>1575</v>
      </c>
      <c r="G260" s="15" t="s">
        <v>1542</v>
      </c>
      <c r="H260" s="15" t="s">
        <v>1576</v>
      </c>
    </row>
    <row r="261" spans="1:9" x14ac:dyDescent="0.25">
      <c r="A261" s="4" t="s">
        <v>481</v>
      </c>
      <c r="B261" s="38">
        <f>Standing!$C$86</f>
        <v>0.25171409984599269</v>
      </c>
      <c r="C261" s="38">
        <f>Standing!$C$109</f>
        <v>1.1428358491838299E-2</v>
      </c>
      <c r="D261" s="48">
        <f>AggCap!$C$94</f>
        <v>0</v>
      </c>
      <c r="E261" s="37">
        <f t="shared" ref="E261:E283" si="17">IF(E$258&lt;&gt;0,(($B261*B$258+$C261*C$258))/E$258,0)</f>
        <v>0.2019343002608375</v>
      </c>
      <c r="F261" s="42">
        <f>0.01*Input!$F$60*(D261*$D$258)+10*(B261*$B$258+C261*$C$258)</f>
        <v>28046.305873898847</v>
      </c>
      <c r="G261" s="37">
        <f t="shared" ref="G261:G283" si="18">IF($E$258&lt;&gt;0,0.1*F261/$E$258,"")</f>
        <v>0.20193430026083756</v>
      </c>
      <c r="H261" s="46">
        <f t="shared" ref="H261:H283" si="19">IF($D$258&lt;&gt;0,F261/$D$258,"")</f>
        <v>185.21566601191412</v>
      </c>
      <c r="I261" s="17"/>
    </row>
    <row r="262" spans="1:9" x14ac:dyDescent="0.25">
      <c r="A262" s="4" t="s">
        <v>482</v>
      </c>
      <c r="B262" s="38">
        <f>Standing!$D$86</f>
        <v>3.882093804031618E-2</v>
      </c>
      <c r="C262" s="38">
        <f>Standing!$D$109</f>
        <v>1.7625536161288622E-3</v>
      </c>
      <c r="D262" s="48">
        <f>AggCap!$D$94</f>
        <v>0</v>
      </c>
      <c r="E262" s="37">
        <f t="shared" si="17"/>
        <v>3.1143582991325934E-2</v>
      </c>
      <c r="F262" s="42">
        <f>0.01*Input!$F$60*(D262*$D$258)+10*(B262*$B$258+C262*$C$258)</f>
        <v>4325.4784029044777</v>
      </c>
      <c r="G262" s="37">
        <f t="shared" si="18"/>
        <v>3.1143582991325934E-2</v>
      </c>
      <c r="H262" s="46">
        <f t="shared" si="19"/>
        <v>28.565129640110154</v>
      </c>
      <c r="I262" s="17"/>
    </row>
    <row r="263" spans="1:9" x14ac:dyDescent="0.25">
      <c r="A263" s="4" t="s">
        <v>483</v>
      </c>
      <c r="B263" s="38">
        <f>Standing!$E$86</f>
        <v>8.7244326964689978E-2</v>
      </c>
      <c r="C263" s="38">
        <f>Standing!$E$109</f>
        <v>8.42955729278657E-3</v>
      </c>
      <c r="D263" s="48">
        <f>AggCap!$E$94</f>
        <v>0</v>
      </c>
      <c r="E263" s="37">
        <f t="shared" si="17"/>
        <v>7.091633589661038E-2</v>
      </c>
      <c r="F263" s="42">
        <f>0.01*Input!$F$60*(D263*$D$258)+10*(B263*$B$258+C263*$C$258)</f>
        <v>9849.4472976774214</v>
      </c>
      <c r="G263" s="37">
        <f t="shared" si="18"/>
        <v>7.091633589661038E-2</v>
      </c>
      <c r="H263" s="46">
        <f t="shared" si="19"/>
        <v>65.04499912718704</v>
      </c>
      <c r="I263" s="17"/>
    </row>
    <row r="264" spans="1:9" x14ac:dyDescent="0.25">
      <c r="A264" s="4" t="s">
        <v>484</v>
      </c>
      <c r="B264" s="38">
        <f>Standing!$F$86</f>
        <v>1.645189769485653E-2</v>
      </c>
      <c r="C264" s="38">
        <f>Standing!$F$109</f>
        <v>1.5895843204794819E-3</v>
      </c>
      <c r="D264" s="48">
        <f>AggCap!$F$94</f>
        <v>0</v>
      </c>
      <c r="E264" s="37">
        <f t="shared" si="17"/>
        <v>1.3372884445968762E-2</v>
      </c>
      <c r="F264" s="42">
        <f>0.01*Input!$F$60*(D264*$D$258)+10*(B264*$B$258+C264*$C$258)</f>
        <v>1857.3368026307619</v>
      </c>
      <c r="G264" s="37">
        <f t="shared" si="18"/>
        <v>1.3372884445968762E-2</v>
      </c>
      <c r="H264" s="46">
        <f t="shared" si="19"/>
        <v>12.26571065916545</v>
      </c>
      <c r="I264" s="17"/>
    </row>
    <row r="265" spans="1:9" x14ac:dyDescent="0.25">
      <c r="A265" s="4" t="s">
        <v>485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>
        <f t="shared" si="18"/>
        <v>0</v>
      </c>
      <c r="H265" s="46">
        <f t="shared" si="19"/>
        <v>0</v>
      </c>
      <c r="I265" s="17"/>
    </row>
    <row r="266" spans="1:9" x14ac:dyDescent="0.25">
      <c r="A266" s="4" t="s">
        <v>486</v>
      </c>
      <c r="B266" s="38">
        <f>Standing!$H$86</f>
        <v>6.3570338964628062E-2</v>
      </c>
      <c r="C266" s="38">
        <f>Standing!$H$109</f>
        <v>6.1421737443292448E-3</v>
      </c>
      <c r="D266" s="48">
        <f>AggCap!$H$94</f>
        <v>0</v>
      </c>
      <c r="E266" s="37">
        <f t="shared" si="17"/>
        <v>5.1672993166667638E-2</v>
      </c>
      <c r="F266" s="42">
        <f>0.01*Input!$F$60*(D266*$D$258)+10*(B266*$B$258+C266*$C$258)</f>
        <v>7176.7726924067574</v>
      </c>
      <c r="G266" s="37">
        <f t="shared" si="18"/>
        <v>5.1672993166667638E-2</v>
      </c>
      <c r="H266" s="46">
        <f t="shared" si="19"/>
        <v>47.394859772862141</v>
      </c>
      <c r="I266" s="17"/>
    </row>
    <row r="267" spans="1:9" x14ac:dyDescent="0.25">
      <c r="A267" s="4" t="s">
        <v>487</v>
      </c>
      <c r="B267" s="38">
        <f>Standing!$I$86</f>
        <v>0</v>
      </c>
      <c r="C267" s="38">
        <f>Standing!$I$109</f>
        <v>0</v>
      </c>
      <c r="D267" s="48">
        <f>AggCap!$I$94</f>
        <v>1.067171524104515</v>
      </c>
      <c r="E267" s="37">
        <f t="shared" si="17"/>
        <v>0</v>
      </c>
      <c r="F267" s="42">
        <f>0.01*Input!$F$60*(D267*$D$258)+10*(B267*$B$258+C267*$C$258)</f>
        <v>591.44349850984338</v>
      </c>
      <c r="G267" s="37">
        <f t="shared" si="18"/>
        <v>4.2584121257322662E-3</v>
      </c>
      <c r="H267" s="46">
        <f t="shared" si="19"/>
        <v>3.9058477782225256</v>
      </c>
      <c r="I267" s="17"/>
    </row>
    <row r="268" spans="1:9" x14ac:dyDescent="0.25">
      <c r="A268" s="4" t="s">
        <v>488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1577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1578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1579</v>
      </c>
      <c r="B271" s="38">
        <f>Standing!$K$86</f>
        <v>7.8995016091689851E-2</v>
      </c>
      <c r="C271" s="38">
        <f>Standing!$K$109</f>
        <v>0</v>
      </c>
      <c r="D271" s="48">
        <f>AggCap!$K$94</f>
        <v>0</v>
      </c>
      <c r="E271" s="37">
        <f t="shared" si="17"/>
        <v>6.2629683520937868E-2</v>
      </c>
      <c r="F271" s="42">
        <f>0.01*Input!$F$60*(D271*$D$258)+10*(B271*$B$258+C271*$C$258)</f>
        <v>8698.5284745820936</v>
      </c>
      <c r="G271" s="37">
        <f t="shared" si="18"/>
        <v>6.2629683520937868E-2</v>
      </c>
      <c r="H271" s="46">
        <f t="shared" si="19"/>
        <v>57.444418954393825</v>
      </c>
      <c r="I271" s="17"/>
    </row>
    <row r="272" spans="1:9" x14ac:dyDescent="0.25">
      <c r="A272" s="4" t="s">
        <v>1580</v>
      </c>
      <c r="B272" s="38">
        <f>Standing!$L$86</f>
        <v>0.17575035634064554</v>
      </c>
      <c r="C272" s="38">
        <f>Standing!$L$109</f>
        <v>7.9794420676398987E-3</v>
      </c>
      <c r="D272" s="48">
        <f>AggCap!$L$94</f>
        <v>0</v>
      </c>
      <c r="E272" s="37">
        <f t="shared" si="17"/>
        <v>0.14099339389392612</v>
      </c>
      <c r="F272" s="42">
        <f>0.01*Input!$F$60*(D272*$D$258)+10*(B272*$B$258+C272*$C$258)</f>
        <v>19582.328738804394</v>
      </c>
      <c r="G272" s="37">
        <f t="shared" si="18"/>
        <v>0.14099339389392612</v>
      </c>
      <c r="H272" s="46">
        <f t="shared" si="19"/>
        <v>129.3202062235693</v>
      </c>
      <c r="I272" s="17"/>
    </row>
    <row r="273" spans="1:9" x14ac:dyDescent="0.25">
      <c r="A273" s="4" t="s">
        <v>1581</v>
      </c>
      <c r="B273" s="38">
        <f>Standing!$M$86</f>
        <v>2.7105329809645581E-2</v>
      </c>
      <c r="C273" s="38">
        <f>Standing!$M$109</f>
        <v>1.2306399454526723E-3</v>
      </c>
      <c r="D273" s="48">
        <f>AggCap!$M$94</f>
        <v>0</v>
      </c>
      <c r="E273" s="37">
        <f t="shared" si="17"/>
        <v>2.1744891572616998E-2</v>
      </c>
      <c r="F273" s="42">
        <f>0.01*Input!$F$60*(D273*$D$258)+10*(B273*$B$258+C273*$C$258)</f>
        <v>3020.1103995340241</v>
      </c>
      <c r="G273" s="37">
        <f t="shared" si="18"/>
        <v>2.1744891572616998E-2</v>
      </c>
      <c r="H273" s="46">
        <f t="shared" si="19"/>
        <v>19.944578854492878</v>
      </c>
      <c r="I273" s="17"/>
    </row>
    <row r="274" spans="1:9" x14ac:dyDescent="0.25">
      <c r="A274" s="4" t="s">
        <v>1582</v>
      </c>
      <c r="B274" s="38">
        <f>Standing!$N$86</f>
        <v>6.0915227085512676E-2</v>
      </c>
      <c r="C274" s="38">
        <f>Standing!$N$109</f>
        <v>5.885636517412249E-3</v>
      </c>
      <c r="D274" s="48">
        <f>AggCap!$N$94</f>
        <v>0</v>
      </c>
      <c r="E274" s="37">
        <f t="shared" si="17"/>
        <v>4.951479202725563E-2</v>
      </c>
      <c r="F274" s="42">
        <f>0.01*Input!$F$60*(D274*$D$258)+10*(B274*$B$258+C274*$C$258)</f>
        <v>6877.0238670949584</v>
      </c>
      <c r="G274" s="37">
        <f t="shared" si="18"/>
        <v>4.951479202725563E-2</v>
      </c>
      <c r="H274" s="46">
        <f t="shared" si="19"/>
        <v>45.415341380456624</v>
      </c>
      <c r="I274" s="17"/>
    </row>
    <row r="275" spans="1:9" x14ac:dyDescent="0.25">
      <c r="A275" s="4" t="s">
        <v>1583</v>
      </c>
      <c r="B275" s="38">
        <f>Standing!$O$86</f>
        <v>6.0457623280580186E-2</v>
      </c>
      <c r="C275" s="38">
        <f>Standing!$O$109</f>
        <v>5.8414227831182523E-3</v>
      </c>
      <c r="D275" s="48">
        <f>AggCap!$O$94</f>
        <v>0</v>
      </c>
      <c r="E275" s="37">
        <f t="shared" si="17"/>
        <v>4.914282990356026E-2</v>
      </c>
      <c r="F275" s="42">
        <f>0.01*Input!$F$60*(D275*$D$258)+10*(B275*$B$258+C275*$C$258)</f>
        <v>6825.3626907559701</v>
      </c>
      <c r="G275" s="37">
        <f t="shared" si="18"/>
        <v>4.914282990356026E-2</v>
      </c>
      <c r="H275" s="46">
        <f t="shared" si="19"/>
        <v>45.074174910062759</v>
      </c>
      <c r="I275" s="17"/>
    </row>
    <row r="276" spans="1:9" x14ac:dyDescent="0.25">
      <c r="A276" s="4" t="s">
        <v>1584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>
        <f t="shared" si="18"/>
        <v>0</v>
      </c>
      <c r="H276" s="46">
        <f t="shared" si="19"/>
        <v>0</v>
      </c>
      <c r="I276" s="17"/>
    </row>
    <row r="277" spans="1:9" x14ac:dyDescent="0.25">
      <c r="A277" s="4" t="s">
        <v>1585</v>
      </c>
      <c r="B277" s="38">
        <f>Standing!$Q$86</f>
        <v>0.23360901436579154</v>
      </c>
      <c r="C277" s="38">
        <f>Standing!$Q$109</f>
        <v>2.257133087294989E-2</v>
      </c>
      <c r="D277" s="48">
        <f>AggCap!$Q$94</f>
        <v>0</v>
      </c>
      <c r="E277" s="37">
        <f t="shared" si="17"/>
        <v>0.18988851089361394</v>
      </c>
      <c r="F277" s="42">
        <f>0.01*Input!$F$60*(D277*$D$258)+10*(B277*$B$258+C277*$C$258)</f>
        <v>26373.287012569566</v>
      </c>
      <c r="G277" s="37">
        <f t="shared" si="18"/>
        <v>0.18988851089361394</v>
      </c>
      <c r="H277" s="46">
        <f t="shared" si="19"/>
        <v>174.16717698648509</v>
      </c>
      <c r="I277" s="17"/>
    </row>
    <row r="278" spans="1:9" x14ac:dyDescent="0.25">
      <c r="A278" s="4" t="s">
        <v>1586</v>
      </c>
      <c r="B278" s="38">
        <f>Standing!$R$86</f>
        <v>0</v>
      </c>
      <c r="C278" s="38">
        <f>Standing!$R$109</f>
        <v>0</v>
      </c>
      <c r="D278" s="48">
        <f>AggCap!$R$94</f>
        <v>14.902286026306124</v>
      </c>
      <c r="E278" s="37">
        <f t="shared" si="17"/>
        <v>0</v>
      </c>
      <c r="F278" s="42">
        <f>0.01*Input!$F$60*(D278*$D$258)+10*(B278*$B$258+C278*$C$258)</f>
        <v>8259.0848650958251</v>
      </c>
      <c r="G278" s="37">
        <f t="shared" si="18"/>
        <v>5.9465675462811014E-2</v>
      </c>
      <c r="H278" s="46">
        <f t="shared" si="19"/>
        <v>54.542366856280417</v>
      </c>
      <c r="I278" s="17"/>
    </row>
    <row r="279" spans="1:9" x14ac:dyDescent="0.25">
      <c r="A279" s="4" t="s">
        <v>1587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1588</v>
      </c>
      <c r="B280" s="10"/>
      <c r="C280" s="10"/>
      <c r="D280" s="48">
        <f>Otex!$B$128</f>
        <v>5.4386068892892787</v>
      </c>
      <c r="E280" s="37">
        <f t="shared" si="17"/>
        <v>0</v>
      </c>
      <c r="F280" s="42">
        <f>0.01*Input!$F$60*(D280*$D$258)+10*(B280*$B$258+C280*$C$258)</f>
        <v>3014.1627779284349</v>
      </c>
      <c r="G280" s="37">
        <f t="shared" si="18"/>
        <v>2.1702068506629594E-2</v>
      </c>
      <c r="H280" s="46">
        <f t="shared" si="19"/>
        <v>19.905301214798758</v>
      </c>
      <c r="I280" s="17"/>
    </row>
    <row r="281" spans="1:9" x14ac:dyDescent="0.25">
      <c r="A281" s="4" t="s">
        <v>1589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1590</v>
      </c>
      <c r="B282" s="38">
        <f>Adder!$B$272</f>
        <v>1.3195379706717336</v>
      </c>
      <c r="C282" s="38">
        <f>Adder!$C$272</f>
        <v>1.3195379706717336</v>
      </c>
      <c r="D282" s="10"/>
      <c r="E282" s="37">
        <f t="shared" si="17"/>
        <v>1.3195379706717336</v>
      </c>
      <c r="F282" s="42">
        <f>0.01*Input!$F$60*(D282*$D$258)+10*(B282*$B$258+C282*$C$258)</f>
        <v>183268.34762534124</v>
      </c>
      <c r="G282" s="37">
        <f t="shared" si="18"/>
        <v>1.3195379706717336</v>
      </c>
      <c r="H282" s="46">
        <f t="shared" si="19"/>
        <v>1210.2901971100782</v>
      </c>
      <c r="I282" s="17"/>
    </row>
    <row r="283" spans="1:9" x14ac:dyDescent="0.25">
      <c r="A283" s="4" t="s">
        <v>1591</v>
      </c>
      <c r="B283" s="38">
        <f>Adjust!$B$85</f>
        <v>-1.7213915608227381E-4</v>
      </c>
      <c r="C283" s="38">
        <f>Adjust!$C$85</f>
        <v>-3.9867032386919909E-4</v>
      </c>
      <c r="D283" s="48">
        <f>Adjust!$E$85</f>
        <v>1.9355603000832389E-3</v>
      </c>
      <c r="E283" s="37">
        <f t="shared" si="17"/>
        <v>-2.1906943196411962E-4</v>
      </c>
      <c r="F283" s="42">
        <f>0.01*Input!$F$60*(D283*$D$258)+10*(B283*$B$258+C283*$C$258)</f>
        <v>-29.353456270214487</v>
      </c>
      <c r="G283" s="37">
        <f t="shared" si="18"/>
        <v>-2.1134582496581933E-4</v>
      </c>
      <c r="H283" s="46">
        <f t="shared" si="19"/>
        <v>-0.19384798758466901</v>
      </c>
      <c r="I283" s="17"/>
    </row>
    <row r="285" spans="1:9" x14ac:dyDescent="0.25">
      <c r="A285" s="4" t="s">
        <v>1592</v>
      </c>
      <c r="B285" s="37">
        <f>SUM($B$261:$B$283)</f>
        <v>2.4140000000000001</v>
      </c>
      <c r="C285" s="37">
        <f>SUM($C$261:$C$283)</f>
        <v>1.3919999999999999</v>
      </c>
      <c r="D285" s="46">
        <f>SUM($D$261:$D$283)</f>
        <v>21.41</v>
      </c>
      <c r="E285" s="37">
        <f>SUM(E$261:E$283)</f>
        <v>2.2022730998130906</v>
      </c>
      <c r="F285" s="42">
        <f>SUM($F$261:$F$283)</f>
        <v>317735.66756346438</v>
      </c>
      <c r="G285" s="37">
        <f>SUM($G$261:$G$283)</f>
        <v>2.2877069795152618</v>
      </c>
      <c r="H285" s="46">
        <f>SUM($H$261:$H$283)</f>
        <v>2098.3021274924945</v>
      </c>
    </row>
    <row r="287" spans="1:9" ht="21" customHeight="1" x14ac:dyDescent="0.3">
      <c r="A287" s="1" t="s">
        <v>207</v>
      </c>
    </row>
    <row r="289" spans="1:9" x14ac:dyDescent="0.25">
      <c r="B289" s="15" t="s">
        <v>239</v>
      </c>
      <c r="C289" s="15" t="s">
        <v>240</v>
      </c>
      <c r="D289" s="15" t="s">
        <v>242</v>
      </c>
      <c r="E289" s="15" t="s">
        <v>1573</v>
      </c>
      <c r="F289" s="15" t="s">
        <v>1574</v>
      </c>
    </row>
    <row r="290" spans="1:9" x14ac:dyDescent="0.25">
      <c r="A290" s="4" t="s">
        <v>207</v>
      </c>
      <c r="B290" s="44">
        <f>Loads!B$342</f>
        <v>475.14555881688426</v>
      </c>
      <c r="C290" s="44">
        <f>Loads!C$342</f>
        <v>185.19683477307066</v>
      </c>
      <c r="D290" s="44">
        <f>Loads!E$342</f>
        <v>11.577605311475409</v>
      </c>
      <c r="E290" s="44">
        <f>Multi!B$136</f>
        <v>660.3423935899549</v>
      </c>
      <c r="F290" s="37">
        <f>IF(D290,E290/D290,"")</f>
        <v>57.036181129394812</v>
      </c>
      <c r="G290" s="17"/>
    </row>
    <row r="292" spans="1:9" ht="30" x14ac:dyDescent="0.25">
      <c r="B292" s="15" t="s">
        <v>1381</v>
      </c>
      <c r="C292" s="15" t="s">
        <v>1382</v>
      </c>
      <c r="D292" s="15" t="s">
        <v>1384</v>
      </c>
      <c r="E292" s="15" t="s">
        <v>1593</v>
      </c>
      <c r="F292" s="15" t="s">
        <v>1575</v>
      </c>
      <c r="G292" s="15" t="s">
        <v>1542</v>
      </c>
      <c r="H292" s="15" t="s">
        <v>1576</v>
      </c>
    </row>
    <row r="293" spans="1:9" x14ac:dyDescent="0.25">
      <c r="A293" s="4" t="s">
        <v>481</v>
      </c>
      <c r="B293" s="38">
        <f>Standing!$C$87</f>
        <v>0.28806955778232585</v>
      </c>
      <c r="C293" s="38">
        <f>Standing!$C$110</f>
        <v>1.3350316680537022E-2</v>
      </c>
      <c r="D293" s="48">
        <f>AggCap!$C$95</f>
        <v>0</v>
      </c>
      <c r="E293" s="37">
        <f t="shared" ref="E293:E315" si="20">IF(E$290&lt;&gt;0,(($B293*B$290+$C293*C$290))/E$290,0)</f>
        <v>0.21102296135419477</v>
      </c>
      <c r="F293" s="42">
        <f>0.01*Input!$F$60*(D293*$D$290)+10*(B293*$B$290+C293*$C$290)</f>
        <v>1393.4740740306952</v>
      </c>
      <c r="G293" s="37">
        <f t="shared" ref="G293:G315" si="21">IF($E$290&lt;&gt;0,0.1*F293/$E$290,"")</f>
        <v>0.21102296135419477</v>
      </c>
      <c r="H293" s="46">
        <f t="shared" ref="H293:H315" si="22">IF($D$290&lt;&gt;0,F293/$D$290,"")</f>
        <v>120.35943846259134</v>
      </c>
      <c r="I293" s="17"/>
    </row>
    <row r="294" spans="1:9" x14ac:dyDescent="0.25">
      <c r="A294" s="4" t="s">
        <v>482</v>
      </c>
      <c r="B294" s="38">
        <f>Standing!$D$87</f>
        <v>1.4661209094237024E-2</v>
      </c>
      <c r="C294" s="38">
        <f>Standing!$D$110</f>
        <v>6.7946014787003111E-4</v>
      </c>
      <c r="D294" s="48">
        <f>AggCap!$D$95</f>
        <v>0</v>
      </c>
      <c r="E294" s="37">
        <f t="shared" si="20"/>
        <v>1.0739946920864014E-2</v>
      </c>
      <c r="F294" s="42">
        <f>0.01*Input!$F$60*(D294*$D$290)+10*(B294*$B$290+C294*$C$290)</f>
        <v>70.920422567524085</v>
      </c>
      <c r="G294" s="37">
        <f t="shared" si="21"/>
        <v>1.0739946920864014E-2</v>
      </c>
      <c r="H294" s="46">
        <f t="shared" si="22"/>
        <v>6.1256555789848601</v>
      </c>
      <c r="I294" s="17"/>
    </row>
    <row r="295" spans="1:9" x14ac:dyDescent="0.25">
      <c r="A295" s="4" t="s">
        <v>483</v>
      </c>
      <c r="B295" s="38">
        <f>Standing!$E$87</f>
        <v>2.680762949452356E-2</v>
      </c>
      <c r="C295" s="38">
        <f>Standing!$E$110</f>
        <v>2.5996591274041192E-3</v>
      </c>
      <c r="D295" s="48">
        <f>AggCap!$E$95</f>
        <v>0.98074208225975412</v>
      </c>
      <c r="E295" s="37">
        <f t="shared" si="20"/>
        <v>2.0018364513522336E-2</v>
      </c>
      <c r="F295" s="42">
        <f>0.01*Input!$F$60*(D295*$D$290)+10*(B295*$B$290+C295*$C$290)</f>
        <v>173.74774713732972</v>
      </c>
      <c r="G295" s="37">
        <f t="shared" si="21"/>
        <v>2.6311766263066829E-2</v>
      </c>
      <c r="H295" s="46">
        <f t="shared" si="22"/>
        <v>15.007226664145794</v>
      </c>
      <c r="I295" s="17"/>
    </row>
    <row r="296" spans="1:9" x14ac:dyDescent="0.25">
      <c r="A296" s="4" t="s">
        <v>484</v>
      </c>
      <c r="B296" s="38">
        <f>Standing!$F$87</f>
        <v>0</v>
      </c>
      <c r="C296" s="38">
        <f>Standing!$F$110</f>
        <v>0</v>
      </c>
      <c r="D296" s="48">
        <f>AggCap!$F$95</f>
        <v>0</v>
      </c>
      <c r="E296" s="37">
        <f t="shared" si="20"/>
        <v>0</v>
      </c>
      <c r="F296" s="42">
        <f>0.01*Input!$F$60*(D296*$D$290)+10*(B296*$B$290+C296*$C$290)</f>
        <v>0</v>
      </c>
      <c r="G296" s="37">
        <f t="shared" si="21"/>
        <v>0</v>
      </c>
      <c r="H296" s="46">
        <f t="shared" si="22"/>
        <v>0</v>
      </c>
      <c r="I296" s="17"/>
    </row>
    <row r="297" spans="1:9" x14ac:dyDescent="0.25">
      <c r="A297" s="4" t="s">
        <v>485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486</v>
      </c>
      <c r="B298" s="38">
        <f>Standing!$H$87</f>
        <v>0</v>
      </c>
      <c r="C298" s="38">
        <f>Standing!$H$110</f>
        <v>0</v>
      </c>
      <c r="D298" s="48">
        <f>AggCap!$H$95</f>
        <v>0</v>
      </c>
      <c r="E298" s="37">
        <f t="shared" si="20"/>
        <v>0</v>
      </c>
      <c r="F298" s="42">
        <f>0.01*Input!$F$60*(D298*$D$290)+10*(B298*$B$290+C298*$C$290)</f>
        <v>0</v>
      </c>
      <c r="G298" s="37">
        <f t="shared" si="21"/>
        <v>0</v>
      </c>
      <c r="H298" s="46">
        <f t="shared" si="22"/>
        <v>0</v>
      </c>
      <c r="I298" s="17"/>
    </row>
    <row r="299" spans="1:9" x14ac:dyDescent="0.25">
      <c r="A299" s="4" t="s">
        <v>487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488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1577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1578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1579</v>
      </c>
      <c r="B303" s="38">
        <f>Standing!$K$87</f>
        <v>8.9894109063946945E-2</v>
      </c>
      <c r="C303" s="38">
        <f>Standing!$K$110</f>
        <v>0</v>
      </c>
      <c r="D303" s="48">
        <f>AggCap!$K$95</f>
        <v>0</v>
      </c>
      <c r="E303" s="37">
        <f t="shared" si="20"/>
        <v>6.4682787445050627E-2</v>
      </c>
      <c r="F303" s="42">
        <f>0.01*Input!$F$60*(D303*$D$290)+10*(B303*$B$290+C303*$C$290)</f>
        <v>427.12786685535013</v>
      </c>
      <c r="G303" s="37">
        <f t="shared" si="21"/>
        <v>6.4682787445050627E-2</v>
      </c>
      <c r="H303" s="46">
        <f t="shared" si="22"/>
        <v>36.892591806700523</v>
      </c>
      <c r="I303" s="17"/>
    </row>
    <row r="304" spans="1:9" x14ac:dyDescent="0.25">
      <c r="A304" s="4" t="s">
        <v>1580</v>
      </c>
      <c r="B304" s="38">
        <f>Standing!$L$87</f>
        <v>0.2011342529564776</v>
      </c>
      <c r="C304" s="38">
        <f>Standing!$L$110</f>
        <v>9.3213805476149592E-3</v>
      </c>
      <c r="D304" s="48">
        <f>AggCap!$L$95</f>
        <v>0</v>
      </c>
      <c r="E304" s="37">
        <f t="shared" si="20"/>
        <v>0.14733922603759314</v>
      </c>
      <c r="F304" s="42">
        <f>0.01*Input!$F$60*(D304*$D$290)+10*(B304*$B$290+C304*$C$290)</f>
        <v>972.94337191355669</v>
      </c>
      <c r="G304" s="37">
        <f t="shared" si="21"/>
        <v>0.14733922603759317</v>
      </c>
      <c r="H304" s="46">
        <f t="shared" si="22"/>
        <v>84.036667837450082</v>
      </c>
      <c r="I304" s="17"/>
    </row>
    <row r="305" spans="1:9" x14ac:dyDescent="0.25">
      <c r="A305" s="4" t="s">
        <v>1581</v>
      </c>
      <c r="B305" s="38">
        <f>Standing!$M$87</f>
        <v>3.1020194643788468E-2</v>
      </c>
      <c r="C305" s="38">
        <f>Standing!$M$110</f>
        <v>1.437602172109429E-3</v>
      </c>
      <c r="D305" s="48">
        <f>AggCap!$M$95</f>
        <v>0</v>
      </c>
      <c r="E305" s="37">
        <f t="shared" si="20"/>
        <v>2.2723585879428854E-2</v>
      </c>
      <c r="F305" s="42">
        <f>0.01*Input!$F$60*(D305*$D$290)+10*(B305*$B$290+C305*$C$290)</f>
        <v>150.05347090568949</v>
      </c>
      <c r="G305" s="37">
        <f t="shared" si="21"/>
        <v>2.2723585879428854E-2</v>
      </c>
      <c r="H305" s="46">
        <f t="shared" si="22"/>
        <v>12.960665601284624</v>
      </c>
      <c r="I305" s="17"/>
    </row>
    <row r="306" spans="1:9" x14ac:dyDescent="0.25">
      <c r="A306" s="4" t="s">
        <v>1582</v>
      </c>
      <c r="B306" s="38">
        <f>Standing!$N$87</f>
        <v>5.6719597920853564E-2</v>
      </c>
      <c r="C306" s="38">
        <f>Standing!$N$110</f>
        <v>5.5003602786945806E-3</v>
      </c>
      <c r="D306" s="48">
        <f>AggCap!$N$95</f>
        <v>2.0750546623750465</v>
      </c>
      <c r="E306" s="37">
        <f t="shared" si="20"/>
        <v>4.2354867164663849E-2</v>
      </c>
      <c r="F306" s="42">
        <f>0.01*Input!$F$60*(D306*$D$290)+10*(B306*$B$290+C306*$C$290)</f>
        <v>367.61558344040458</v>
      </c>
      <c r="G306" s="37">
        <f t="shared" si="21"/>
        <v>5.5670450210209971E-2</v>
      </c>
      <c r="H306" s="46">
        <f t="shared" si="22"/>
        <v>31.752298817444913</v>
      </c>
      <c r="I306" s="17"/>
    </row>
    <row r="307" spans="1:9" x14ac:dyDescent="0.25">
      <c r="A307" s="4" t="s">
        <v>1583</v>
      </c>
      <c r="B307" s="38">
        <f>Standing!$O$87</f>
        <v>0</v>
      </c>
      <c r="C307" s="38">
        <f>Standing!$O$110</f>
        <v>0</v>
      </c>
      <c r="D307" s="48">
        <f>AggCap!$O$95</f>
        <v>10.297332790729946</v>
      </c>
      <c r="E307" s="37">
        <f t="shared" si="20"/>
        <v>0</v>
      </c>
      <c r="F307" s="42">
        <f>0.01*Input!$F$60*(D307*$D$290)+10*(B307*$B$290+C307*$C$290)</f>
        <v>436.33954461186482</v>
      </c>
      <c r="G307" s="37">
        <f t="shared" si="21"/>
        <v>6.607777250824419E-2</v>
      </c>
      <c r="H307" s="46">
        <f t="shared" si="22"/>
        <v>37.688238014071601</v>
      </c>
      <c r="I307" s="17"/>
    </row>
    <row r="308" spans="1:9" x14ac:dyDescent="0.25">
      <c r="A308" s="4" t="s">
        <v>1584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1585</v>
      </c>
      <c r="B309" s="38">
        <f>Standing!$Q$87</f>
        <v>0</v>
      </c>
      <c r="C309" s="38">
        <f>Standing!$Q$110</f>
        <v>0</v>
      </c>
      <c r="D309" s="48">
        <f>AggCap!$Q$95</f>
        <v>29.043082489027558</v>
      </c>
      <c r="E309" s="37">
        <f t="shared" si="20"/>
        <v>0</v>
      </c>
      <c r="F309" s="42">
        <f>0.01*Input!$F$60*(D309*$D$290)+10*(B309*$B$290+C309*$C$290)</f>
        <v>1230.6726066768972</v>
      </c>
      <c r="G309" s="37">
        <f t="shared" si="21"/>
        <v>0.18636886236946551</v>
      </c>
      <c r="H309" s="46">
        <f t="shared" si="22"/>
        <v>106.29768190984088</v>
      </c>
      <c r="I309" s="17"/>
    </row>
    <row r="310" spans="1:9" x14ac:dyDescent="0.25">
      <c r="A310" s="4" t="s">
        <v>1586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1587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1588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1589</v>
      </c>
      <c r="B313" s="10"/>
      <c r="C313" s="10"/>
      <c r="D313" s="48">
        <f>Otex!$C$129</f>
        <v>101.15815052324123</v>
      </c>
      <c r="E313" s="37">
        <f t="shared" si="20"/>
        <v>0</v>
      </c>
      <c r="F313" s="42">
        <f>0.01*Input!$F$60*(D313*$D$290)+10*(B313*$B$290+C313*$C$290)</f>
        <v>4286.4790553166786</v>
      </c>
      <c r="G313" s="37">
        <f t="shared" si="21"/>
        <v>0.64912976918128984</v>
      </c>
      <c r="H313" s="46">
        <f t="shared" si="22"/>
        <v>370.23883091506292</v>
      </c>
      <c r="I313" s="17"/>
    </row>
    <row r="314" spans="1:9" x14ac:dyDescent="0.25">
      <c r="A314" s="4" t="s">
        <v>1590</v>
      </c>
      <c r="B314" s="38">
        <f>Adder!$B$273</f>
        <v>1.3195379706717336</v>
      </c>
      <c r="C314" s="38">
        <f>Adder!$C$273</f>
        <v>1.3195379706717336</v>
      </c>
      <c r="D314" s="10"/>
      <c r="E314" s="37">
        <f t="shared" si="20"/>
        <v>1.3195379706717336</v>
      </c>
      <c r="F314" s="42">
        <f>0.01*Input!$F$60*(D314*$D$290)+10*(B314*$B$290+C314*$C$290)</f>
        <v>8713.4686198620439</v>
      </c>
      <c r="G314" s="37">
        <f t="shared" si="21"/>
        <v>1.3195379706717338</v>
      </c>
      <c r="H314" s="46">
        <f t="shared" si="22"/>
        <v>752.61406702347074</v>
      </c>
      <c r="I314" s="17"/>
    </row>
    <row r="315" spans="1:9" x14ac:dyDescent="0.25">
      <c r="A315" s="4" t="s">
        <v>1591</v>
      </c>
      <c r="B315" s="38">
        <f>Adjust!$B$86</f>
        <v>1.5547837211338233E-4</v>
      </c>
      <c r="C315" s="38">
        <f>Adjust!$C$86</f>
        <v>-4.2674962596356281E-4</v>
      </c>
      <c r="D315" s="48">
        <f>Adjust!$E$86</f>
        <v>-4.362547633519398E-3</v>
      </c>
      <c r="E315" s="37">
        <f t="shared" si="20"/>
        <v>-7.8108296807215254E-6</v>
      </c>
      <c r="F315" s="42">
        <f>0.01*Input!$F$60*(D315*$D$290)+10*(B315*$B$290+C315*$C$290)</f>
        <v>-0.23643696770435024</v>
      </c>
      <c r="G315" s="37">
        <f t="shared" si="21"/>
        <v>-3.5805208025333565E-5</v>
      </c>
      <c r="H315" s="46">
        <f t="shared" si="22"/>
        <v>-2.0421923303085857E-2</v>
      </c>
      <c r="I315" s="17"/>
    </row>
    <row r="317" spans="1:9" x14ac:dyDescent="0.25">
      <c r="A317" s="4" t="s">
        <v>1592</v>
      </c>
      <c r="B317" s="37">
        <f>SUM($B$293:$B$315)</f>
        <v>2.028</v>
      </c>
      <c r="C317" s="37">
        <f>SUM($C$293:$C$315)</f>
        <v>1.3520000000000001</v>
      </c>
      <c r="D317" s="46">
        <f>SUM($D$293:$D$315)</f>
        <v>143.55000000000001</v>
      </c>
      <c r="E317" s="37">
        <f>SUM(E$293:E$315)</f>
        <v>1.8384118991573704</v>
      </c>
      <c r="F317" s="42">
        <f>SUM($F$293:$F$315)</f>
        <v>18222.60592635033</v>
      </c>
      <c r="G317" s="37">
        <f>SUM($G$293:$G$315)</f>
        <v>2.7595692936331164</v>
      </c>
      <c r="H317" s="46">
        <f>SUM($H$293:$H$315)</f>
        <v>1573.9529407077453</v>
      </c>
    </row>
    <row r="319" spans="1:9" ht="21" customHeight="1" x14ac:dyDescent="0.3">
      <c r="A319" s="1" t="s">
        <v>188</v>
      </c>
    </row>
    <row r="321" spans="1:10" x14ac:dyDescent="0.25">
      <c r="B321" s="15" t="s">
        <v>239</v>
      </c>
      <c r="C321" s="15" t="s">
        <v>240</v>
      </c>
      <c r="D321" s="15" t="s">
        <v>241</v>
      </c>
      <c r="E321" s="15" t="s">
        <v>242</v>
      </c>
      <c r="F321" s="15" t="s">
        <v>1573</v>
      </c>
      <c r="G321" s="15" t="s">
        <v>1574</v>
      </c>
    </row>
    <row r="322" spans="1:10" x14ac:dyDescent="0.25">
      <c r="A322" s="4" t="s">
        <v>188</v>
      </c>
      <c r="B322" s="44">
        <f>Loads!B$343</f>
        <v>17.914500587704929</v>
      </c>
      <c r="C322" s="44">
        <f>Loads!C$343</f>
        <v>148.90616151495541</v>
      </c>
      <c r="D322" s="44">
        <f>Loads!D$343</f>
        <v>132.14980473460798</v>
      </c>
      <c r="E322" s="44">
        <f>Loads!E$343</f>
        <v>90.262264219672147</v>
      </c>
      <c r="F322" s="44">
        <f>Multi!B$137</f>
        <v>298.9704668372683</v>
      </c>
      <c r="G322" s="37">
        <f>IF(E322,F322/E322,"")</f>
        <v>3.3122420473483913</v>
      </c>
      <c r="H322" s="17"/>
    </row>
    <row r="324" spans="1:10" ht="30" x14ac:dyDescent="0.25">
      <c r="B324" s="15" t="s">
        <v>1381</v>
      </c>
      <c r="C324" s="15" t="s">
        <v>1382</v>
      </c>
      <c r="D324" s="15" t="s">
        <v>1383</v>
      </c>
      <c r="E324" s="15" t="s">
        <v>1384</v>
      </c>
      <c r="F324" s="15" t="s">
        <v>1593</v>
      </c>
      <c r="G324" s="15" t="s">
        <v>1575</v>
      </c>
      <c r="H324" s="15" t="s">
        <v>1542</v>
      </c>
      <c r="I324" s="15" t="s">
        <v>1576</v>
      </c>
    </row>
    <row r="325" spans="1:10" x14ac:dyDescent="0.25">
      <c r="A325" s="4" t="s">
        <v>481</v>
      </c>
      <c r="B325" s="38">
        <f>Standing!$C$88</f>
        <v>3.2226242218785006</v>
      </c>
      <c r="C325" s="38">
        <f>Standing!$C$111</f>
        <v>4.2843165521816572E-2</v>
      </c>
      <c r="D325" s="38">
        <f>Standing!$C$125</f>
        <v>1.3437531346544853E-2</v>
      </c>
      <c r="E325" s="48">
        <f>AggCap!$C$96</f>
        <v>0</v>
      </c>
      <c r="F325" s="37">
        <f t="shared" ref="F325:F347" si="23">IF(F$322&lt;&gt;0,(($B325*B$322+$C325*C$322+$D325*D$322))/F$322,0)</f>
        <v>0.22037990134062979</v>
      </c>
      <c r="G325" s="42">
        <f>0.01*Input!$F$60*(E325*$E$322)+10*(B325*$B$322+C325*$C$322+D325*$D$322)</f>
        <v>658.87081985359214</v>
      </c>
      <c r="H325" s="37">
        <f t="shared" ref="H325:H347" si="24">IF($F$322&lt;&gt;0,0.1*G325/$F$322,"")</f>
        <v>0.22037990134062979</v>
      </c>
      <c r="I325" s="46">
        <f t="shared" ref="I325:I347" si="25">IF($E$322&lt;&gt;0,G325/$E$322,"")</f>
        <v>7.2995157561092396</v>
      </c>
      <c r="J325" s="17"/>
    </row>
    <row r="326" spans="1:10" x14ac:dyDescent="0.25">
      <c r="A326" s="4" t="s">
        <v>482</v>
      </c>
      <c r="B326" s="38">
        <f>Standing!$D$88</f>
        <v>0.49701345821037085</v>
      </c>
      <c r="C326" s="38">
        <f>Standing!$D$111</f>
        <v>6.6075435392417888E-3</v>
      </c>
      <c r="D326" s="38">
        <f>Standing!$D$125</f>
        <v>2.072420941608723E-3</v>
      </c>
      <c r="E326" s="48">
        <f>AggCap!$D$96</f>
        <v>0</v>
      </c>
      <c r="F326" s="37">
        <f t="shared" si="23"/>
        <v>3.3988380072908261E-2</v>
      </c>
      <c r="G326" s="42">
        <f>0.01*Input!$F$60*(E326*$E$322)+10*(B326*$B$322+C326*$C$322+D326*$D$322)</f>
        <v>101.61521857439891</v>
      </c>
      <c r="H326" s="37">
        <f t="shared" si="24"/>
        <v>3.3988380072908268E-2</v>
      </c>
      <c r="I326" s="46">
        <f t="shared" si="25"/>
        <v>1.1257774159874492</v>
      </c>
      <c r="J326" s="17"/>
    </row>
    <row r="327" spans="1:10" x14ac:dyDescent="0.25">
      <c r="A327" s="4" t="s">
        <v>483</v>
      </c>
      <c r="B327" s="38">
        <f>Standing!$E$88</f>
        <v>0.7883447941571351</v>
      </c>
      <c r="C327" s="38">
        <f>Standing!$E$111</f>
        <v>5.5991128028616062E-2</v>
      </c>
      <c r="D327" s="38">
        <f>Standing!$E$125</f>
        <v>9.9083559925561525E-3</v>
      </c>
      <c r="E327" s="48">
        <f>AggCap!$E$96</f>
        <v>0</v>
      </c>
      <c r="F327" s="37">
        <f t="shared" si="23"/>
        <v>7.9504891546598858E-2</v>
      </c>
      <c r="G327" s="42">
        <f>0.01*Input!$F$60*(E327*$E$322)+10*(B327*$B$322+C327*$C$322+D327*$D$322)</f>
        <v>237.69614541533048</v>
      </c>
      <c r="H327" s="37">
        <f t="shared" si="24"/>
        <v>7.9504891546598858E-2</v>
      </c>
      <c r="I327" s="46">
        <f t="shared" si="25"/>
        <v>2.633394447505184</v>
      </c>
      <c r="J327" s="17"/>
    </row>
    <row r="328" spans="1:10" x14ac:dyDescent="0.25">
      <c r="A328" s="4" t="s">
        <v>484</v>
      </c>
      <c r="B328" s="38">
        <f>Standing!$F$88</f>
        <v>0.14866030093847957</v>
      </c>
      <c r="C328" s="38">
        <f>Standing!$F$111</f>
        <v>1.0558397802979473E-2</v>
      </c>
      <c r="D328" s="38">
        <f>Standing!$F$125</f>
        <v>1.8684453738720152E-3</v>
      </c>
      <c r="E328" s="48">
        <f>AggCap!$F$96</f>
        <v>0</v>
      </c>
      <c r="F328" s="37">
        <f t="shared" si="23"/>
        <v>1.4992451514866886E-2</v>
      </c>
      <c r="G328" s="42">
        <f>0.01*Input!$F$60*(E328*$E$322)+10*(B328*$B$322+C328*$C$322+D328*$D$322)</f>
        <v>44.823002284348632</v>
      </c>
      <c r="H328" s="37">
        <f t="shared" si="24"/>
        <v>1.4992451514866886E-2</v>
      </c>
      <c r="I328" s="46">
        <f t="shared" si="25"/>
        <v>0.4965862830037418</v>
      </c>
      <c r="J328" s="17"/>
    </row>
    <row r="329" spans="1:10" x14ac:dyDescent="0.25">
      <c r="A329" s="4" t="s">
        <v>485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>
        <f t="shared" si="24"/>
        <v>0</v>
      </c>
      <c r="I329" s="46">
        <f t="shared" si="25"/>
        <v>0</v>
      </c>
      <c r="J329" s="17"/>
    </row>
    <row r="330" spans="1:10" x14ac:dyDescent="0.25">
      <c r="A330" s="4" t="s">
        <v>486</v>
      </c>
      <c r="B330" s="38">
        <f>Standing!$H$88</f>
        <v>0.57442526670934135</v>
      </c>
      <c r="C330" s="38">
        <f>Standing!$H$111</f>
        <v>4.0797781490498293E-2</v>
      </c>
      <c r="D330" s="38">
        <f>Standing!$H$125</f>
        <v>7.219696350960746E-3</v>
      </c>
      <c r="E330" s="48">
        <f>AggCap!$H$96</f>
        <v>0</v>
      </c>
      <c r="F330" s="37">
        <f t="shared" si="23"/>
        <v>5.7931020626806232E-2</v>
      </c>
      <c r="G330" s="42">
        <f>0.01*Input!$F$60*(E330*$E$322)+10*(B330*$B$322+C330*$C$322+D330*$D$322)</f>
        <v>173.19664281155679</v>
      </c>
      <c r="H330" s="37">
        <f t="shared" si="24"/>
        <v>5.7931020626806232E-2</v>
      </c>
      <c r="I330" s="46">
        <f t="shared" si="25"/>
        <v>1.9188156236591456</v>
      </c>
      <c r="J330" s="17"/>
    </row>
    <row r="331" spans="1:10" x14ac:dyDescent="0.25">
      <c r="A331" s="4" t="s">
        <v>487</v>
      </c>
      <c r="B331" s="38">
        <f>Standing!$I$88</f>
        <v>6.2958918520683499E-2</v>
      </c>
      <c r="C331" s="38">
        <f>Standing!$I$111</f>
        <v>4.4715724560643894E-3</v>
      </c>
      <c r="D331" s="38">
        <f>Standing!$I$125</f>
        <v>7.9130271707601014E-4</v>
      </c>
      <c r="E331" s="48">
        <f>AggCap!$I$96</f>
        <v>0</v>
      </c>
      <c r="F331" s="37">
        <f t="shared" si="23"/>
        <v>6.3494324133005911E-3</v>
      </c>
      <c r="G331" s="42">
        <f>0.01*Input!$F$60*(E331*$E$322)+10*(B331*$B$322+C331*$C$322+D331*$D$322)</f>
        <v>18.982927727561609</v>
      </c>
      <c r="H331" s="37">
        <f t="shared" si="24"/>
        <v>6.3494324133005911E-3</v>
      </c>
      <c r="I331" s="46">
        <f t="shared" si="25"/>
        <v>0.21030857016130988</v>
      </c>
      <c r="J331" s="17"/>
    </row>
    <row r="332" spans="1:10" x14ac:dyDescent="0.25">
      <c r="A332" s="4" t="s">
        <v>488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0.19377034374633198</v>
      </c>
      <c r="F332" s="37">
        <f t="shared" si="23"/>
        <v>0</v>
      </c>
      <c r="G332" s="42">
        <f>0.01*Input!$F$60*(E332*$E$322)+10*(B332*$B$322+C332*$C$322+D332*$D$322)</f>
        <v>64.0139488725153</v>
      </c>
      <c r="H332" s="37">
        <f t="shared" si="24"/>
        <v>2.1411462325928849E-2</v>
      </c>
      <c r="I332" s="46">
        <f t="shared" si="25"/>
        <v>0.70919945811157514</v>
      </c>
      <c r="J332" s="17"/>
    </row>
    <row r="333" spans="1:10" x14ac:dyDescent="0.25">
      <c r="A333" s="4" t="s">
        <v>1577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1578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1579</v>
      </c>
      <c r="B335" s="38">
        <f>Standing!$K$88</f>
        <v>1.1278988857721326</v>
      </c>
      <c r="C335" s="38">
        <f>Standing!$K$111</f>
        <v>0</v>
      </c>
      <c r="D335" s="38">
        <f>Standing!$K$125</f>
        <v>0</v>
      </c>
      <c r="E335" s="48">
        <f>AggCap!$K$96</f>
        <v>0</v>
      </c>
      <c r="F335" s="37">
        <f t="shared" si="23"/>
        <v>6.7584418841727029E-2</v>
      </c>
      <c r="G335" s="42">
        <f>0.01*Input!$F$60*(E335*$E$322)+10*(B335*$B$322+C335*$C$322+D335*$D$322)</f>
        <v>202.05745252036604</v>
      </c>
      <c r="H335" s="37">
        <f t="shared" si="24"/>
        <v>6.7584418841727043E-2</v>
      </c>
      <c r="I335" s="46">
        <f t="shared" si="25"/>
        <v>2.2385595383317316</v>
      </c>
      <c r="J335" s="17"/>
    </row>
    <row r="336" spans="1:10" x14ac:dyDescent="0.25">
      <c r="A336" s="4" t="s">
        <v>1580</v>
      </c>
      <c r="B336" s="38">
        <f>Standing!$L$88</f>
        <v>2.2500819608185281</v>
      </c>
      <c r="C336" s="38">
        <f>Standing!$L$111</f>
        <v>2.9913706112718569E-2</v>
      </c>
      <c r="D336" s="38">
        <f>Standing!$L$125</f>
        <v>9.3822750649995065E-3</v>
      </c>
      <c r="E336" s="48">
        <f>AggCap!$L$96</f>
        <v>0</v>
      </c>
      <c r="F336" s="37">
        <f t="shared" si="23"/>
        <v>0.15387237431128986</v>
      </c>
      <c r="G336" s="42">
        <f>0.01*Input!$F$60*(E336*$E$322)+10*(B336*$B$322+C336*$C$322+D336*$D$322)</f>
        <v>460.03295581205225</v>
      </c>
      <c r="H336" s="37">
        <f t="shared" si="24"/>
        <v>0.15387237431128989</v>
      </c>
      <c r="I336" s="46">
        <f t="shared" si="25"/>
        <v>5.0966254811918477</v>
      </c>
      <c r="J336" s="17"/>
    </row>
    <row r="337" spans="1:10" x14ac:dyDescent="0.25">
      <c r="A337" s="4" t="s">
        <v>1581</v>
      </c>
      <c r="B337" s="38">
        <f>Standing!$M$88</f>
        <v>0.34702184915351642</v>
      </c>
      <c r="C337" s="38">
        <f>Standing!$M$111</f>
        <v>4.6134806602752274E-3</v>
      </c>
      <c r="D337" s="38">
        <f>Standing!$M$125</f>
        <v>1.4469937091263335E-3</v>
      </c>
      <c r="E337" s="48">
        <f>AggCap!$M$96</f>
        <v>0</v>
      </c>
      <c r="F337" s="37">
        <f t="shared" si="23"/>
        <v>2.3731169262705978E-2</v>
      </c>
      <c r="G337" s="42">
        <f>0.01*Input!$F$60*(E337*$E$322)+10*(B337*$B$322+C337*$C$322+D337*$D$322)</f>
        <v>70.949187530654385</v>
      </c>
      <c r="H337" s="37">
        <f t="shared" si="24"/>
        <v>2.3731169262705982E-2</v>
      </c>
      <c r="I337" s="46">
        <f t="shared" si="25"/>
        <v>0.78603376664676461</v>
      </c>
      <c r="J337" s="17"/>
    </row>
    <row r="338" spans="1:10" x14ac:dyDescent="0.25">
      <c r="A338" s="4" t="s">
        <v>1582</v>
      </c>
      <c r="B338" s="38">
        <f>Standing!$N$88</f>
        <v>0.550433521909103</v>
      </c>
      <c r="C338" s="38">
        <f>Standing!$N$111</f>
        <v>3.9093800104820157E-2</v>
      </c>
      <c r="D338" s="38">
        <f>Standing!$N$125</f>
        <v>6.9181547537748621E-3</v>
      </c>
      <c r="E338" s="48">
        <f>AggCap!$N$96</f>
        <v>0</v>
      </c>
      <c r="F338" s="37">
        <f t="shared" si="23"/>
        <v>5.5511443453856162E-2</v>
      </c>
      <c r="G338" s="42">
        <f>0.01*Input!$F$60*(E338*$E$322)+10*(B338*$B$322+C338*$C$322+D338*$D$322)</f>
        <v>165.96282164209998</v>
      </c>
      <c r="H338" s="37">
        <f t="shared" si="24"/>
        <v>5.5511443453856162E-2</v>
      </c>
      <c r="I338" s="46">
        <f t="shared" si="25"/>
        <v>1.8386733711686498</v>
      </c>
      <c r="J338" s="17"/>
    </row>
    <row r="339" spans="1:10" x14ac:dyDescent="0.25">
      <c r="A339" s="4" t="s">
        <v>1583</v>
      </c>
      <c r="B339" s="38">
        <f>Standing!$O$88</f>
        <v>0.54629858741014115</v>
      </c>
      <c r="C339" s="38">
        <f>Standing!$O$111</f>
        <v>3.880012194694147E-2</v>
      </c>
      <c r="D339" s="38">
        <f>Standing!$O$125</f>
        <v>6.866184596395414E-3</v>
      </c>
      <c r="E339" s="48">
        <f>AggCap!$O$96</f>
        <v>0</v>
      </c>
      <c r="F339" s="37">
        <f t="shared" si="23"/>
        <v>5.5094433636161178E-2</v>
      </c>
      <c r="G339" s="42">
        <f>0.01*Input!$F$60*(E339*$E$322)+10*(B339*$B$322+C339*$C$322+D339*$D$322)</f>
        <v>164.71608544338005</v>
      </c>
      <c r="H339" s="37">
        <f t="shared" si="24"/>
        <v>5.5094433636161184E-2</v>
      </c>
      <c r="I339" s="46">
        <f t="shared" si="25"/>
        <v>1.8248609966453857</v>
      </c>
      <c r="J339" s="17"/>
    </row>
    <row r="340" spans="1:10" x14ac:dyDescent="0.25">
      <c r="A340" s="4" t="s">
        <v>1584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>
        <f t="shared" si="24"/>
        <v>0</v>
      </c>
      <c r="I340" s="46">
        <f t="shared" si="25"/>
        <v>0</v>
      </c>
      <c r="J340" s="17"/>
    </row>
    <row r="341" spans="1:10" x14ac:dyDescent="0.25">
      <c r="A341" s="4" t="s">
        <v>1585</v>
      </c>
      <c r="B341" s="38">
        <f>Standing!$Q$88</f>
        <v>2.1109045911717246</v>
      </c>
      <c r="C341" s="38">
        <f>Standing!$Q$111</f>
        <v>0.14992415767374387</v>
      </c>
      <c r="D341" s="38">
        <f>Standing!$Q$125</f>
        <v>2.6531023367779988E-2</v>
      </c>
      <c r="E341" s="48">
        <f>AggCap!$Q$96</f>
        <v>0</v>
      </c>
      <c r="F341" s="37">
        <f t="shared" si="23"/>
        <v>0.21288558233679891</v>
      </c>
      <c r="G341" s="42">
        <f>0.01*Input!$F$60*(E341*$E$322)+10*(B341*$B$322+C341*$C$322+D341*$D$322)</f>
        <v>636.46501934156493</v>
      </c>
      <c r="H341" s="37">
        <f t="shared" si="24"/>
        <v>0.21288558233679894</v>
      </c>
      <c r="I341" s="46">
        <f t="shared" si="25"/>
        <v>7.0512857709019334</v>
      </c>
      <c r="J341" s="17"/>
    </row>
    <row r="342" spans="1:10" x14ac:dyDescent="0.25">
      <c r="A342" s="4" t="s">
        <v>1586</v>
      </c>
      <c r="B342" s="38">
        <f>Standing!$R$88</f>
        <v>0.87917620598939505</v>
      </c>
      <c r="C342" s="38">
        <f>Standing!$R$111</f>
        <v>6.2442306810556875E-2</v>
      </c>
      <c r="D342" s="38">
        <f>Standing!$R$125</f>
        <v>1.1049975713280941E-2</v>
      </c>
      <c r="E342" s="48">
        <f>AggCap!$R$96</f>
        <v>0</v>
      </c>
      <c r="F342" s="37">
        <f t="shared" si="23"/>
        <v>8.8665276190819473E-2</v>
      </c>
      <c r="G342" s="42">
        <f>0.01*Input!$F$60*(E342*$E$322)+10*(B342*$B$322+C342*$C$322+D342*$D$322)</f>
        <v>265.08299015024625</v>
      </c>
      <c r="H342" s="37">
        <f t="shared" si="24"/>
        <v>8.8665276190819473E-2</v>
      </c>
      <c r="I342" s="46">
        <f t="shared" si="25"/>
        <v>2.9368085593899043</v>
      </c>
      <c r="J342" s="17"/>
    </row>
    <row r="343" spans="1:10" x14ac:dyDescent="0.25">
      <c r="A343" s="4" t="s">
        <v>1587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2.7058640721758009</v>
      </c>
      <c r="F343" s="37">
        <f t="shared" si="23"/>
        <v>0</v>
      </c>
      <c r="G343" s="42">
        <f>0.01*Input!$F$60*(E343*$E$322)+10*(B343*$B$322+C343*$C$322+D343*$D$322)</f>
        <v>893.90894924041561</v>
      </c>
      <c r="H343" s="37">
        <f t="shared" si="24"/>
        <v>0.29899573650094891</v>
      </c>
      <c r="I343" s="46">
        <f t="shared" si="25"/>
        <v>9.9034625041634321</v>
      </c>
      <c r="J343" s="17"/>
    </row>
    <row r="344" spans="1:10" x14ac:dyDescent="0.25">
      <c r="A344" s="4" t="s">
        <v>1588</v>
      </c>
      <c r="B344" s="10"/>
      <c r="C344" s="10"/>
      <c r="D344" s="10"/>
      <c r="E344" s="48">
        <f>Otex!$B$130</f>
        <v>2.1249285582131563</v>
      </c>
      <c r="F344" s="37">
        <f t="shared" si="23"/>
        <v>0</v>
      </c>
      <c r="G344" s="42">
        <f>0.01*Input!$F$60*(E344*$E$322)+10*(B344*$B$322+C344*$C$322+D344*$D$322)</f>
        <v>701.99115846786822</v>
      </c>
      <c r="H344" s="37">
        <f t="shared" si="24"/>
        <v>0.23480284387085193</v>
      </c>
      <c r="I344" s="46">
        <f t="shared" si="25"/>
        <v>7.7772385230601522</v>
      </c>
      <c r="J344" s="17"/>
    </row>
    <row r="345" spans="1:10" x14ac:dyDescent="0.25">
      <c r="A345" s="4" t="s">
        <v>1589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1590</v>
      </c>
      <c r="B346" s="38">
        <f>Adder!$B$274</f>
        <v>1.3195379706717336</v>
      </c>
      <c r="C346" s="38">
        <f>Adder!$C$274</f>
        <v>1.3195379706717336</v>
      </c>
      <c r="D346" s="38">
        <f>Adder!$D$274</f>
        <v>1.3195379706717336</v>
      </c>
      <c r="E346" s="10"/>
      <c r="F346" s="37">
        <f t="shared" si="23"/>
        <v>1.3195379706717336</v>
      </c>
      <c r="G346" s="42">
        <f>0.01*Input!$F$60*(E346*$E$322)+10*(B346*$B$322+C346*$C$322+D346*$D$322)</f>
        <v>3945.0288310122987</v>
      </c>
      <c r="H346" s="37">
        <f t="shared" si="24"/>
        <v>1.3195379706717336</v>
      </c>
      <c r="I346" s="46">
        <f t="shared" si="25"/>
        <v>43.706291495316847</v>
      </c>
      <c r="J346" s="17"/>
    </row>
    <row r="347" spans="1:10" x14ac:dyDescent="0.25">
      <c r="A347" s="4" t="s">
        <v>1591</v>
      </c>
      <c r="B347" s="38">
        <f>Adjust!$B$87</f>
        <v>-3.8053331078735653E-4</v>
      </c>
      <c r="C347" s="38">
        <f>Adjust!$C$87</f>
        <v>4.0486717999366206E-4</v>
      </c>
      <c r="D347" s="38">
        <f>Adjust!$D$87</f>
        <v>-3.0330599709138539E-5</v>
      </c>
      <c r="E347" s="48">
        <f>Adjust!$E$87</f>
        <v>-4.5629741352897213E-3</v>
      </c>
      <c r="F347" s="37">
        <f t="shared" si="23"/>
        <v>1.6544099211771192E-4</v>
      </c>
      <c r="G347" s="42">
        <f>0.01*Input!$F$60*(E347*$E$322)+10*(B347*$B$322+C347*$C$322+D347*$D$322)</f>
        <v>-1.0128039134444746</v>
      </c>
      <c r="H347" s="37">
        <f t="shared" si="24"/>
        <v>-3.3876386659815159E-4</v>
      </c>
      <c r="I347" s="46">
        <f t="shared" si="25"/>
        <v>-1.1220679230687189E-2</v>
      </c>
      <c r="J347" s="17"/>
    </row>
    <row r="349" spans="1:10" x14ac:dyDescent="0.25">
      <c r="A349" s="4" t="s">
        <v>1592</v>
      </c>
      <c r="B349" s="37">
        <f>SUM($B$325:$B$347)</f>
        <v>14.425000000000001</v>
      </c>
      <c r="C349" s="37">
        <f>SUM($C$325:$C$347)</f>
        <v>1.806</v>
      </c>
      <c r="D349" s="37">
        <f>SUM($D$325:$D$347)</f>
        <v>1.417</v>
      </c>
      <c r="E349" s="46">
        <f>SUM($E$325:$E$347)</f>
        <v>5.0199999999999996</v>
      </c>
      <c r="F349" s="37">
        <f>SUM(F$325:F$347)</f>
        <v>2.3901941872123209</v>
      </c>
      <c r="G349" s="42">
        <f>SUM($G$325:$G$347)</f>
        <v>8804.381352786806</v>
      </c>
      <c r="H349" s="37">
        <f>SUM($H$325:$H$347)</f>
        <v>2.9449000250513344</v>
      </c>
      <c r="I349" s="46">
        <f>SUM($I$325:$I$347)</f>
        <v>97.542216882123597</v>
      </c>
    </row>
    <row r="351" spans="1:10" ht="21" customHeight="1" x14ac:dyDescent="0.3">
      <c r="A351" s="1" t="s">
        <v>189</v>
      </c>
    </row>
    <row r="353" spans="1:10" x14ac:dyDescent="0.25">
      <c r="B353" s="15" t="s">
        <v>239</v>
      </c>
      <c r="C353" s="15" t="s">
        <v>240</v>
      </c>
      <c r="D353" s="15" t="s">
        <v>241</v>
      </c>
      <c r="E353" s="15" t="s">
        <v>242</v>
      </c>
      <c r="F353" s="15" t="s">
        <v>1573</v>
      </c>
      <c r="G353" s="15" t="s">
        <v>1574</v>
      </c>
    </row>
    <row r="354" spans="1:10" x14ac:dyDescent="0.25">
      <c r="A354" s="4" t="s">
        <v>189</v>
      </c>
      <c r="B354" s="44">
        <f>Loads!B$344</f>
        <v>25199.972947833852</v>
      </c>
      <c r="C354" s="44">
        <f>Loads!C$344</f>
        <v>181598.15027127945</v>
      </c>
      <c r="D354" s="44">
        <f>Loads!D$344</f>
        <v>162501.0547914498</v>
      </c>
      <c r="E354" s="44">
        <f>Loads!E$344</f>
        <v>5033.9473724132749</v>
      </c>
      <c r="F354" s="44">
        <f>Multi!B$138</f>
        <v>369299.17801056313</v>
      </c>
      <c r="G354" s="37">
        <f>IF(E354,F354/E354,"")</f>
        <v>73.361747886832006</v>
      </c>
      <c r="H354" s="17"/>
    </row>
    <row r="356" spans="1:10" ht="30" x14ac:dyDescent="0.25">
      <c r="B356" s="15" t="s">
        <v>1381</v>
      </c>
      <c r="C356" s="15" t="s">
        <v>1382</v>
      </c>
      <c r="D356" s="15" t="s">
        <v>1383</v>
      </c>
      <c r="E356" s="15" t="s">
        <v>1384</v>
      </c>
      <c r="F356" s="15" t="s">
        <v>1593</v>
      </c>
      <c r="G356" s="15" t="s">
        <v>1575</v>
      </c>
      <c r="H356" s="15" t="s">
        <v>1542</v>
      </c>
      <c r="I356" s="15" t="s">
        <v>1576</v>
      </c>
    </row>
    <row r="357" spans="1:10" x14ac:dyDescent="0.25">
      <c r="A357" s="4" t="s">
        <v>481</v>
      </c>
      <c r="B357" s="38">
        <f>Standing!$C$89</f>
        <v>3.3481295358974248</v>
      </c>
      <c r="C357" s="38">
        <f>Standing!$C$112</f>
        <v>4.4511695444069181E-2</v>
      </c>
      <c r="D357" s="38">
        <f>Standing!$C$126</f>
        <v>1.3960856895902322E-2</v>
      </c>
      <c r="E357" s="48">
        <f>AggCap!$C$97</f>
        <v>0</v>
      </c>
      <c r="F357" s="37">
        <f t="shared" ref="F357:F379" si="26">IF(F$354&lt;&gt;0,(($B357*B$354+$C357*C$354+$D357*D$354))/F$354,0)</f>
        <v>0.25649845680730787</v>
      </c>
      <c r="G357" s="42">
        <f>0.01*Input!$F$60*(E357*$E$354)+10*(B357*$B$354+C357*$C$354+D357*$D$354)</f>
        <v>947246.69259916735</v>
      </c>
      <c r="H357" s="37">
        <f t="shared" ref="H357:H379" si="27">IF($F$354&lt;&gt;0,0.1*G357/$F$354,"")</f>
        <v>0.25649845680730793</v>
      </c>
      <c r="I357" s="46">
        <f t="shared" ref="I357:I379" si="28">IF($E$354&lt;&gt;0,G357/$E$354,"")</f>
        <v>188.17175121659193</v>
      </c>
      <c r="J357" s="17"/>
    </row>
    <row r="358" spans="1:10" x14ac:dyDescent="0.25">
      <c r="A358" s="4" t="s">
        <v>482</v>
      </c>
      <c r="B358" s="38">
        <f>Standing!$D$89</f>
        <v>0.51636968029820818</v>
      </c>
      <c r="C358" s="38">
        <f>Standing!$D$112</f>
        <v>6.8648747605353638E-3</v>
      </c>
      <c r="D358" s="38">
        <f>Standing!$D$126</f>
        <v>2.1531315126055431E-3</v>
      </c>
      <c r="E358" s="48">
        <f>AggCap!$D$97</f>
        <v>0</v>
      </c>
      <c r="F358" s="37">
        <f t="shared" si="26"/>
        <v>3.9558811783867338E-2</v>
      </c>
      <c r="G358" s="42">
        <f>0.01*Input!$F$60*(E358*$E$354)+10*(B358*$B$354+C358*$C$354+D358*$D$354)</f>
        <v>146090.36674856787</v>
      </c>
      <c r="H358" s="37">
        <f t="shared" si="27"/>
        <v>3.9558811783867345E-2</v>
      </c>
      <c r="I358" s="46">
        <f t="shared" si="28"/>
        <v>29.021035767907151</v>
      </c>
      <c r="J358" s="17"/>
    </row>
    <row r="359" spans="1:10" x14ac:dyDescent="0.25">
      <c r="A359" s="4" t="s">
        <v>483</v>
      </c>
      <c r="B359" s="38">
        <f>Standing!$E$89</f>
        <v>0.81980317628743893</v>
      </c>
      <c r="C359" s="38">
        <f>Standing!$E$112</f>
        <v>5.8225417281853493E-2</v>
      </c>
      <c r="D359" s="38">
        <f>Standing!$E$126</f>
        <v>1.0303742441996937E-2</v>
      </c>
      <c r="E359" s="48">
        <f>AggCap!$E$97</f>
        <v>0</v>
      </c>
      <c r="F359" s="37">
        <f t="shared" si="26"/>
        <v>8.9106656382355653E-2</v>
      </c>
      <c r="G359" s="42">
        <f>0.01*Input!$F$60*(E359*$E$354)+10*(B359*$B$354+C359*$C$354+D359*$D$354)</f>
        <v>329070.14957273641</v>
      </c>
      <c r="H359" s="37">
        <f t="shared" si="27"/>
        <v>8.9106656382355653E-2</v>
      </c>
      <c r="I359" s="46">
        <f t="shared" si="28"/>
        <v>65.370200605609455</v>
      </c>
      <c r="J359" s="17"/>
    </row>
    <row r="360" spans="1:10" x14ac:dyDescent="0.25">
      <c r="A360" s="4" t="s">
        <v>484</v>
      </c>
      <c r="B360" s="38">
        <f>Standing!$F$89</f>
        <v>0.15459249277787473</v>
      </c>
      <c r="C360" s="38">
        <f>Standing!$F$112</f>
        <v>1.0979723744663415E-2</v>
      </c>
      <c r="D360" s="38">
        <f>Standing!$F$126</f>
        <v>1.9430044614647821E-3</v>
      </c>
      <c r="E360" s="48">
        <f>AggCap!$F$97</f>
        <v>0</v>
      </c>
      <c r="F360" s="37">
        <f t="shared" si="26"/>
        <v>1.6803082168615584E-2</v>
      </c>
      <c r="G360" s="42">
        <f>0.01*Input!$F$60*(E360*$E$354)+10*(B360*$B$354+C360*$C$354+D360*$D$354)</f>
        <v>62053.644329136849</v>
      </c>
      <c r="H360" s="37">
        <f t="shared" si="27"/>
        <v>1.6803082168615584E-2</v>
      </c>
      <c r="I360" s="46">
        <f t="shared" si="28"/>
        <v>12.327034777756989</v>
      </c>
      <c r="J360" s="17"/>
    </row>
    <row r="361" spans="1:10" x14ac:dyDescent="0.25">
      <c r="A361" s="4" t="s">
        <v>485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486</v>
      </c>
      <c r="B362" s="38">
        <f>Standing!$H$89</f>
        <v>0.59734733035379572</v>
      </c>
      <c r="C362" s="38">
        <f>Standing!$H$112</f>
        <v>4.2425790211693598E-2</v>
      </c>
      <c r="D362" s="38">
        <f>Standing!$H$126</f>
        <v>7.5077936002311092E-3</v>
      </c>
      <c r="E362" s="48">
        <f>AggCap!$H$97</f>
        <v>0</v>
      </c>
      <c r="F362" s="37">
        <f t="shared" si="26"/>
        <v>6.4927320174337222E-2</v>
      </c>
      <c r="G362" s="42">
        <f>0.01*Input!$F$60*(E362*$E$354)+10*(B362*$B$354+C362*$C$354+D362*$D$354)</f>
        <v>239776.05970811387</v>
      </c>
      <c r="H362" s="37">
        <f t="shared" si="27"/>
        <v>6.4927320174337222E-2</v>
      </c>
      <c r="I362" s="46">
        <f t="shared" si="28"/>
        <v>47.63181693597349</v>
      </c>
      <c r="J362" s="17"/>
    </row>
    <row r="363" spans="1:10" x14ac:dyDescent="0.25">
      <c r="A363" s="4" t="s">
        <v>487</v>
      </c>
      <c r="B363" s="38">
        <f>Standing!$I$89</f>
        <v>6.5471252885054967E-2</v>
      </c>
      <c r="C363" s="38">
        <f>Standing!$I$112</f>
        <v>4.6500076231242677E-3</v>
      </c>
      <c r="D363" s="38">
        <f>Standing!$I$126</f>
        <v>8.2287913318102046E-4</v>
      </c>
      <c r="E363" s="48">
        <f>AggCap!$I$97</f>
        <v>0</v>
      </c>
      <c r="F363" s="37">
        <f t="shared" si="26"/>
        <v>7.1162500981887099E-3</v>
      </c>
      <c r="G363" s="42">
        <f>0.01*Input!$F$60*(E363*$E$354)+10*(B363*$B$354+C363*$C$354+D363*$D$354)</f>
        <v>26280.253117786797</v>
      </c>
      <c r="H363" s="37">
        <f t="shared" si="27"/>
        <v>7.1162500981887099E-3</v>
      </c>
      <c r="I363" s="46">
        <f t="shared" si="28"/>
        <v>5.2206054560296371</v>
      </c>
      <c r="J363" s="17"/>
    </row>
    <row r="364" spans="1:10" x14ac:dyDescent="0.25">
      <c r="A364" s="4" t="s">
        <v>488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0.19377034374633198</v>
      </c>
      <c r="F364" s="37">
        <f t="shared" si="26"/>
        <v>0</v>
      </c>
      <c r="G364" s="42">
        <f>0.01*Input!$F$60*(E364*$E$354)+10*(B364*$B$354+C364*$C$354+D364*$D$354)</f>
        <v>3570.0727486776818</v>
      </c>
      <c r="H364" s="37">
        <f t="shared" si="27"/>
        <v>9.6671559571561425E-4</v>
      </c>
      <c r="I364" s="46">
        <f t="shared" si="28"/>
        <v>0.70919945811157503</v>
      </c>
      <c r="J364" s="17"/>
    </row>
    <row r="365" spans="1:10" x14ac:dyDescent="0.25">
      <c r="A365" s="4" t="s">
        <v>1577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1578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1579</v>
      </c>
      <c r="B367" s="38">
        <f>Standing!$K$89</f>
        <v>1.1715330584212538</v>
      </c>
      <c r="C367" s="38">
        <f>Standing!$K$112</f>
        <v>0</v>
      </c>
      <c r="D367" s="38">
        <f>Standing!$K$126</f>
        <v>0</v>
      </c>
      <c r="E367" s="48">
        <f>AggCap!$K$97</f>
        <v>0</v>
      </c>
      <c r="F367" s="37">
        <f t="shared" si="26"/>
        <v>7.9942234203576296E-2</v>
      </c>
      <c r="G367" s="42">
        <f>0.01*Input!$F$60*(E367*$E$354)+10*(B367*$B$354+C367*$C$354+D367*$D$354)</f>
        <v>295226.01379708655</v>
      </c>
      <c r="H367" s="37">
        <f t="shared" si="27"/>
        <v>7.9942234203576309E-2</v>
      </c>
      <c r="I367" s="46">
        <f t="shared" si="28"/>
        <v>58.647020311528436</v>
      </c>
      <c r="J367" s="17"/>
    </row>
    <row r="368" spans="1:10" x14ac:dyDescent="0.25">
      <c r="A368" s="4" t="s">
        <v>1580</v>
      </c>
      <c r="B368" s="38">
        <f>Standing!$L$89</f>
        <v>2.3377115519894884</v>
      </c>
      <c r="C368" s="38">
        <f>Standing!$L$112</f>
        <v>3.1078697380908717E-2</v>
      </c>
      <c r="D368" s="38">
        <f>Standing!$L$126</f>
        <v>9.7476683895610303E-3</v>
      </c>
      <c r="E368" s="48">
        <f>AggCap!$L$97</f>
        <v>0</v>
      </c>
      <c r="F368" s="37">
        <f t="shared" si="26"/>
        <v>0.17909086226115795</v>
      </c>
      <c r="G368" s="42">
        <f>0.01*Input!$F$60*(E368*$E$354)+10*(B368*$B$354+C368*$C$354+D368*$D$354)</f>
        <v>661381.08222248615</v>
      </c>
      <c r="H368" s="37">
        <f t="shared" si="27"/>
        <v>0.17909086226115795</v>
      </c>
      <c r="I368" s="46">
        <f t="shared" si="28"/>
        <v>131.38418686038429</v>
      </c>
      <c r="J368" s="17"/>
    </row>
    <row r="369" spans="1:10" x14ac:dyDescent="0.25">
      <c r="A369" s="4" t="s">
        <v>1581</v>
      </c>
      <c r="B369" s="38">
        <f>Standing!$M$89</f>
        <v>0.36053663808042774</v>
      </c>
      <c r="C369" s="38">
        <f>Standing!$M$112</f>
        <v>4.7931529705176421E-3</v>
      </c>
      <c r="D369" s="38">
        <f>Standing!$M$126</f>
        <v>1.5033469750809503E-3</v>
      </c>
      <c r="E369" s="48">
        <f>AggCap!$M$97</f>
        <v>0</v>
      </c>
      <c r="F369" s="37">
        <f t="shared" si="26"/>
        <v>2.7620523727836365E-2</v>
      </c>
      <c r="G369" s="42">
        <f>0.01*Input!$F$60*(E369*$E$354)+10*(B369*$B$354+C369*$C$354+D369*$D$354)</f>
        <v>102002.36708911225</v>
      </c>
      <c r="H369" s="37">
        <f t="shared" si="27"/>
        <v>2.7620523727836365E-2</v>
      </c>
      <c r="I369" s="46">
        <f t="shared" si="28"/>
        <v>20.262898982237928</v>
      </c>
      <c r="J369" s="17"/>
    </row>
    <row r="370" spans="1:10" x14ac:dyDescent="0.25">
      <c r="A370" s="4" t="s">
        <v>1582</v>
      </c>
      <c r="B370" s="38">
        <f>Standing!$N$89</f>
        <v>0.57239821070756058</v>
      </c>
      <c r="C370" s="38">
        <f>Standing!$N$112</f>
        <v>4.0653812566040275E-2</v>
      </c>
      <c r="D370" s="38">
        <f>Standing!$N$126</f>
        <v>7.19421918331614E-3</v>
      </c>
      <c r="E370" s="48">
        <f>AggCap!$N$97</f>
        <v>0</v>
      </c>
      <c r="F370" s="37">
        <f t="shared" si="26"/>
        <v>6.2215531911419E-2</v>
      </c>
      <c r="G370" s="42">
        <f>0.01*Input!$F$60*(E370*$E$354)+10*(B370*$B$354+C370*$C$354+D370*$D$354)</f>
        <v>229761.44794376998</v>
      </c>
      <c r="H370" s="37">
        <f t="shared" si="27"/>
        <v>6.2215531911419007E-2</v>
      </c>
      <c r="I370" s="46">
        <f t="shared" si="28"/>
        <v>45.642401667306729</v>
      </c>
      <c r="J370" s="17"/>
    </row>
    <row r="371" spans="1:10" x14ac:dyDescent="0.25">
      <c r="A371" s="4" t="s">
        <v>1583</v>
      </c>
      <c r="B371" s="38">
        <f>Standing!$O$89</f>
        <v>0.56809827435849924</v>
      </c>
      <c r="C371" s="38">
        <f>Standing!$O$112</f>
        <v>4.0348415373822374E-2</v>
      </c>
      <c r="D371" s="38">
        <f>Standing!$O$126</f>
        <v>7.1401751908808488E-3</v>
      </c>
      <c r="E371" s="48">
        <f>AggCap!$O$97</f>
        <v>0</v>
      </c>
      <c r="F371" s="37">
        <f t="shared" si="26"/>
        <v>6.1748160032650531E-2</v>
      </c>
      <c r="G371" s="42">
        <f>0.01*Input!$F$60*(E371*$E$354)+10*(B371*$B$354+C371*$C$354+D371*$D$354)</f>
        <v>228035.44743722549</v>
      </c>
      <c r="H371" s="37">
        <f t="shared" si="27"/>
        <v>6.1748160032650538E-2</v>
      </c>
      <c r="I371" s="46">
        <f t="shared" si="28"/>
        <v>45.299529487910654</v>
      </c>
      <c r="J371" s="17"/>
    </row>
    <row r="372" spans="1:10" x14ac:dyDescent="0.25">
      <c r="A372" s="4" t="s">
        <v>1584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1585</v>
      </c>
      <c r="B373" s="38">
        <f>Standing!$Q$89</f>
        <v>2.1951388548617525</v>
      </c>
      <c r="C373" s="38">
        <f>Standing!$Q$112</f>
        <v>0.1559067828875085</v>
      </c>
      <c r="D373" s="38">
        <f>Standing!$Q$126</f>
        <v>2.7589726460129287E-2</v>
      </c>
      <c r="E373" s="48">
        <f>AggCap!$Q$97</f>
        <v>0</v>
      </c>
      <c r="F373" s="37">
        <f t="shared" si="26"/>
        <v>0.23859566455636932</v>
      </c>
      <c r="G373" s="42">
        <f>0.01*Input!$F$60*(E373*$E$354)+10*(B373*$B$354+C373*$C$354+D373*$D$354)</f>
        <v>881131.82797551248</v>
      </c>
      <c r="H373" s="37">
        <f t="shared" si="27"/>
        <v>0.23859566455636935</v>
      </c>
      <c r="I373" s="46">
        <f t="shared" si="28"/>
        <v>175.03794990075508</v>
      </c>
      <c r="J373" s="17"/>
    </row>
    <row r="374" spans="1:10" x14ac:dyDescent="0.25">
      <c r="A374" s="4" t="s">
        <v>1586</v>
      </c>
      <c r="B374" s="38">
        <f>Standing!$R$89</f>
        <v>0.91425915605498809</v>
      </c>
      <c r="C374" s="38">
        <f>Standing!$R$112</f>
        <v>6.4934026123353694E-2</v>
      </c>
      <c r="D374" s="38">
        <f>Standing!$R$126</f>
        <v>1.1490917749170984E-2</v>
      </c>
      <c r="E374" s="48">
        <f>AggCap!$R$97</f>
        <v>0</v>
      </c>
      <c r="F374" s="37">
        <f t="shared" si="26"/>
        <v>9.937333596576664E-2</v>
      </c>
      <c r="G374" s="42">
        <f>0.01*Input!$F$60*(E374*$E$354)+10*(B374*$B$354+C374*$C$354+D374*$D$354)</f>
        <v>366984.91288325156</v>
      </c>
      <c r="H374" s="37">
        <f t="shared" si="27"/>
        <v>9.9373335965766668E-2</v>
      </c>
      <c r="I374" s="46">
        <f t="shared" si="28"/>
        <v>72.902016197940299</v>
      </c>
      <c r="J374" s="17"/>
    </row>
    <row r="375" spans="1:10" x14ac:dyDescent="0.25">
      <c r="A375" s="4" t="s">
        <v>1587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2.7058640721758009</v>
      </c>
      <c r="F375" s="37">
        <f t="shared" si="26"/>
        <v>0</v>
      </c>
      <c r="G375" s="42">
        <f>0.01*Input!$F$60*(E375*$E$354)+10*(B375*$B$354+C375*$C$354+D375*$D$354)</f>
        <v>49853.509050626897</v>
      </c>
      <c r="H375" s="37">
        <f t="shared" si="27"/>
        <v>1.3499490932850364E-2</v>
      </c>
      <c r="I375" s="46">
        <f t="shared" si="28"/>
        <v>9.9034625041634321</v>
      </c>
      <c r="J375" s="17"/>
    </row>
    <row r="376" spans="1:10" x14ac:dyDescent="0.25">
      <c r="A376" s="4" t="s">
        <v>1588</v>
      </c>
      <c r="B376" s="10"/>
      <c r="C376" s="10"/>
      <c r="D376" s="10"/>
      <c r="E376" s="48">
        <f>Otex!$B$131</f>
        <v>6.4794669092842296</v>
      </c>
      <c r="F376" s="37">
        <f t="shared" si="26"/>
        <v>0</v>
      </c>
      <c r="G376" s="42">
        <f>0.01*Input!$F$60*(E376*$E$354)+10*(B376*$B$354+C376*$C$354+D376*$D$354)</f>
        <v>119379.30124682622</v>
      </c>
      <c r="H376" s="37">
        <f t="shared" si="27"/>
        <v>3.232590494512598E-2</v>
      </c>
      <c r="I376" s="46">
        <f t="shared" si="28"/>
        <v>23.714848887980281</v>
      </c>
      <c r="J376" s="17"/>
    </row>
    <row r="377" spans="1:10" x14ac:dyDescent="0.25">
      <c r="A377" s="4" t="s">
        <v>1589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1590</v>
      </c>
      <c r="B378" s="38">
        <f>Adder!$B$275</f>
        <v>1.3195379706717336</v>
      </c>
      <c r="C378" s="38">
        <f>Adder!$C$275</f>
        <v>1.3195379706717336</v>
      </c>
      <c r="D378" s="38">
        <f>Adder!$D$275</f>
        <v>1.3195379706717336</v>
      </c>
      <c r="E378" s="10"/>
      <c r="F378" s="37">
        <f t="shared" si="26"/>
        <v>1.3195379706717334</v>
      </c>
      <c r="G378" s="42">
        <f>0.01*Input!$F$60*(E378*$E$354)+10*(B378*$B$354+C378*$C$354+D378*$D$354)</f>
        <v>4873042.8792279772</v>
      </c>
      <c r="H378" s="37">
        <f t="shared" si="27"/>
        <v>1.3195379706717334</v>
      </c>
      <c r="I378" s="46">
        <f t="shared" si="28"/>
        <v>968.03611931521641</v>
      </c>
      <c r="J378" s="17"/>
    </row>
    <row r="379" spans="1:10" x14ac:dyDescent="0.25">
      <c r="A379" s="4" t="s">
        <v>1591</v>
      </c>
      <c r="B379" s="38">
        <f>Adjust!$B$88</f>
        <v>7.281635449807311E-5</v>
      </c>
      <c r="C379" s="38">
        <f>Adjust!$C$88</f>
        <v>8.9632960175833887E-5</v>
      </c>
      <c r="D379" s="38">
        <f>Adjust!$D$88</f>
        <v>1.0456733474550894E-4</v>
      </c>
      <c r="E379" s="48">
        <f>Adjust!$E$88</f>
        <v>8.9867479363725522E-4</v>
      </c>
      <c r="F379" s="37">
        <f t="shared" si="26"/>
        <v>9.5056946286118562E-5</v>
      </c>
      <c r="G379" s="42">
        <f>0.01*Input!$F$60*(E379*$E$354)+10*(B379*$B$354+C379*$C$354+D379*$D$354)</f>
        <v>367.60192799144693</v>
      </c>
      <c r="H379" s="37">
        <f t="shared" si="27"/>
        <v>9.9540413269192928E-5</v>
      </c>
      <c r="I379" s="46">
        <f t="shared" si="28"/>
        <v>7.3024587028055976E-2</v>
      </c>
      <c r="J379" s="17"/>
    </row>
    <row r="381" spans="1:10" x14ac:dyDescent="0.25">
      <c r="A381" s="4" t="s">
        <v>1592</v>
      </c>
      <c r="B381" s="37">
        <f>SUM($B$357:$B$379)</f>
        <v>14.941000000000001</v>
      </c>
      <c r="C381" s="37">
        <f>SUM($C$357:$C$379)</f>
        <v>1.825</v>
      </c>
      <c r="D381" s="37">
        <f>SUM($D$357:$D$379)</f>
        <v>1.421</v>
      </c>
      <c r="E381" s="46">
        <f>SUM($E$357:$E$379)</f>
        <v>9.3800000000000008</v>
      </c>
      <c r="F381" s="37">
        <f>SUM(F$357:F$379)</f>
        <v>2.542229917691468</v>
      </c>
      <c r="G381" s="42">
        <f>SUM($G$357:$G$379)</f>
        <v>9561253.6296260543</v>
      </c>
      <c r="H381" s="37">
        <f>SUM($H$357:$H$379)</f>
        <v>2.589026512632143</v>
      </c>
      <c r="I381" s="46">
        <f>SUM($I$357:$I$379)</f>
        <v>1899.355102920432</v>
      </c>
    </row>
    <row r="383" spans="1:10" ht="21" customHeight="1" x14ac:dyDescent="0.3">
      <c r="A383" s="1" t="s">
        <v>190</v>
      </c>
    </row>
    <row r="385" spans="1:14" ht="30" x14ac:dyDescent="0.25">
      <c r="B385" s="15" t="s">
        <v>239</v>
      </c>
      <c r="C385" s="15" t="s">
        <v>240</v>
      </c>
      <c r="D385" s="15" t="s">
        <v>241</v>
      </c>
      <c r="E385" s="15" t="s">
        <v>242</v>
      </c>
      <c r="F385" s="15" t="s">
        <v>243</v>
      </c>
      <c r="G385" s="15" t="s">
        <v>244</v>
      </c>
      <c r="H385" s="15" t="s">
        <v>245</v>
      </c>
      <c r="I385" s="15" t="s">
        <v>1573</v>
      </c>
      <c r="J385" s="15" t="s">
        <v>1574</v>
      </c>
    </row>
    <row r="386" spans="1:14" x14ac:dyDescent="0.25">
      <c r="A386" s="4" t="s">
        <v>190</v>
      </c>
      <c r="B386" s="44">
        <f>Loads!B$345</f>
        <v>90131.66685441017</v>
      </c>
      <c r="C386" s="44">
        <f>Loads!C$345</f>
        <v>646308.66391212982</v>
      </c>
      <c r="D386" s="44">
        <f>Loads!D$345</f>
        <v>549088.06557547464</v>
      </c>
      <c r="E386" s="44">
        <f>Loads!E$345</f>
        <v>7440.6354421645065</v>
      </c>
      <c r="F386" s="44">
        <f>Loads!F$345</f>
        <v>682500.12980673625</v>
      </c>
      <c r="G386" s="44">
        <f>Loads!G$345</f>
        <v>27158.827817375019</v>
      </c>
      <c r="H386" s="44">
        <f>Loads!H$345</f>
        <v>104839.87017081755</v>
      </c>
      <c r="I386" s="44">
        <f>Multi!B$139</f>
        <v>1285528.3963420147</v>
      </c>
      <c r="J386" s="37">
        <f>IF(E386,I386/E386,"")</f>
        <v>172.77131857007768</v>
      </c>
      <c r="K386" s="17"/>
    </row>
    <row r="388" spans="1:14" ht="30" x14ac:dyDescent="0.25">
      <c r="B388" s="15" t="s">
        <v>1381</v>
      </c>
      <c r="C388" s="15" t="s">
        <v>1382</v>
      </c>
      <c r="D388" s="15" t="s">
        <v>1383</v>
      </c>
      <c r="E388" s="15" t="s">
        <v>1384</v>
      </c>
      <c r="F388" s="15" t="s">
        <v>1385</v>
      </c>
      <c r="G388" s="15" t="s">
        <v>1386</v>
      </c>
      <c r="H388" s="15" t="s">
        <v>1138</v>
      </c>
      <c r="I388" s="15" t="s">
        <v>1593</v>
      </c>
      <c r="J388" s="15" t="s">
        <v>1575</v>
      </c>
      <c r="K388" s="15" t="s">
        <v>1542</v>
      </c>
      <c r="L388" s="15" t="s">
        <v>1576</v>
      </c>
      <c r="M388" s="15" t="s">
        <v>1594</v>
      </c>
    </row>
    <row r="389" spans="1:14" x14ac:dyDescent="0.25">
      <c r="A389" s="4" t="s">
        <v>481</v>
      </c>
      <c r="B389" s="38">
        <f>Standing!$C$90</f>
        <v>2.5293681216061734</v>
      </c>
      <c r="C389" s="38">
        <f>Standing!$C$113</f>
        <v>3.3626674920357855E-2</v>
      </c>
      <c r="D389" s="38">
        <f>Standing!$C$127</f>
        <v>1.0546828013730376E-2</v>
      </c>
      <c r="E389" s="10"/>
      <c r="F389" s="48">
        <f>Standing!$C$36</f>
        <v>0</v>
      </c>
      <c r="G389" s="48">
        <f>Standing!$C$153</f>
        <v>0</v>
      </c>
      <c r="H389" s="38">
        <f>Reactive!$C$33</f>
        <v>3.6514093608459579E-2</v>
      </c>
      <c r="I389" s="37">
        <f t="shared" ref="I389:I411" si="29">IF(I$386&lt;&gt;0,(($B389*B$386+$C389*C$386+$D389*D$386+$H389*H$386))/I$386,0)</f>
        <v>0.20172922448979877</v>
      </c>
      <c r="J389" s="42">
        <f>0.01*Input!$F$60*(E389*$E$386+F389*$F$386+G389*$G$386)+10*(B389*$B$386+C389*$C$386+D389*$D$386+H389*$H$386)</f>
        <v>2593286.4645368927</v>
      </c>
      <c r="K389" s="37">
        <f t="shared" ref="K389:K411" si="30">IF($I$386&lt;&gt;0,0.1*J389/$I$386,"")</f>
        <v>0.20172922448979877</v>
      </c>
      <c r="L389" s="46">
        <f t="shared" ref="L389:L411" si="31">IF($E$386&lt;&gt;0,J389/$E$386,"")</f>
        <v>348.53024109221735</v>
      </c>
      <c r="M389" s="46">
        <f>IF($F$386&lt;&gt;0,J389/$F$386*100/Input!$F$60,"")</f>
        <v>1.0381656843859972</v>
      </c>
      <c r="N389" s="17"/>
    </row>
    <row r="390" spans="1:14" x14ac:dyDescent="0.25">
      <c r="A390" s="4" t="s">
        <v>482</v>
      </c>
      <c r="B390" s="38">
        <f>Standing!$D$90</f>
        <v>0.39009512454845274</v>
      </c>
      <c r="C390" s="38">
        <f>Standing!$D$113</f>
        <v>5.1861181570033877E-3</v>
      </c>
      <c r="D390" s="38">
        <f>Standing!$D$127</f>
        <v>1.6265984189737723E-3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5.6314341009883698E-3</v>
      </c>
      <c r="I390" s="37">
        <f t="shared" si="29"/>
        <v>3.111195491087301E-2</v>
      </c>
      <c r="J390" s="42">
        <f>0.01*Input!$F$60*(E390*$E$386+F390*$F$386+G390*$G$386)+10*(B390*$B$386+C390*$C$386+D390*$D$386+H390*$H$386)</f>
        <v>399953.01503639645</v>
      </c>
      <c r="K390" s="37">
        <f t="shared" si="30"/>
        <v>3.111195491087301E-2</v>
      </c>
      <c r="L390" s="46">
        <f t="shared" si="31"/>
        <v>53.75253473244333</v>
      </c>
      <c r="M390" s="46">
        <f>IF($F$386&lt;&gt;0,J390/$F$386*100/Input!$F$60,"")</f>
        <v>0.16011246781086053</v>
      </c>
      <c r="N390" s="17"/>
    </row>
    <row r="391" spans="1:14" x14ac:dyDescent="0.25">
      <c r="A391" s="4" t="s">
        <v>483</v>
      </c>
      <c r="B391" s="38">
        <f>Standing!$E$90</f>
        <v>0.61895258065830272</v>
      </c>
      <c r="C391" s="38">
        <f>Standing!$E$113</f>
        <v>4.3960274037623225E-2</v>
      </c>
      <c r="D391" s="38">
        <f>Standing!$E$127</f>
        <v>7.7793404067958887E-3</v>
      </c>
      <c r="E391" s="10"/>
      <c r="F391" s="48">
        <f>Standing!$E$36</f>
        <v>0</v>
      </c>
      <c r="G391" s="48">
        <f>Standing!$E$153</f>
        <v>0</v>
      </c>
      <c r="H391" s="38">
        <f>Reactive!$E$33</f>
        <v>1.2567920976113678E-2</v>
      </c>
      <c r="I391" s="37">
        <f t="shared" si="29"/>
        <v>6.9845439596205011E-2</v>
      </c>
      <c r="J391" s="42">
        <f>0.01*Input!$F$60*(E391*$E$386+F391*$F$386+G391*$G$386)+10*(B391*$B$386+C391*$C$386+D391*$D$386+H391*$H$386)</f>
        <v>897882.95955912466</v>
      </c>
      <c r="K391" s="37">
        <f t="shared" si="30"/>
        <v>6.9845439596205011E-2</v>
      </c>
      <c r="L391" s="46">
        <f t="shared" si="31"/>
        <v>120.67288695143051</v>
      </c>
      <c r="M391" s="46">
        <f>IF($F$386&lt;&gt;0,J391/$F$386*100/Input!$F$60,"")</f>
        <v>0.35944786276269952</v>
      </c>
      <c r="N391" s="17"/>
    </row>
    <row r="392" spans="1:14" x14ac:dyDescent="0.25">
      <c r="A392" s="4" t="s">
        <v>484</v>
      </c>
      <c r="B392" s="38">
        <f>Standing!$F$90</f>
        <v>0.11671755504606199</v>
      </c>
      <c r="C392" s="38">
        <f>Standing!$F$113</f>
        <v>8.2897072654081524E-3</v>
      </c>
      <c r="D392" s="38">
        <f>Standing!$F$127</f>
        <v>1.4669711711784812E-3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2.369966705339446E-3</v>
      </c>
      <c r="I392" s="37">
        <f t="shared" si="29"/>
        <v>1.3170942646552965E-2</v>
      </c>
      <c r="J392" s="42">
        <f>0.01*Input!$F$60*(E392*$E$386+F392*$F$386+G392*$G$386)+10*(B392*$B$386+C392*$C$386+D392*$D$386+H392*$H$386)</f>
        <v>169316.20778735884</v>
      </c>
      <c r="K392" s="37">
        <f t="shared" si="30"/>
        <v>1.3170942646552965E-2</v>
      </c>
      <c r="L392" s="46">
        <f t="shared" si="31"/>
        <v>22.755611278558241</v>
      </c>
      <c r="M392" s="46">
        <f>IF($F$386&lt;&gt;0,J392/$F$386*100/Input!$F$60,"")</f>
        <v>6.778205151608481E-2</v>
      </c>
      <c r="N392" s="17"/>
    </row>
    <row r="393" spans="1:14" x14ac:dyDescent="0.25">
      <c r="A393" s="4" t="s">
        <v>485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486</v>
      </c>
      <c r="B394" s="38">
        <f>Standing!$H$90</f>
        <v>0.36079847686971656</v>
      </c>
      <c r="C394" s="38">
        <f>Standing!$H$113</f>
        <v>2.5625226247026296E-2</v>
      </c>
      <c r="D394" s="38">
        <f>Standing!$H$127</f>
        <v>4.5347159984982718E-3</v>
      </c>
      <c r="E394" s="10"/>
      <c r="F394" s="48">
        <f>Standing!$H$36</f>
        <v>0.10763518616472738</v>
      </c>
      <c r="G394" s="48">
        <f>Standing!$H$153</f>
        <v>0.56650097981435477</v>
      </c>
      <c r="H394" s="38">
        <f>Reactive!$H$33</f>
        <v>7.3260648510068537E-3</v>
      </c>
      <c r="I394" s="37">
        <f t="shared" si="29"/>
        <v>4.0714150017444502E-2</v>
      </c>
      <c r="J394" s="42">
        <f>0.01*Input!$F$60*(E394*$E$386+F394*$F$386+G394*$G$386)+10*(B394*$B$386+C394*$C$386+D394*$D$386+H394*$H$386)</f>
        <v>848570.26362350094</v>
      </c>
      <c r="K394" s="37">
        <f t="shared" si="30"/>
        <v>6.6009453080781183E-2</v>
      </c>
      <c r="L394" s="46">
        <f t="shared" si="31"/>
        <v>114.0454024685624</v>
      </c>
      <c r="M394" s="46">
        <f>IF($F$386&lt;&gt;0,J394/$F$386*100/Input!$F$60,"")</f>
        <v>0.33970660030480609</v>
      </c>
      <c r="N394" s="17"/>
    </row>
    <row r="395" spans="1:14" x14ac:dyDescent="0.25">
      <c r="A395" s="4" t="s">
        <v>487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5.8985870821143913E-2</v>
      </c>
      <c r="G395" s="48">
        <f>Standing!$I$153</f>
        <v>1.1797174164228772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264609.24044141237</v>
      </c>
      <c r="K395" s="37">
        <f t="shared" si="30"/>
        <v>2.0583694704400225E-2</v>
      </c>
      <c r="L395" s="46">
        <f t="shared" si="31"/>
        <v>35.562720751231517</v>
      </c>
      <c r="M395" s="46">
        <f>IF($F$386&lt;&gt;0,J395/$F$386*100/Input!$F$60,"")</f>
        <v>0.10593053908788862</v>
      </c>
      <c r="N395" s="17"/>
    </row>
    <row r="396" spans="1:14" x14ac:dyDescent="0.25">
      <c r="A396" s="4" t="s">
        <v>488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0.12691615964312911</v>
      </c>
      <c r="G396" s="48">
        <f>Standing!$J$153</f>
        <v>2.5383231928625798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569342.93137317372</v>
      </c>
      <c r="K396" s="37">
        <f t="shared" si="30"/>
        <v>4.4288631273587217E-2</v>
      </c>
      <c r="L396" s="46">
        <f t="shared" si="31"/>
        <v>76.518052228016415</v>
      </c>
      <c r="M396" s="46">
        <f>IF($F$386&lt;&gt;0,J396/$F$386*100/Input!$F$60,"")</f>
        <v>0.22792402693734568</v>
      </c>
      <c r="N396" s="17"/>
    </row>
    <row r="397" spans="1:14" x14ac:dyDescent="0.25">
      <c r="A397" s="4" t="s">
        <v>1577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1578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1579</v>
      </c>
      <c r="B399" s="38">
        <f>Standing!$K$90</f>
        <v>0.88509521040756756</v>
      </c>
      <c r="C399" s="38">
        <f>Standing!$K$113</f>
        <v>0</v>
      </c>
      <c r="D399" s="38">
        <f>Standing!$K$127</f>
        <v>0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1.1348396392363212E-2</v>
      </c>
      <c r="I399" s="37">
        <f t="shared" si="29"/>
        <v>6.2981783423608315E-2</v>
      </c>
      <c r="J399" s="42">
        <f>0.01*Input!$F$60*(E399*$E$386+F399*$F$386+G399*$G$386)+10*(B399*$B$386+C399*$C$386+D399*$D$386+H399*$H$386)</f>
        <v>809648.71043311292</v>
      </c>
      <c r="K399" s="37">
        <f t="shared" si="30"/>
        <v>6.2981783423608328E-2</v>
      </c>
      <c r="L399" s="46">
        <f t="shared" si="31"/>
        <v>108.8144576799187</v>
      </c>
      <c r="M399" s="46">
        <f>IF($F$386&lt;&gt;0,J399/$F$386*100/Input!$F$60,"")</f>
        <v>0.32412520524574501</v>
      </c>
      <c r="N399" s="17"/>
    </row>
    <row r="400" spans="1:14" x14ac:dyDescent="0.25">
      <c r="A400" s="4" t="s">
        <v>1580</v>
      </c>
      <c r="B400" s="38">
        <f>Standing!$L$90</f>
        <v>1.7660407142902896</v>
      </c>
      <c r="C400" s="38">
        <f>Standing!$L$113</f>
        <v>2.3478621592591838E-2</v>
      </c>
      <c r="D400" s="38">
        <f>Standing!$L$127</f>
        <v>7.3639449788896142E-3</v>
      </c>
      <c r="E400" s="10"/>
      <c r="F400" s="48">
        <f>Standing!$L$36</f>
        <v>0</v>
      </c>
      <c r="G400" s="48">
        <f>Standing!$L$153</f>
        <v>0</v>
      </c>
      <c r="H400" s="38">
        <f>Reactive!$L$33</f>
        <v>2.5494658293154115E-2</v>
      </c>
      <c r="I400" s="37">
        <f t="shared" si="29"/>
        <v>0.14085020708055757</v>
      </c>
      <c r="J400" s="42">
        <f>0.01*Input!$F$60*(E400*$E$386+F400*$F$386+G400*$G$386)+10*(B400*$B$386+C400*$C$386+D400*$D$386+H400*$H$386)</f>
        <v>1810669.4083270985</v>
      </c>
      <c r="K400" s="37">
        <f t="shared" si="30"/>
        <v>0.14085020708055759</v>
      </c>
      <c r="L400" s="46">
        <f t="shared" si="31"/>
        <v>243.3487599817642</v>
      </c>
      <c r="M400" s="46">
        <f>IF($F$386&lt;&gt;0,J400/$F$386*100/Input!$F$60,"")</f>
        <v>0.72486201243038506</v>
      </c>
      <c r="N400" s="17"/>
    </row>
    <row r="401" spans="1:14" x14ac:dyDescent="0.25">
      <c r="A401" s="4" t="s">
        <v>1581</v>
      </c>
      <c r="B401" s="38">
        <f>Standing!$M$90</f>
        <v>0.27236995141744558</v>
      </c>
      <c r="C401" s="38">
        <f>Standing!$M$113</f>
        <v>3.6210212883414205E-3</v>
      </c>
      <c r="D401" s="38">
        <f>Standing!$M$127</f>
        <v>1.135714097591988E-3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3.9319471994739971E-3</v>
      </c>
      <c r="I401" s="37">
        <f t="shared" si="29"/>
        <v>2.1722808398041665E-2</v>
      </c>
      <c r="J401" s="42">
        <f>0.01*Input!$F$60*(E401*$E$386+F401*$F$386+G401*$G$386)+10*(B401*$B$386+C401*$C$386+D401*$D$386+H401*$H$386)</f>
        <v>279252.87043979351</v>
      </c>
      <c r="K401" s="37">
        <f t="shared" si="30"/>
        <v>2.1722808398041665E-2</v>
      </c>
      <c r="L401" s="46">
        <f t="shared" si="31"/>
        <v>37.530782499748149</v>
      </c>
      <c r="M401" s="46">
        <f>IF($F$386&lt;&gt;0,J401/$F$386*100/Input!$F$60,"")</f>
        <v>0.11179279702470296</v>
      </c>
      <c r="N401" s="17"/>
    </row>
    <row r="402" spans="1:14" x14ac:dyDescent="0.25">
      <c r="A402" s="4" t="s">
        <v>1582</v>
      </c>
      <c r="B402" s="38">
        <f>Standing!$N$90</f>
        <v>0.43216147476527905</v>
      </c>
      <c r="C402" s="38">
        <f>Standing!$N$113</f>
        <v>3.0693687130247223E-2</v>
      </c>
      <c r="D402" s="38">
        <f>Standing!$N$127</f>
        <v>5.4316458610227771E-3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8.7751007645756954E-3</v>
      </c>
      <c r="I402" s="37">
        <f t="shared" si="29"/>
        <v>4.8767077034272417E-2</v>
      </c>
      <c r="J402" s="42">
        <f>0.01*Input!$F$60*(E402*$E$386+F402*$F$386+G402*$G$386)+10*(B402*$B$386+C402*$C$386+D402*$D$386+H402*$H$386)</f>
        <v>626914.6233415571</v>
      </c>
      <c r="K402" s="37">
        <f t="shared" si="30"/>
        <v>4.8767077034272417E-2</v>
      </c>
      <c r="L402" s="46">
        <f t="shared" si="31"/>
        <v>84.255522020197986</v>
      </c>
      <c r="M402" s="46">
        <f>IF($F$386&lt;&gt;0,J402/$F$386*100/Input!$F$60,"")</f>
        <v>0.25097159835336746</v>
      </c>
      <c r="N402" s="17"/>
    </row>
    <row r="403" spans="1:14" x14ac:dyDescent="0.25">
      <c r="A403" s="4" t="s">
        <v>1583</v>
      </c>
      <c r="B403" s="38">
        <f>Standing!$O$90</f>
        <v>0.42891501661910475</v>
      </c>
      <c r="C403" s="38">
        <f>Standing!$O$113</f>
        <v>3.046311180958905E-2</v>
      </c>
      <c r="D403" s="38">
        <f>Standing!$O$127</f>
        <v>5.390842568775988E-3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8.7091809660186162E-3</v>
      </c>
      <c r="I403" s="37">
        <f t="shared" si="29"/>
        <v>4.8400731851400654E-2</v>
      </c>
      <c r="J403" s="42">
        <f>0.01*Input!$F$60*(E403*$E$386+F403*$F$386+G403*$G$386)+10*(B403*$B$386+C403*$C$386+D403*$D$386+H403*$H$386)</f>
        <v>622205.15198710945</v>
      </c>
      <c r="K403" s="37">
        <f t="shared" si="30"/>
        <v>4.8400731851400654E-2</v>
      </c>
      <c r="L403" s="46">
        <f t="shared" si="31"/>
        <v>83.622582617232467</v>
      </c>
      <c r="M403" s="46">
        <f>IF($F$386&lt;&gt;0,J403/$F$386*100/Input!$F$60,"")</f>
        <v>0.24908626419586261</v>
      </c>
      <c r="N403" s="17"/>
    </row>
    <row r="404" spans="1:14" x14ac:dyDescent="0.25">
      <c r="A404" s="4" t="s">
        <v>1584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1585</v>
      </c>
      <c r="B405" s="38">
        <f>Standing!$Q$90</f>
        <v>1.3258664015164647</v>
      </c>
      <c r="C405" s="38">
        <f>Standing!$Q$113</f>
        <v>9.4167876779752968E-2</v>
      </c>
      <c r="D405" s="38">
        <f>Standing!$Q$127</f>
        <v>1.6664226620333324E-2</v>
      </c>
      <c r="E405" s="10"/>
      <c r="F405" s="48">
        <f>Standing!$Q$36</f>
        <v>0.39553902276675651</v>
      </c>
      <c r="G405" s="48">
        <f>Standing!$Q$153</f>
        <v>0.39553902276675651</v>
      </c>
      <c r="H405" s="38">
        <f>Reactive!$Q$33</f>
        <v>2.6921907557797678E-2</v>
      </c>
      <c r="I405" s="37">
        <f t="shared" si="29"/>
        <v>0.14961682777259405</v>
      </c>
      <c r="J405" s="42">
        <f>0.01*Input!$F$60*(E405*$E$386+F405*$F$386+G405*$G$386)+10*(B405*$B$386+C405*$C$386+D405*$D$386+H405*$H$386)</f>
        <v>2950720.793505339</v>
      </c>
      <c r="K405" s="37">
        <f t="shared" si="30"/>
        <v>0.2295336922857284</v>
      </c>
      <c r="L405" s="46">
        <f t="shared" si="31"/>
        <v>396.56838672463761</v>
      </c>
      <c r="M405" s="46">
        <f>IF($F$386&lt;&gt;0,J405/$F$386*100/Input!$F$60,"")</f>
        <v>1.1812567234327935</v>
      </c>
      <c r="N405" s="17"/>
    </row>
    <row r="406" spans="1:14" x14ac:dyDescent="0.25">
      <c r="A406" s="4" t="s">
        <v>1586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0.82369544036047837</v>
      </c>
      <c r="G406" s="48">
        <f>Standing!$R$153</f>
        <v>0.82369544036047837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2139426.8222377785</v>
      </c>
      <c r="K406" s="37">
        <f t="shared" si="30"/>
        <v>0.16642392562665606</v>
      </c>
      <c r="L406" s="46">
        <f t="shared" si="31"/>
        <v>287.53281072125901</v>
      </c>
      <c r="M406" s="46">
        <f>IF($F$386&lt;&gt;0,J406/$F$386*100/Input!$F$60,"")</f>
        <v>0.85647287389011273</v>
      </c>
      <c r="N406" s="17"/>
    </row>
    <row r="407" spans="1:14" x14ac:dyDescent="0.25">
      <c r="A407" s="4" t="s">
        <v>1587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1.7722932721141553</v>
      </c>
      <c r="G407" s="48">
        <f>Standing!$S$153</f>
        <v>1.7722932721141553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4603269.0936994907</v>
      </c>
      <c r="K407" s="37">
        <f t="shared" si="30"/>
        <v>0.35808381260173983</v>
      </c>
      <c r="L407" s="46">
        <f t="shared" si="31"/>
        <v>618.66612461803174</v>
      </c>
      <c r="M407" s="46">
        <f>IF($F$386&lt;&gt;0,J407/$F$386*100/Input!$F$60,"")</f>
        <v>1.8428183983626598</v>
      </c>
      <c r="N407" s="17"/>
    </row>
    <row r="408" spans="1:14" x14ac:dyDescent="0.25">
      <c r="A408" s="4" t="s">
        <v>1588</v>
      </c>
      <c r="B408" s="10"/>
      <c r="C408" s="10"/>
      <c r="D408" s="10"/>
      <c r="E408" s="48">
        <f>Otex!$B$132</f>
        <v>11.998753381487354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326758.75979983486</v>
      </c>
      <c r="K408" s="37">
        <f t="shared" si="30"/>
        <v>2.541824519237619E-2</v>
      </c>
      <c r="L408" s="46">
        <f t="shared" si="31"/>
        <v>43.915437376243716</v>
      </c>
      <c r="M408" s="46">
        <f>IF($F$386&lt;&gt;0,J408/$F$386*100/Input!$F$60,"")</f>
        <v>0.13081074387101876</v>
      </c>
      <c r="N408" s="17"/>
    </row>
    <row r="409" spans="1:14" x14ac:dyDescent="0.25">
      <c r="A409" s="4" t="s">
        <v>1589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1590</v>
      </c>
      <c r="B410" s="38">
        <f>Adder!$B$276</f>
        <v>1.3195379706717336</v>
      </c>
      <c r="C410" s="38">
        <f>Adder!$C$276</f>
        <v>1.3195379706717336</v>
      </c>
      <c r="D410" s="38">
        <f>Adder!$D$276</f>
        <v>1.3195379706717336</v>
      </c>
      <c r="E410" s="10"/>
      <c r="F410" s="10"/>
      <c r="G410" s="10"/>
      <c r="H410" s="10"/>
      <c r="I410" s="37">
        <f t="shared" si="29"/>
        <v>1.3195379706717336</v>
      </c>
      <c r="J410" s="42">
        <f>0.01*Input!$F$60*(E410*$E$386+F410*$F$386+G410*$G$386)+10*(B410*$B$386+C410*$C$386+D410*$D$386+H410*$H$386)</f>
        <v>16963035.3135003</v>
      </c>
      <c r="K410" s="37">
        <f t="shared" si="30"/>
        <v>1.3195379706717336</v>
      </c>
      <c r="L410" s="46">
        <f t="shared" si="31"/>
        <v>2279.7831509623988</v>
      </c>
      <c r="M410" s="46">
        <f>IF($F$386&lt;&gt;0,J410/$F$386*100/Input!$F$60,"")</f>
        <v>6.790781275545946</v>
      </c>
      <c r="N410" s="17"/>
    </row>
    <row r="411" spans="1:14" x14ac:dyDescent="0.25">
      <c r="A411" s="4" t="s">
        <v>1591</v>
      </c>
      <c r="B411" s="38">
        <f>Adjust!$B$89</f>
        <v>8.1401583406304212E-5</v>
      </c>
      <c r="C411" s="38">
        <f>Adjust!$C$89</f>
        <v>3.4971010032491812E-4</v>
      </c>
      <c r="D411" s="38">
        <f>Adjust!$D$89</f>
        <v>-4.7879880752410564E-4</v>
      </c>
      <c r="E411" s="48">
        <f>Adjust!$E$89</f>
        <v>1.2466185126456253E-3</v>
      </c>
      <c r="F411" s="48">
        <f>Adjust!$F$89</f>
        <v>4.9350481296093207E-3</v>
      </c>
      <c r="G411" s="48">
        <f>Adjust!$G$89</f>
        <v>3.9306756587977887E-3</v>
      </c>
      <c r="H411" s="38">
        <f>Adjust!$H$89</f>
        <v>4.0932858470874023E-4</v>
      </c>
      <c r="I411" s="37">
        <f t="shared" si="29"/>
        <v>1.0399437917845966E-5</v>
      </c>
      <c r="J411" s="42">
        <f>0.01*Input!$F$60*(E411*$E$386+F411*$F$386+G411*$G$386)+10*(B411*$B$386+C411*$C$386+D411*$D$386+H411*$H$386)</f>
        <v>12885.856676415893</v>
      </c>
      <c r="K411" s="37">
        <f t="shared" si="30"/>
        <v>1.0023782215221962E-3</v>
      </c>
      <c r="L411" s="46">
        <f t="shared" si="31"/>
        <v>1.7318220703831921</v>
      </c>
      <c r="M411" s="46">
        <f>IF($F$386&lt;&gt;0,J411/$F$386*100/Input!$F$60,"")</f>
        <v>5.1585717190561712E-3</v>
      </c>
      <c r="N411" s="17"/>
    </row>
    <row r="413" spans="1:14" x14ac:dyDescent="0.25">
      <c r="A413" s="4" t="s">
        <v>1592</v>
      </c>
      <c r="B413" s="37">
        <f>SUM($B$389:$B$411)</f>
        <v>10.446</v>
      </c>
      <c r="C413" s="37">
        <f>SUM($C$389:$C$411)</f>
        <v>1.619</v>
      </c>
      <c r="D413" s="37">
        <f>SUM($D$389:$D$411)</f>
        <v>1.381</v>
      </c>
      <c r="E413" s="46">
        <f>SUM($E$389:$E$411)</f>
        <v>12</v>
      </c>
      <c r="F413" s="46">
        <f>SUM($F$389:$F$411)</f>
        <v>3.29</v>
      </c>
      <c r="G413" s="46">
        <f>SUM($G$389:$G$411)</f>
        <v>7.28</v>
      </c>
      <c r="H413" s="37">
        <f>SUM($H$389:$H$411)</f>
        <v>0.15</v>
      </c>
      <c r="I413" s="37">
        <f>SUM(I$389:I$411)</f>
        <v>2.1484595173310002</v>
      </c>
      <c r="J413" s="42">
        <f>SUM($J$389:$J$411)</f>
        <v>36887748.486305684</v>
      </c>
      <c r="K413" s="37">
        <f>SUM($K$389:$K$411)</f>
        <v>2.8694619730898356</v>
      </c>
      <c r="L413" s="46">
        <f>SUM($L$389:$L$411)</f>
        <v>4957.6072867742741</v>
      </c>
      <c r="M413" s="46">
        <f>SUM($M$389:$M$411)</f>
        <v>14.767205696877332</v>
      </c>
    </row>
    <row r="415" spans="1:14" ht="21" customHeight="1" x14ac:dyDescent="0.3">
      <c r="A415" s="1" t="s">
        <v>191</v>
      </c>
    </row>
    <row r="417" spans="1:14" ht="30" x14ac:dyDescent="0.25">
      <c r="B417" s="15" t="s">
        <v>239</v>
      </c>
      <c r="C417" s="15" t="s">
        <v>240</v>
      </c>
      <c r="D417" s="15" t="s">
        <v>241</v>
      </c>
      <c r="E417" s="15" t="s">
        <v>242</v>
      </c>
      <c r="F417" s="15" t="s">
        <v>243</v>
      </c>
      <c r="G417" s="15" t="s">
        <v>244</v>
      </c>
      <c r="H417" s="15" t="s">
        <v>245</v>
      </c>
      <c r="I417" s="15" t="s">
        <v>1573</v>
      </c>
      <c r="J417" s="15" t="s">
        <v>1574</v>
      </c>
    </row>
    <row r="418" spans="1:14" x14ac:dyDescent="0.25">
      <c r="A418" s="4" t="s">
        <v>191</v>
      </c>
      <c r="B418" s="44">
        <f>Loads!B$346</f>
        <v>49235.777534918569</v>
      </c>
      <c r="C418" s="44">
        <f>Loads!C$346</f>
        <v>362863.18465112551</v>
      </c>
      <c r="D418" s="44">
        <f>Loads!D$346</f>
        <v>331615.93425487098</v>
      </c>
      <c r="E418" s="44">
        <f>Loads!E$346</f>
        <v>1770.673791651107</v>
      </c>
      <c r="F418" s="44">
        <f>Loads!F$346</f>
        <v>353602.7664470395</v>
      </c>
      <c r="G418" s="44">
        <f>Loads!G$346</f>
        <v>5897.3699357838677</v>
      </c>
      <c r="H418" s="44">
        <f>Loads!H$346</f>
        <v>69229.709357862055</v>
      </c>
      <c r="I418" s="44">
        <f>Multi!B$140</f>
        <v>743714.89644091506</v>
      </c>
      <c r="J418" s="37">
        <f>IF(E418,I418/E418,"")</f>
        <v>420.01801797010864</v>
      </c>
      <c r="K418" s="17"/>
    </row>
    <row r="420" spans="1:14" ht="30" x14ac:dyDescent="0.25">
      <c r="B420" s="15" t="s">
        <v>1381</v>
      </c>
      <c r="C420" s="15" t="s">
        <v>1382</v>
      </c>
      <c r="D420" s="15" t="s">
        <v>1383</v>
      </c>
      <c r="E420" s="15" t="s">
        <v>1384</v>
      </c>
      <c r="F420" s="15" t="s">
        <v>1385</v>
      </c>
      <c r="G420" s="15" t="s">
        <v>1386</v>
      </c>
      <c r="H420" s="15" t="s">
        <v>1138</v>
      </c>
      <c r="I420" s="15" t="s">
        <v>1593</v>
      </c>
      <c r="J420" s="15" t="s">
        <v>1575</v>
      </c>
      <c r="K420" s="15" t="s">
        <v>1542</v>
      </c>
      <c r="L420" s="15" t="s">
        <v>1576</v>
      </c>
      <c r="M420" s="15" t="s">
        <v>1594</v>
      </c>
    </row>
    <row r="421" spans="1:14" x14ac:dyDescent="0.25">
      <c r="A421" s="4" t="s">
        <v>481</v>
      </c>
      <c r="B421" s="38">
        <f>Standing!$C$91</f>
        <v>2.4238075723610191</v>
      </c>
      <c r="C421" s="38">
        <f>Standing!$C$114</f>
        <v>3.2223300597909614E-2</v>
      </c>
      <c r="D421" s="38">
        <f>Standing!$C$128</f>
        <v>1.0106667110138143E-2</v>
      </c>
      <c r="E421" s="10"/>
      <c r="F421" s="48">
        <f>Standing!$C$37</f>
        <v>0</v>
      </c>
      <c r="G421" s="48">
        <f>Standing!$C$154</f>
        <v>0</v>
      </c>
      <c r="H421" s="38">
        <f>Reactive!$C$34</f>
        <v>3.3038872174250715E-2</v>
      </c>
      <c r="I421" s="37">
        <f t="shared" ref="I421:I443" si="32">IF(I$418&lt;&gt;0,(($B421*B$418+$C421*C$418+$D421*D$418+$H421*H$418))/I$418,0)</f>
        <v>0.18376598871859537</v>
      </c>
      <c r="J421" s="42">
        <f>0.01*Input!$F$60*(E421*$E$418+F421*$F$418+G421*$G$418)+10*(B421*$B$418+C421*$C$418+D421*$D$418+H421*$H$418)</f>
        <v>1366695.0326921253</v>
      </c>
      <c r="K421" s="37">
        <f t="shared" ref="K421:K443" si="33">IF($I$418&lt;&gt;0,0.1*J421/$I$418,"")</f>
        <v>0.18376598871859537</v>
      </c>
      <c r="L421" s="46">
        <f t="shared" ref="L421:L443" si="34">IF($E$418&lt;&gt;0,J421/$E$418,"")</f>
        <v>771.85026351901774</v>
      </c>
      <c r="M421" s="46">
        <f>IF($F$418&lt;&gt;0,J421/$F$418*100/Input!$F$60,"")</f>
        <v>1.0560266456920717</v>
      </c>
      <c r="N421" s="17"/>
    </row>
    <row r="422" spans="1:14" x14ac:dyDescent="0.25">
      <c r="A422" s="4" t="s">
        <v>482</v>
      </c>
      <c r="B422" s="38">
        <f>Standing!$D$91</f>
        <v>0.3738149100342274</v>
      </c>
      <c r="C422" s="38">
        <f>Standing!$D$114</f>
        <v>4.9696809067561161E-3</v>
      </c>
      <c r="D422" s="38">
        <f>Standing!$D$128</f>
        <v>1.5587140248274833E-3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5.0954635055535302E-3</v>
      </c>
      <c r="I422" s="37">
        <f t="shared" si="32"/>
        <v>2.8341551253294277E-2</v>
      </c>
      <c r="J422" s="42">
        <f>0.01*Input!$F$60*(E422*$E$418+F422*$F$418+G422*$G$418)+10*(B422*$B$418+C422*$C$418+D422*$D$418+H422*$H$418)</f>
        <v>210780.33855318642</v>
      </c>
      <c r="K422" s="37">
        <f t="shared" si="33"/>
        <v>2.8341551253294284E-2</v>
      </c>
      <c r="L422" s="46">
        <f t="shared" si="34"/>
        <v>119.03962183606912</v>
      </c>
      <c r="M422" s="46">
        <f>IF($F$418&lt;&gt;0,J422/$F$418*100/Input!$F$60,"")</f>
        <v>0.16286709805456898</v>
      </c>
      <c r="N422" s="17"/>
    </row>
    <row r="423" spans="1:14" x14ac:dyDescent="0.25">
      <c r="A423" s="4" t="s">
        <v>483</v>
      </c>
      <c r="B423" s="38">
        <f>Standing!$E$91</f>
        <v>0.59312123811354645</v>
      </c>
      <c r="C423" s="38">
        <f>Standing!$E$114</f>
        <v>4.2125637697922595E-2</v>
      </c>
      <c r="D423" s="38">
        <f>Standing!$E$128</f>
        <v>7.4546777216407782E-3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1.1371771652842111E-2</v>
      </c>
      <c r="I423" s="37">
        <f t="shared" si="32"/>
        <v>6.4201998606809169E-2</v>
      </c>
      <c r="J423" s="42">
        <f>0.01*Input!$F$60*(E423*$E$418+F423*$F$418+G423*$G$418)+10*(B423*$B$418+C423*$C$418+D423*$D$418+H423*$H$418)</f>
        <v>477479.82745162852</v>
      </c>
      <c r="K423" s="37">
        <f t="shared" si="33"/>
        <v>6.4201998606809169E-2</v>
      </c>
      <c r="L423" s="46">
        <f t="shared" si="34"/>
        <v>269.65996204551664</v>
      </c>
      <c r="M423" s="46">
        <f>IF($F$418&lt;&gt;0,J423/$F$418*100/Input!$F$60,"")</f>
        <v>0.36894216230239307</v>
      </c>
      <c r="N423" s="17"/>
    </row>
    <row r="424" spans="1:14" x14ac:dyDescent="0.25">
      <c r="A424" s="4" t="s">
        <v>484</v>
      </c>
      <c r="B424" s="38">
        <f>Standing!$F$91</f>
        <v>0.11184646921558587</v>
      </c>
      <c r="C424" s="38">
        <f>Standing!$F$114</f>
        <v>7.9437449499416488E-3</v>
      </c>
      <c r="D424" s="38">
        <f>Standing!$F$128</f>
        <v>1.4057486542843898E-3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2.1444056060808056E-3</v>
      </c>
      <c r="I424" s="37">
        <f t="shared" si="32"/>
        <v>1.2106743780739292E-2</v>
      </c>
      <c r="J424" s="42">
        <f>0.01*Input!$F$60*(E424*$E$418+F424*$F$418+G424*$G$418)+10*(B424*$B$418+C424*$C$418+D424*$D$418+H424*$H$418)</f>
        <v>90039.656971292148</v>
      </c>
      <c r="K424" s="37">
        <f t="shared" si="33"/>
        <v>1.2106743780739292E-2</v>
      </c>
      <c r="L424" s="46">
        <f t="shared" si="34"/>
        <v>50.850505268580569</v>
      </c>
      <c r="M424" s="46">
        <f>IF($F$418&lt;&gt;0,J424/$F$418*100/Input!$F$60,"")</f>
        <v>6.9572417149538282E-2</v>
      </c>
      <c r="N424" s="17"/>
    </row>
    <row r="425" spans="1:14" x14ac:dyDescent="0.25">
      <c r="A425" s="4" t="s">
        <v>485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486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0.53158808986251893</v>
      </c>
      <c r="G426" s="48">
        <f>Standing!$H$154</f>
        <v>2.7978320519079953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748363.38351916254</v>
      </c>
      <c r="K426" s="37">
        <f t="shared" si="33"/>
        <v>0.100625036166479</v>
      </c>
      <c r="L426" s="46">
        <f t="shared" si="34"/>
        <v>422.64328248815002</v>
      </c>
      <c r="M426" s="46">
        <f>IF($F$418&lt;&gt;0,J426/$F$418*100/Input!$F$60,"")</f>
        <v>0.57825019829024238</v>
      </c>
      <c r="N426" s="17"/>
    </row>
    <row r="427" spans="1:14" x14ac:dyDescent="0.25">
      <c r="A427" s="4" t="s">
        <v>487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5.8263821554971715E-2</v>
      </c>
      <c r="G427" s="48">
        <f>Standing!$I$154</f>
        <v>1.1652764310994332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100555.99171876417</v>
      </c>
      <c r="K427" s="37">
        <f t="shared" si="33"/>
        <v>1.3520771494557918E-2</v>
      </c>
      <c r="L427" s="46">
        <f t="shared" si="34"/>
        <v>56.789676445709595</v>
      </c>
      <c r="M427" s="46">
        <f>IF($F$418&lt;&gt;0,J427/$F$418*100/Input!$F$60,"")</f>
        <v>7.7698245840429267E-2</v>
      </c>
      <c r="N427" s="17"/>
    </row>
    <row r="428" spans="1:14" x14ac:dyDescent="0.25">
      <c r="A428" s="4" t="s">
        <v>488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1577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1578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1579</v>
      </c>
      <c r="B431" s="38">
        <f>Standing!$K$91</f>
        <v>0.84815668186884752</v>
      </c>
      <c r="C431" s="38">
        <f>Standing!$K$114</f>
        <v>0</v>
      </c>
      <c r="D431" s="38">
        <f>Standing!$K$128</f>
        <v>0</v>
      </c>
      <c r="E431" s="10"/>
      <c r="F431" s="48">
        <f>Standing!$K$37</f>
        <v>0</v>
      </c>
      <c r="G431" s="48">
        <f>Standing!$K$154</f>
        <v>0</v>
      </c>
      <c r="H431" s="38">
        <f>Reactive!$K$34</f>
        <v>1.0268315073365271E-2</v>
      </c>
      <c r="I431" s="37">
        <f t="shared" si="32"/>
        <v>5.7105923754678233E-2</v>
      </c>
      <c r="J431" s="42">
        <f>0.01*Input!$F$60*(E431*$E$418+F431*$F$418+G431*$G$418)+10*(B431*$B$418+C431*$C$418+D431*$D$418+H431*$H$418)</f>
        <v>424705.26171373314</v>
      </c>
      <c r="K431" s="37">
        <f t="shared" si="33"/>
        <v>5.7105923754678239E-2</v>
      </c>
      <c r="L431" s="46">
        <f t="shared" si="34"/>
        <v>239.85516909792096</v>
      </c>
      <c r="M431" s="46">
        <f>IF($F$418&lt;&gt;0,J431/$F$418*100/Input!$F$60,"")</f>
        <v>0.32816397382513973</v>
      </c>
      <c r="N431" s="17"/>
    </row>
    <row r="432" spans="1:14" x14ac:dyDescent="0.25">
      <c r="A432" s="4" t="s">
        <v>1580</v>
      </c>
      <c r="B432" s="38">
        <f>Standing!$L$91</f>
        <v>1.692336840900992</v>
      </c>
      <c r="C432" s="38">
        <f>Standing!$L$114</f>
        <v>2.2498765726748429E-2</v>
      </c>
      <c r="D432" s="38">
        <f>Standing!$L$128</f>
        <v>7.056618390109382E-3</v>
      </c>
      <c r="E432" s="10"/>
      <c r="F432" s="48">
        <f>Standing!$L$37</f>
        <v>0</v>
      </c>
      <c r="G432" s="48">
        <f>Standing!$L$154</f>
        <v>0</v>
      </c>
      <c r="H432" s="38">
        <f>Reactive!$L$34</f>
        <v>2.3068209374326965E-2</v>
      </c>
      <c r="I432" s="37">
        <f t="shared" si="32"/>
        <v>0.1283080209664241</v>
      </c>
      <c r="J432" s="42">
        <f>0.01*Input!$F$60*(E432*$E$418+F432*$F$418+G432*$G$418)+10*(B432*$B$418+C432*$C$418+D432*$D$418+H432*$H$418)</f>
        <v>954245.86525582848</v>
      </c>
      <c r="K432" s="37">
        <f t="shared" si="33"/>
        <v>0.1283080209664241</v>
      </c>
      <c r="L432" s="46">
        <f t="shared" si="34"/>
        <v>538.9168065598459</v>
      </c>
      <c r="M432" s="46">
        <f>IF($F$418&lt;&gt;0,J432/$F$418*100/Input!$F$60,"")</f>
        <v>0.7373327890616892</v>
      </c>
      <c r="N432" s="17"/>
    </row>
    <row r="433" spans="1:14" x14ac:dyDescent="0.25">
      <c r="A433" s="4" t="s">
        <v>1581</v>
      </c>
      <c r="B433" s="38">
        <f>Standing!$M$91</f>
        <v>0.26100287462703992</v>
      </c>
      <c r="C433" s="38">
        <f>Standing!$M$114</f>
        <v>3.4699017289698125E-3</v>
      </c>
      <c r="D433" s="38">
        <f>Standing!$M$128</f>
        <v>1.0883162503181217E-3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3.55772492430779E-3</v>
      </c>
      <c r="I433" s="37">
        <f t="shared" si="32"/>
        <v>1.9788473252236202E-2</v>
      </c>
      <c r="J433" s="42">
        <f>0.01*Input!$F$60*(E433*$E$418+F433*$F$418+G433*$G$418)+10*(B433*$B$418+C433*$C$418+D433*$D$418+H433*$H$418)</f>
        <v>147169.82335510667</v>
      </c>
      <c r="K433" s="37">
        <f t="shared" si="33"/>
        <v>1.9788473252236205E-2</v>
      </c>
      <c r="L433" s="46">
        <f t="shared" si="34"/>
        <v>83.115153140587609</v>
      </c>
      <c r="M433" s="46">
        <f>IF($F$418&lt;&gt;0,J433/$F$418*100/Input!$F$60,"")</f>
        <v>0.11371611894911916</v>
      </c>
      <c r="N433" s="17"/>
    </row>
    <row r="434" spans="1:14" x14ac:dyDescent="0.25">
      <c r="A434" s="4" t="s">
        <v>1582</v>
      </c>
      <c r="B434" s="38">
        <f>Standing!$N$91</f>
        <v>0.4141256648532563</v>
      </c>
      <c r="C434" s="38">
        <f>Standing!$N$114</f>
        <v>2.9412718004341438E-2</v>
      </c>
      <c r="D434" s="38">
        <f>Standing!$N$128</f>
        <v>5.2049617672774023E-3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7.9399323336843703E-3</v>
      </c>
      <c r="I434" s="37">
        <f t="shared" si="32"/>
        <v>4.4826746454934334E-2</v>
      </c>
      <c r="J434" s="42">
        <f>0.01*Input!$F$60*(E434*$E$418+F434*$F$418+G434*$G$418)+10*(B434*$B$418+C434*$C$418+D434*$D$418+H434*$H$418)</f>
        <v>333383.19097514643</v>
      </c>
      <c r="K434" s="37">
        <f t="shared" si="33"/>
        <v>4.4826746454934334E-2</v>
      </c>
      <c r="L434" s="46">
        <f t="shared" si="34"/>
        <v>188.28041198050113</v>
      </c>
      <c r="M434" s="46">
        <f>IF($F$418&lt;&gt;0,J434/$F$418*100/Input!$F$60,"")</f>
        <v>0.2576006530162841</v>
      </c>
      <c r="N434" s="17"/>
    </row>
    <row r="435" spans="1:14" x14ac:dyDescent="0.25">
      <c r="A435" s="4" t="s">
        <v>1583</v>
      </c>
      <c r="B435" s="38">
        <f>Standing!$O$91</f>
        <v>0.41101469426307846</v>
      </c>
      <c r="C435" s="38">
        <f>Standing!$O$114</f>
        <v>2.9191765505004966E-2</v>
      </c>
      <c r="D435" s="38">
        <f>Standing!$O$128</f>
        <v>5.1658613580169961E-3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7.8802864385504687E-3</v>
      </c>
      <c r="I435" s="37">
        <f t="shared" si="32"/>
        <v>4.449000159290295E-2</v>
      </c>
      <c r="J435" s="42">
        <f>0.01*Input!$F$60*(E435*$E$418+F435*$F$418+G435*$G$418)+10*(B435*$B$418+C435*$C$418+D435*$D$418+H435*$H$418)</f>
        <v>330878.76927321963</v>
      </c>
      <c r="K435" s="37">
        <f t="shared" si="33"/>
        <v>4.449000159290295E-2</v>
      </c>
      <c r="L435" s="46">
        <f t="shared" si="34"/>
        <v>186.86602288538074</v>
      </c>
      <c r="M435" s="46">
        <f>IF($F$418&lt;&gt;0,J435/$F$418*100/Input!$F$60,"")</f>
        <v>0.25566552046218788</v>
      </c>
      <c r="N435" s="17"/>
    </row>
    <row r="436" spans="1:14" x14ac:dyDescent="0.25">
      <c r="A436" s="4" t="s">
        <v>1584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1585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1.9534860399356286</v>
      </c>
      <c r="G437" s="48">
        <f>Standing!$Q$154</f>
        <v>1.9534860399356286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2570339.3018704085</v>
      </c>
      <c r="K437" s="37">
        <f t="shared" si="33"/>
        <v>0.34560815094210107</v>
      </c>
      <c r="L437" s="46">
        <f t="shared" si="34"/>
        <v>1451.6165055301544</v>
      </c>
      <c r="M437" s="46">
        <f>IF($F$418&lt;&gt;0,J437/$F$418*100/Input!$F$60,"")</f>
        <v>1.9860661861761288</v>
      </c>
      <c r="N437" s="17"/>
    </row>
    <row r="438" spans="1:14" x14ac:dyDescent="0.25">
      <c r="A438" s="4" t="s">
        <v>1586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0.81361253948977552</v>
      </c>
      <c r="G438" s="48">
        <f>Standing!$R$154</f>
        <v>0.81361253948977552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1070527.3772082194</v>
      </c>
      <c r="K438" s="37">
        <f t="shared" si="33"/>
        <v>0.14394324792084734</v>
      </c>
      <c r="L438" s="46">
        <f t="shared" si="34"/>
        <v>604.58757691894255</v>
      </c>
      <c r="M438" s="46">
        <f>IF($F$418&lt;&gt;0,J438/$F$418*100/Input!$F$60,"")</f>
        <v>0.82718193030075604</v>
      </c>
      <c r="N438" s="17"/>
    </row>
    <row r="439" spans="1:14" x14ac:dyDescent="0.25">
      <c r="A439" s="4" t="s">
        <v>1587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1588</v>
      </c>
      <c r="B440" s="10"/>
      <c r="C440" s="10"/>
      <c r="D440" s="10"/>
      <c r="E440" s="48">
        <f>Otex!$B$133</f>
        <v>9.3667264649691493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60702.626458213643</v>
      </c>
      <c r="K440" s="37">
        <f t="shared" si="33"/>
        <v>8.162082909554334E-3</v>
      </c>
      <c r="L440" s="46">
        <f t="shared" si="34"/>
        <v>34.282218861787086</v>
      </c>
      <c r="M440" s="46">
        <f>IF($F$418&lt;&gt;0,J440/$F$418*100/Input!$F$60,"")</f>
        <v>4.6904093063903564E-2</v>
      </c>
      <c r="N440" s="17"/>
    </row>
    <row r="441" spans="1:14" x14ac:dyDescent="0.25">
      <c r="A441" s="4" t="s">
        <v>1589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1590</v>
      </c>
      <c r="B442" s="38">
        <f>Adder!$B$277</f>
        <v>1.3195379706717336</v>
      </c>
      <c r="C442" s="38">
        <f>Adder!$C$277</f>
        <v>1.3195379706717336</v>
      </c>
      <c r="D442" s="38">
        <f>Adder!$D$277</f>
        <v>1.3195379706717336</v>
      </c>
      <c r="E442" s="10"/>
      <c r="F442" s="10"/>
      <c r="G442" s="10"/>
      <c r="H442" s="10"/>
      <c r="I442" s="37">
        <f t="shared" si="32"/>
        <v>1.3195379706717336</v>
      </c>
      <c r="J442" s="42">
        <f>0.01*Input!$F$60*(E442*$E$418+F442*$F$418+G442*$G$418)+10*(B442*$B$418+C442*$C$418+D442*$D$418+H442*$H$418)</f>
        <v>9813600.4520798363</v>
      </c>
      <c r="K442" s="37">
        <f t="shared" si="33"/>
        <v>1.3195379706717338</v>
      </c>
      <c r="L442" s="46">
        <f t="shared" si="34"/>
        <v>5542.2972307784094</v>
      </c>
      <c r="M442" s="46">
        <f>IF($F$418&lt;&gt;0,J442/$F$418*100/Input!$F$60,"")</f>
        <v>7.5828354678059551</v>
      </c>
      <c r="N442" s="17"/>
    </row>
    <row r="443" spans="1:14" x14ac:dyDescent="0.25">
      <c r="A443" s="4" t="s">
        <v>1591</v>
      </c>
      <c r="B443" s="38">
        <f>Adjust!$B$90</f>
        <v>2.3508309067388211E-4</v>
      </c>
      <c r="C443" s="38">
        <f>Adjust!$C$90</f>
        <v>-3.734857893280541E-4</v>
      </c>
      <c r="D443" s="38">
        <f>Adjust!$D$90</f>
        <v>4.204640516536351E-4</v>
      </c>
      <c r="E443" s="48">
        <f>Adjust!$E$90</f>
        <v>3.2735350308499278E-3</v>
      </c>
      <c r="F443" s="48">
        <f>Adjust!$F$90</f>
        <v>3.0495091571052235E-3</v>
      </c>
      <c r="G443" s="48">
        <f>Adjust!$G$90</f>
        <v>-2.0706243283274972E-4</v>
      </c>
      <c r="H443" s="38">
        <f>Adjust!$H$90</f>
        <v>-3.6498108296204035E-4</v>
      </c>
      <c r="I443" s="37">
        <f t="shared" si="32"/>
        <v>-1.3156519002877488E-5</v>
      </c>
      <c r="J443" s="42">
        <f>0.01*Input!$F$60*(E443*$E$418+F443*$F$418+G443*$G$418)+10*(B443*$B$418+C443*$C$418+D443*$D$418+H443*$H$418)</f>
        <v>3865.5308225501435</v>
      </c>
      <c r="K443" s="37">
        <f t="shared" si="33"/>
        <v>5.1975976829949689E-4</v>
      </c>
      <c r="L443" s="46">
        <f t="shared" si="34"/>
        <v>2.1830846770175758</v>
      </c>
      <c r="M443" s="46">
        <f>IF($F$418&lt;&gt;0,J443/$F$418*100/Input!$F$60,"")</f>
        <v>2.986843041578916E-3</v>
      </c>
      <c r="N443" s="17"/>
    </row>
    <row r="445" spans="1:14" x14ac:dyDescent="0.25">
      <c r="A445" s="4" t="s">
        <v>1592</v>
      </c>
      <c r="B445" s="37">
        <f>SUM($B$421:$B$443)</f>
        <v>8.4489999999999998</v>
      </c>
      <c r="C445" s="37">
        <f>SUM($C$421:$C$443)</f>
        <v>1.4910000000000001</v>
      </c>
      <c r="D445" s="37">
        <f>SUM($D$421:$D$443)</f>
        <v>1.359</v>
      </c>
      <c r="E445" s="46">
        <f>SUM($E$421:$E$443)</f>
        <v>9.3699999999999992</v>
      </c>
      <c r="F445" s="46">
        <f>SUM($F$421:$F$443)</f>
        <v>3.36</v>
      </c>
      <c r="G445" s="46">
        <f>SUM($G$421:$G$443)</f>
        <v>6.73</v>
      </c>
      <c r="H445" s="37">
        <f>SUM($H$421:$H$443)</f>
        <v>0.104</v>
      </c>
      <c r="I445" s="37">
        <f>SUM(I$421:I$443)</f>
        <v>1.9024602625333447</v>
      </c>
      <c r="J445" s="42">
        <f>SUM($J$421:$J$443)</f>
        <v>18703332.42991842</v>
      </c>
      <c r="K445" s="37">
        <f>SUM($K$421:$K$443)</f>
        <v>2.5148524682541868</v>
      </c>
      <c r="L445" s="46">
        <f>SUM($L$421:$L$443)</f>
        <v>10562.833492033591</v>
      </c>
      <c r="M445" s="46">
        <f>SUM($M$421:$M$443)</f>
        <v>14.451810343031987</v>
      </c>
    </row>
    <row r="447" spans="1:14" ht="21" customHeight="1" x14ac:dyDescent="0.3">
      <c r="A447" s="1" t="s">
        <v>208</v>
      </c>
    </row>
    <row r="449" spans="1:14" ht="30" x14ac:dyDescent="0.25">
      <c r="B449" s="15" t="s">
        <v>239</v>
      </c>
      <c r="C449" s="15" t="s">
        <v>240</v>
      </c>
      <c r="D449" s="15" t="s">
        <v>241</v>
      </c>
      <c r="E449" s="15" t="s">
        <v>242</v>
      </c>
      <c r="F449" s="15" t="s">
        <v>243</v>
      </c>
      <c r="G449" s="15" t="s">
        <v>244</v>
      </c>
      <c r="H449" s="15" t="s">
        <v>245</v>
      </c>
      <c r="I449" s="15" t="s">
        <v>1573</v>
      </c>
      <c r="J449" s="15" t="s">
        <v>1574</v>
      </c>
    </row>
    <row r="450" spans="1:14" x14ac:dyDescent="0.25">
      <c r="A450" s="4" t="s">
        <v>208</v>
      </c>
      <c r="B450" s="44">
        <f>Loads!B$347</f>
        <v>159286.66333955896</v>
      </c>
      <c r="C450" s="44">
        <f>Loads!C$347</f>
        <v>1120766.48741548</v>
      </c>
      <c r="D450" s="44">
        <f>Loads!D$347</f>
        <v>1239896.7462892097</v>
      </c>
      <c r="E450" s="44">
        <f>Loads!E$347</f>
        <v>1250.783128041604</v>
      </c>
      <c r="F450" s="44">
        <f>Loads!F$347</f>
        <v>900855.59667541867</v>
      </c>
      <c r="G450" s="44">
        <f>Loads!G$347</f>
        <v>12932.011190754718</v>
      </c>
      <c r="H450" s="44">
        <f>Loads!H$347</f>
        <v>172014.90179166765</v>
      </c>
      <c r="I450" s="44">
        <f>Multi!B$141</f>
        <v>2519949.8970442489</v>
      </c>
      <c r="J450" s="37">
        <f>IF(E450,I450/E450,"")</f>
        <v>2014.6977046211239</v>
      </c>
      <c r="K450" s="17"/>
    </row>
    <row r="452" spans="1:14" ht="30" x14ac:dyDescent="0.25">
      <c r="B452" s="15" t="s">
        <v>1381</v>
      </c>
      <c r="C452" s="15" t="s">
        <v>1382</v>
      </c>
      <c r="D452" s="15" t="s">
        <v>1383</v>
      </c>
      <c r="E452" s="15" t="s">
        <v>1384</v>
      </c>
      <c r="F452" s="15" t="s">
        <v>1385</v>
      </c>
      <c r="G452" s="15" t="s">
        <v>1386</v>
      </c>
      <c r="H452" s="15" t="s">
        <v>1138</v>
      </c>
      <c r="I452" s="15" t="s">
        <v>1593</v>
      </c>
      <c r="J452" s="15" t="s">
        <v>1575</v>
      </c>
      <c r="K452" s="15" t="s">
        <v>1542</v>
      </c>
      <c r="L452" s="15" t="s">
        <v>1576</v>
      </c>
      <c r="M452" s="15" t="s">
        <v>1594</v>
      </c>
    </row>
    <row r="453" spans="1:14" x14ac:dyDescent="0.25">
      <c r="A453" s="4" t="s">
        <v>481</v>
      </c>
      <c r="B453" s="38">
        <f>Standing!$C$92</f>
        <v>2.2450361463288027</v>
      </c>
      <c r="C453" s="38">
        <f>Standing!$C$115</f>
        <v>2.9846624551080659E-2</v>
      </c>
      <c r="D453" s="38">
        <f>Standing!$C$129</f>
        <v>9.3612352894295731E-3</v>
      </c>
      <c r="E453" s="10"/>
      <c r="F453" s="48">
        <f>Standing!$C$38</f>
        <v>0</v>
      </c>
      <c r="G453" s="48">
        <f>Standing!$C$155</f>
        <v>0</v>
      </c>
      <c r="H453" s="38">
        <f>Reactive!$C$35</f>
        <v>2.9218882512990169E-2</v>
      </c>
      <c r="I453" s="37">
        <f t="shared" ref="I453:I475" si="35">IF(I$450&lt;&gt;0,(($B453*B$450+$C453*C$450+$D453*D$450+$H453*H$450))/I$450,0)</f>
        <v>0.1617843522387013</v>
      </c>
      <c r="J453" s="42">
        <f>0.01*Input!$F$60*(E453*$E$450+F453*$F$450+G453*$G$450)+10*(B453*$B$450+C453*$C$450+D453*$D$450+H453*$H$450)</f>
        <v>4076884.6176728583</v>
      </c>
      <c r="K453" s="37">
        <f t="shared" ref="K453:K475" si="36">IF($I$450&lt;&gt;0,0.1*J453/$I$450,"")</f>
        <v>0.1617843522387013</v>
      </c>
      <c r="L453" s="46">
        <f t="shared" ref="L453:L475" si="37">IF($E$450&lt;&gt;0,J453/$E$450,"")</f>
        <v>3259.4656309892689</v>
      </c>
      <c r="M453" s="46">
        <f>IF($F$450&lt;&gt;0,J453/$F$450*100/Input!$F$60,"")</f>
        <v>1.2364944005613545</v>
      </c>
      <c r="N453" s="17"/>
    </row>
    <row r="454" spans="1:14" x14ac:dyDescent="0.25">
      <c r="A454" s="4" t="s">
        <v>482</v>
      </c>
      <c r="B454" s="38">
        <f>Standing!$D$92</f>
        <v>0.11426040508701799</v>
      </c>
      <c r="C454" s="38">
        <f>Standing!$D$115</f>
        <v>1.5190345230134883E-3</v>
      </c>
      <c r="D454" s="38">
        <f>Standing!$D$129</f>
        <v>4.7643711128402357E-4</v>
      </c>
      <c r="E454" s="10"/>
      <c r="F454" s="48">
        <f>Standing!$D$38</f>
        <v>0</v>
      </c>
      <c r="G454" s="48">
        <f>Standing!$D$155</f>
        <v>0</v>
      </c>
      <c r="H454" s="38">
        <f>Reactive!$D$35</f>
        <v>1.4870857903930088E-3</v>
      </c>
      <c r="I454" s="37">
        <f t="shared" si="35"/>
        <v>8.2339634725985683E-3</v>
      </c>
      <c r="J454" s="42">
        <f>0.01*Input!$F$60*(E454*$E$450+F454*$F$450+G454*$G$450)+10*(B454*$B$450+C454*$C$450+D454*$D$450+H454*$H$450)</f>
        <v>207491.75405040866</v>
      </c>
      <c r="K454" s="37">
        <f t="shared" si="36"/>
        <v>8.2339634725985683E-3</v>
      </c>
      <c r="L454" s="46">
        <f t="shared" si="37"/>
        <v>165.88947308178513</v>
      </c>
      <c r="M454" s="46">
        <f>IF($F$450&lt;&gt;0,J454/$F$450*100/Input!$F$60,"")</f>
        <v>6.2930991702294825E-2</v>
      </c>
      <c r="N454" s="17"/>
    </row>
    <row r="455" spans="1:14" x14ac:dyDescent="0.25">
      <c r="A455" s="4" t="s">
        <v>483</v>
      </c>
      <c r="B455" s="38">
        <f>Standing!$E$92</f>
        <v>0.14503492742194204</v>
      </c>
      <c r="C455" s="38">
        <f>Standing!$E$115</f>
        <v>1.0300910528096107E-2</v>
      </c>
      <c r="D455" s="38">
        <f>Standing!$E$129</f>
        <v>1.8228796624294161E-3</v>
      </c>
      <c r="E455" s="10"/>
      <c r="F455" s="48">
        <f>Standing!$E$38</f>
        <v>6.527460909006913E-2</v>
      </c>
      <c r="G455" s="48">
        <f>Standing!$E$155</f>
        <v>0.19780184572748222</v>
      </c>
      <c r="H455" s="38">
        <f>Reactive!$E$35</f>
        <v>2.6550361933676096E-3</v>
      </c>
      <c r="I455" s="37">
        <f t="shared" si="35"/>
        <v>1.4827252463509605E-2</v>
      </c>
      <c r="J455" s="42">
        <f>0.01*Input!$F$60*(E455*$E$450+F455*$F$450+G455*$G$450)+10*(B455*$B$450+C455*$C$450+D455*$D$450+H455*$H$450)</f>
        <v>598220.49291234568</v>
      </c>
      <c r="K455" s="37">
        <f t="shared" si="36"/>
        <v>2.3739380438238981E-2</v>
      </c>
      <c r="L455" s="46">
        <f t="shared" si="37"/>
        <v>478.27675278047678</v>
      </c>
      <c r="M455" s="46">
        <f>IF($F$450&lt;&gt;0,J455/$F$450*100/Input!$F$60,"")</f>
        <v>0.18143665056908032</v>
      </c>
      <c r="N455" s="17"/>
    </row>
    <row r="456" spans="1:14" x14ac:dyDescent="0.25">
      <c r="A456" s="4" t="s">
        <v>484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</v>
      </c>
      <c r="G456" s="48">
        <f>Standing!$F$155</f>
        <v>0.98157965137420078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46459.304472449105</v>
      </c>
      <c r="K456" s="37">
        <f t="shared" si="36"/>
        <v>1.8436598492272843E-3</v>
      </c>
      <c r="L456" s="46">
        <f t="shared" si="37"/>
        <v>37.144172663403374</v>
      </c>
      <c r="M456" s="46">
        <f>IF($F$450&lt;&gt;0,J456/$F$450*100/Input!$F$60,"")</f>
        <v>1.4090825525238868E-2</v>
      </c>
      <c r="N456" s="17"/>
    </row>
    <row r="457" spans="1:14" x14ac:dyDescent="0.25">
      <c r="A457" s="4" t="s">
        <v>485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486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</v>
      </c>
      <c r="G458" s="48">
        <f>Standing!$H$155</f>
        <v>2.7684934889232591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131036.01093585099</v>
      </c>
      <c r="K458" s="37">
        <f t="shared" si="36"/>
        <v>5.1999450897634294E-3</v>
      </c>
      <c r="L458" s="46">
        <f t="shared" si="37"/>
        <v>104.76317436502264</v>
      </c>
      <c r="M458" s="46">
        <f>IF($F$450&lt;&gt;0,J458/$F$450*100/Input!$F$60,"")</f>
        <v>3.9742428101034274E-2</v>
      </c>
      <c r="N458" s="17"/>
    </row>
    <row r="459" spans="1:14" x14ac:dyDescent="0.25">
      <c r="A459" s="4" t="s">
        <v>487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488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1577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1578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1579</v>
      </c>
      <c r="B463" s="38">
        <f>Standing!$K$92</f>
        <v>0.78559966156514882</v>
      </c>
      <c r="C463" s="38">
        <f>Standing!$K$115</f>
        <v>0</v>
      </c>
      <c r="D463" s="38">
        <f>Standing!$K$129</f>
        <v>0</v>
      </c>
      <c r="E463" s="10"/>
      <c r="F463" s="48">
        <f>Standing!$K$38</f>
        <v>0</v>
      </c>
      <c r="G463" s="48">
        <f>Standing!$K$155</f>
        <v>0</v>
      </c>
      <c r="H463" s="38">
        <f>Reactive!$K$35</f>
        <v>9.0810815258051472E-3</v>
      </c>
      <c r="I463" s="37">
        <f t="shared" si="35"/>
        <v>5.0277836994628976E-2</v>
      </c>
      <c r="J463" s="42">
        <f>0.01*Input!$F$60*(E463*$E$450+F463*$F$450+G463*$G$450)+10*(B463*$B$450+C463*$C$450+D463*$D$450+H463*$H$450)</f>
        <v>1266976.3015822282</v>
      </c>
      <c r="K463" s="37">
        <f t="shared" si="36"/>
        <v>5.0277836994628976E-2</v>
      </c>
      <c r="L463" s="46">
        <f t="shared" si="37"/>
        <v>1012.9464278639402</v>
      </c>
      <c r="M463" s="46">
        <f>IF($F$450&lt;&gt;0,J463/$F$450*100/Input!$F$60,"")</f>
        <v>0.38426623499700641</v>
      </c>
      <c r="N463" s="17"/>
    </row>
    <row r="464" spans="1:14" x14ac:dyDescent="0.25">
      <c r="A464" s="4" t="s">
        <v>1580</v>
      </c>
      <c r="B464" s="38">
        <f>Standing!$L$92</f>
        <v>1.5675160944751436</v>
      </c>
      <c r="C464" s="38">
        <f>Standing!$L$115</f>
        <v>2.0839336785771222E-2</v>
      </c>
      <c r="D464" s="38">
        <f>Standing!$L$129</f>
        <v>6.5361473151980291E-3</v>
      </c>
      <c r="E464" s="10"/>
      <c r="F464" s="48">
        <f>Standing!$L$38</f>
        <v>0</v>
      </c>
      <c r="G464" s="48">
        <f>Standing!$L$155</f>
        <v>0</v>
      </c>
      <c r="H464" s="38">
        <f>Reactive!$L$35</f>
        <v>2.0401038387104213E-2</v>
      </c>
      <c r="I464" s="37">
        <f t="shared" si="35"/>
        <v>0.1129601304562953</v>
      </c>
      <c r="J464" s="42">
        <f>0.01*Input!$F$60*(E464*$E$450+F464*$F$450+G464*$G$450)+10*(B464*$B$450+C464*$C$450+D464*$D$450+H464*$H$450)</f>
        <v>2846538.6911344626</v>
      </c>
      <c r="K464" s="37">
        <f t="shared" si="36"/>
        <v>0.1129601304562953</v>
      </c>
      <c r="L464" s="46">
        <f t="shared" si="37"/>
        <v>2275.8051554400085</v>
      </c>
      <c r="M464" s="46">
        <f>IF($F$450&lt;&gt;0,J464/$F$450*100/Input!$F$60,"")</f>
        <v>0.8633379363525181</v>
      </c>
      <c r="N464" s="17"/>
    </row>
    <row r="465" spans="1:14" x14ac:dyDescent="0.25">
      <c r="A465" s="4" t="s">
        <v>1581</v>
      </c>
      <c r="B465" s="38">
        <f>Standing!$M$92</f>
        <v>0.24175223087641717</v>
      </c>
      <c r="C465" s="38">
        <f>Standing!$M$115</f>
        <v>3.2139741184807765E-3</v>
      </c>
      <c r="D465" s="38">
        <f>Standing!$M$129</f>
        <v>1.0080459143962457E-3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3.1463769716056815E-3</v>
      </c>
      <c r="I465" s="37">
        <f t="shared" si="35"/>
        <v>1.7421424656596112E-2</v>
      </c>
      <c r="J465" s="42">
        <f>0.01*Input!$F$60*(E465*$E$450+F465*$F$450+G465*$G$450)+10*(B465*$B$450+C465*$C$450+D465*$D$450+H465*$H$450)</f>
        <v>439011.17269753508</v>
      </c>
      <c r="K465" s="37">
        <f t="shared" si="36"/>
        <v>1.7421424656596112E-2</v>
      </c>
      <c r="L465" s="46">
        <f t="shared" si="37"/>
        <v>350.98904266874035</v>
      </c>
      <c r="M465" s="46">
        <f>IF($F$450&lt;&gt;0,J465/$F$450*100/Input!$F$60,"")</f>
        <v>0.1331494284805719</v>
      </c>
      <c r="N465" s="17"/>
    </row>
    <row r="466" spans="1:14" x14ac:dyDescent="0.25">
      <c r="A466" s="4" t="s">
        <v>1582</v>
      </c>
      <c r="B466" s="38">
        <f>Standing!$N$92</f>
        <v>0.30686498295320219</v>
      </c>
      <c r="C466" s="38">
        <f>Standing!$N$115</f>
        <v>2.1794672426805058E-2</v>
      </c>
      <c r="D466" s="38">
        <f>Standing!$N$129</f>
        <v>3.8568498394167799E-3</v>
      </c>
      <c r="E466" s="10"/>
      <c r="F466" s="48">
        <f>Standing!$N$38</f>
        <v>0.138108055499124</v>
      </c>
      <c r="G466" s="48">
        <f>Standing!$N$155</f>
        <v>0.138108055499124</v>
      </c>
      <c r="H466" s="38">
        <f>Reactive!$N$35</f>
        <v>5.6175271067472974E-3</v>
      </c>
      <c r="I466" s="37">
        <f t="shared" si="35"/>
        <v>3.1371509300106321E-2</v>
      </c>
      <c r="J466" s="42">
        <f>0.01*Input!$F$60*(E466*$E$450+F466*$F$450+G466*$G$450)+10*(B466*$B$450+C466*$C$450+D466*$D$450+H466*$H$450)</f>
        <v>1252443.5488706874</v>
      </c>
      <c r="K466" s="37">
        <f t="shared" si="36"/>
        <v>4.970112899227596E-2</v>
      </c>
      <c r="L466" s="46">
        <f t="shared" si="37"/>
        <v>1001.3275049781677</v>
      </c>
      <c r="M466" s="46">
        <f>IF($F$450&lt;&gt;0,J466/$F$450*100/Input!$F$60,"")</f>
        <v>0.37985853916115514</v>
      </c>
      <c r="N466" s="17"/>
    </row>
    <row r="467" spans="1:14" x14ac:dyDescent="0.25">
      <c r="A467" s="4" t="s">
        <v>1583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0.68535284122459494</v>
      </c>
      <c r="G467" s="48">
        <f>Standing!$O$155</f>
        <v>0.68535284122459494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2292136.975976483</v>
      </c>
      <c r="K467" s="37">
        <f t="shared" si="36"/>
        <v>9.0959624977664161E-2</v>
      </c>
      <c r="L467" s="46">
        <f t="shared" si="37"/>
        <v>1832.5614765569824</v>
      </c>
      <c r="M467" s="46">
        <f>IF($F$450&lt;&gt;0,J467/$F$450*100/Input!$F$60,"")</f>
        <v>0.69519125555541617</v>
      </c>
      <c r="N467" s="17"/>
    </row>
    <row r="468" spans="1:14" x14ac:dyDescent="0.25">
      <c r="A468" s="4" t="s">
        <v>1584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1585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1.9330014389448833</v>
      </c>
      <c r="G469" s="48">
        <f>Standing!$Q$155</f>
        <v>1.9330014389448833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6464851.1048768573</v>
      </c>
      <c r="K469" s="37">
        <f t="shared" si="36"/>
        <v>0.25654681120683165</v>
      </c>
      <c r="L469" s="46">
        <f t="shared" si="37"/>
        <v>5168.6427166627254</v>
      </c>
      <c r="M469" s="46">
        <f>IF($F$450&lt;&gt;0,J469/$F$450*100/Input!$F$60,"")</f>
        <v>1.960750166190885</v>
      </c>
      <c r="N469" s="17"/>
    </row>
    <row r="470" spans="1:14" x14ac:dyDescent="0.25">
      <c r="A470" s="4" t="s">
        <v>1586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1587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1588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1589</v>
      </c>
      <c r="B473" s="10"/>
      <c r="C473" s="10"/>
      <c r="D473" s="10"/>
      <c r="E473" s="48">
        <f>Otex!$C$134</f>
        <v>101.15815052324123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463088.48305440892</v>
      </c>
      <c r="K473" s="37">
        <f t="shared" si="36"/>
        <v>1.8376892477012505E-2</v>
      </c>
      <c r="L473" s="46">
        <f t="shared" si="37"/>
        <v>370.23883091506292</v>
      </c>
      <c r="M473" s="46">
        <f>IF($F$450&lt;&gt;0,J473/$F$450*100/Input!$F$60,"")</f>
        <v>0.1404519308147798</v>
      </c>
      <c r="N473" s="17"/>
    </row>
    <row r="474" spans="1:14" x14ac:dyDescent="0.25">
      <c r="A474" s="4" t="s">
        <v>1590</v>
      </c>
      <c r="B474" s="38">
        <f>Adder!$B$278</f>
        <v>1.3195379706717336</v>
      </c>
      <c r="C474" s="38">
        <f>Adder!$C$278</f>
        <v>1.3195379706717336</v>
      </c>
      <c r="D474" s="38">
        <f>Adder!$D$278</f>
        <v>1.3195379706717336</v>
      </c>
      <c r="E474" s="10"/>
      <c r="F474" s="10"/>
      <c r="G474" s="10"/>
      <c r="H474" s="10"/>
      <c r="I474" s="37">
        <f t="shared" si="35"/>
        <v>1.3195379706717336</v>
      </c>
      <c r="J474" s="42">
        <f>0.01*Input!$F$60*(E474*$E$450+F474*$F$450+G474*$G$450)+10*(B474*$B$450+C474*$C$450+D474*$D$450+H474*$H$450)</f>
        <v>33251695.733402118</v>
      </c>
      <c r="K474" s="37">
        <f t="shared" si="36"/>
        <v>1.3195379706717336</v>
      </c>
      <c r="L474" s="46">
        <f t="shared" si="37"/>
        <v>26584.701206727575</v>
      </c>
      <c r="M474" s="46">
        <f>IF($F$450&lt;&gt;0,J474/$F$450*100/Input!$F$60,"")</f>
        <v>10.085037826503639</v>
      </c>
      <c r="N474" s="17"/>
    </row>
    <row r="475" spans="1:14" x14ac:dyDescent="0.25">
      <c r="A475" s="4" t="s">
        <v>1591</v>
      </c>
      <c r="B475" s="38">
        <f>Adjust!$B$91</f>
        <v>3.9758062059114252E-4</v>
      </c>
      <c r="C475" s="38">
        <f>Adjust!$C$91</f>
        <v>-5.252360498086972E-5</v>
      </c>
      <c r="D475" s="38">
        <f>Adjust!$D$91</f>
        <v>4.0043419611235365E-4</v>
      </c>
      <c r="E475" s="48">
        <f>Adjust!$E$91</f>
        <v>1.8494767587640126E-3</v>
      </c>
      <c r="F475" s="48">
        <f>Adjust!$F$91</f>
        <v>-1.736944758671477E-3</v>
      </c>
      <c r="G475" s="48">
        <f>Adjust!$G$91</f>
        <v>-4.3373216935442827E-3</v>
      </c>
      <c r="H475" s="38">
        <f>Adjust!$H$91</f>
        <v>3.9297151198686153E-4</v>
      </c>
      <c r="I475" s="37">
        <f t="shared" si="35"/>
        <v>2.2562218708097945E-4</v>
      </c>
      <c r="J475" s="42">
        <f>0.01*Input!$F$60*(E475*$E$450+F475*$F$450+G475*$G$450)+10*(B475*$B$450+C475*$C$450+D475*$D$450+H475*$H$450)</f>
        <v>-238.19299240953205</v>
      </c>
      <c r="K475" s="37">
        <f t="shared" si="36"/>
        <v>-9.4522908050242689E-6</v>
      </c>
      <c r="L475" s="46">
        <f t="shared" si="37"/>
        <v>-0.1904350858829375</v>
      </c>
      <c r="M475" s="46">
        <f>IF($F$450&lt;&gt;0,J475/$F$450*100/Input!$F$60,"")</f>
        <v>-7.2242491261736549E-5</v>
      </c>
      <c r="N475" s="17"/>
    </row>
    <row r="477" spans="1:14" x14ac:dyDescent="0.25">
      <c r="A477" s="4" t="s">
        <v>1592</v>
      </c>
      <c r="B477" s="37">
        <f>SUM($B$453:$B$475)</f>
        <v>6.726</v>
      </c>
      <c r="C477" s="37">
        <f>SUM($C$453:$C$475)</f>
        <v>1.407</v>
      </c>
      <c r="D477" s="37">
        <f>SUM($D$453:$D$475)</f>
        <v>1.343</v>
      </c>
      <c r="E477" s="46">
        <f>SUM($E$453:$E$475)</f>
        <v>101.16</v>
      </c>
      <c r="F477" s="46">
        <f>SUM($F$453:$F$475)</f>
        <v>2.82</v>
      </c>
      <c r="G477" s="46">
        <f>SUM($G$453:$G$475)</f>
        <v>6.7</v>
      </c>
      <c r="H477" s="37">
        <f>SUM($H$453:$H$475)</f>
        <v>7.1999999999999995E-2</v>
      </c>
      <c r="I477" s="37">
        <f>SUM(I$453:I$475)</f>
        <v>1.7166400624412508</v>
      </c>
      <c r="J477" s="42">
        <f>SUM($J$453:$J$475)</f>
        <v>53336595.998646282</v>
      </c>
      <c r="K477" s="37">
        <f>SUM($K$453:$K$475)</f>
        <v>2.1165736692307626</v>
      </c>
      <c r="L477" s="46">
        <f>SUM($L$453:$L$475)</f>
        <v>42642.561130607275</v>
      </c>
      <c r="M477" s="46">
        <f>SUM($M$453:$M$475)</f>
        <v>16.176666372023714</v>
      </c>
    </row>
    <row r="479" spans="1:14" ht="21" customHeight="1" x14ac:dyDescent="0.3">
      <c r="A479" s="1" t="s">
        <v>230</v>
      </c>
    </row>
    <row r="481" spans="1:5" x14ac:dyDescent="0.25">
      <c r="B481" s="15" t="s">
        <v>239</v>
      </c>
      <c r="C481" s="15" t="s">
        <v>1573</v>
      </c>
    </row>
    <row r="482" spans="1:5" x14ac:dyDescent="0.25">
      <c r="A482" s="4" t="s">
        <v>230</v>
      </c>
      <c r="B482" s="44">
        <f>Loads!B$348</f>
        <v>4148.2185576390511</v>
      </c>
      <c r="C482" s="44">
        <f>Multi!B$142</f>
        <v>4148.2185576390511</v>
      </c>
      <c r="D482" s="17"/>
    </row>
    <row r="484" spans="1:5" x14ac:dyDescent="0.25">
      <c r="B484" s="15" t="s">
        <v>1381</v>
      </c>
      <c r="C484" s="15" t="s">
        <v>1575</v>
      </c>
      <c r="D484" s="15" t="s">
        <v>1542</v>
      </c>
    </row>
    <row r="485" spans="1:5" x14ac:dyDescent="0.25">
      <c r="A485" s="4" t="s">
        <v>481</v>
      </c>
      <c r="B485" s="38">
        <f>Yard!$C$81</f>
        <v>0.16020622074974469</v>
      </c>
      <c r="C485" s="42">
        <f t="shared" ref="C485:C505" si="38">0+10*(B485*$B$482)</f>
        <v>6645.7041796330941</v>
      </c>
      <c r="D485" s="37">
        <f t="shared" ref="D485:D505" si="39">IF($C$482&lt;&gt;0,0.1*C485/$C$482,"")</f>
        <v>0.16020622074974469</v>
      </c>
      <c r="E485" s="17"/>
    </row>
    <row r="486" spans="1:5" x14ac:dyDescent="0.25">
      <c r="A486" s="4" t="s">
        <v>482</v>
      </c>
      <c r="B486" s="38">
        <f>Yard!$D$81</f>
        <v>2.4708015058370874E-2</v>
      </c>
      <c r="C486" s="42">
        <f t="shared" si="38"/>
        <v>1024.942465875592</v>
      </c>
      <c r="D486" s="37">
        <f t="shared" si="39"/>
        <v>2.4708015058370877E-2</v>
      </c>
      <c r="E486" s="17"/>
    </row>
    <row r="487" spans="1:5" x14ac:dyDescent="0.25">
      <c r="A487" s="4" t="s">
        <v>483</v>
      </c>
      <c r="B487" s="38">
        <f>Yard!$E$81</f>
        <v>5.5174200109268587E-2</v>
      </c>
      <c r="C487" s="42">
        <f t="shared" si="38"/>
        <v>2288.7464079615852</v>
      </c>
      <c r="D487" s="37">
        <f t="shared" si="39"/>
        <v>5.5174200109268594E-2</v>
      </c>
      <c r="E487" s="17"/>
    </row>
    <row r="488" spans="1:5" x14ac:dyDescent="0.25">
      <c r="A488" s="4" t="s">
        <v>484</v>
      </c>
      <c r="B488" s="38">
        <f>Yard!$F$81</f>
        <v>1.0404347505146171E-2</v>
      </c>
      <c r="C488" s="42">
        <f t="shared" si="38"/>
        <v>431.59507400972905</v>
      </c>
      <c r="D488" s="37">
        <f t="shared" si="39"/>
        <v>1.0404347505146171E-2</v>
      </c>
      <c r="E488" s="17"/>
    </row>
    <row r="489" spans="1:5" x14ac:dyDescent="0.25">
      <c r="A489" s="4" t="s">
        <v>485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486</v>
      </c>
      <c r="B490" s="38">
        <f>Yard!$H$81</f>
        <v>4.0202529208208306E-2</v>
      </c>
      <c r="C490" s="42">
        <f t="shared" si="38"/>
        <v>1667.688777255157</v>
      </c>
      <c r="D490" s="37">
        <f t="shared" si="39"/>
        <v>4.0202529208208312E-2</v>
      </c>
      <c r="E490" s="17"/>
    </row>
    <row r="491" spans="1:5" x14ac:dyDescent="0.25">
      <c r="A491" s="4" t="s">
        <v>487</v>
      </c>
      <c r="B491" s="38">
        <f>Yard!$I$81</f>
        <v>4.4063308274107016E-3</v>
      </c>
      <c r="C491" s="42">
        <f t="shared" si="38"/>
        <v>182.78423309362108</v>
      </c>
      <c r="D491" s="37">
        <f t="shared" si="39"/>
        <v>4.4063308274107016E-3</v>
      </c>
      <c r="E491" s="17"/>
    </row>
    <row r="492" spans="1:5" x14ac:dyDescent="0.25">
      <c r="A492" s="4" t="s">
        <v>488</v>
      </c>
      <c r="B492" s="38">
        <f>Yard!$J$81</f>
        <v>1.0328767280373789E-2</v>
      </c>
      <c r="C492" s="42">
        <f t="shared" si="38"/>
        <v>428.45984109981589</v>
      </c>
      <c r="D492" s="37">
        <f t="shared" si="39"/>
        <v>1.0328767280373791E-2</v>
      </c>
      <c r="E492" s="17"/>
    </row>
    <row r="493" spans="1:5" x14ac:dyDescent="0.25">
      <c r="A493" s="4" t="s">
        <v>1577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1579</v>
      </c>
      <c r="B494" s="38">
        <f>Yard!$K$81</f>
        <v>4.9781986881323244E-2</v>
      </c>
      <c r="C494" s="42">
        <f t="shared" si="38"/>
        <v>2065.0656181724885</v>
      </c>
      <c r="D494" s="37">
        <f t="shared" si="39"/>
        <v>4.9781986881323244E-2</v>
      </c>
      <c r="E494" s="17"/>
    </row>
    <row r="495" spans="1:5" x14ac:dyDescent="0.25">
      <c r="A495" s="4" t="s">
        <v>1580</v>
      </c>
      <c r="B495" s="38">
        <f>Yard!$L$81</f>
        <v>0.11185825665698801</v>
      </c>
      <c r="C495" s="42">
        <f t="shared" si="38"/>
        <v>4640.1249608966955</v>
      </c>
      <c r="D495" s="37">
        <f t="shared" si="39"/>
        <v>0.11185825665698801</v>
      </c>
      <c r="E495" s="17"/>
    </row>
    <row r="496" spans="1:5" x14ac:dyDescent="0.25">
      <c r="A496" s="4" t="s">
        <v>1581</v>
      </c>
      <c r="B496" s="38">
        <f>Yard!$M$81</f>
        <v>1.7251486720988505E-2</v>
      </c>
      <c r="C496" s="42">
        <f t="shared" si="38"/>
        <v>715.62937362868183</v>
      </c>
      <c r="D496" s="37">
        <f t="shared" si="39"/>
        <v>1.7251486720988505E-2</v>
      </c>
      <c r="E496" s="17"/>
    </row>
    <row r="497" spans="1:5" x14ac:dyDescent="0.25">
      <c r="A497" s="4" t="s">
        <v>1582</v>
      </c>
      <c r="B497" s="38">
        <f>Yard!$N$81</f>
        <v>3.8523409439308036E-2</v>
      </c>
      <c r="C497" s="42">
        <f t="shared" si="38"/>
        <v>1598.0352193966498</v>
      </c>
      <c r="D497" s="37">
        <f t="shared" si="39"/>
        <v>3.8523409439308036E-2</v>
      </c>
      <c r="E497" s="17"/>
    </row>
    <row r="498" spans="1:5" x14ac:dyDescent="0.25">
      <c r="A498" s="4" t="s">
        <v>1583</v>
      </c>
      <c r="B498" s="38">
        <f>Yard!$O$81</f>
        <v>3.8234016136814861E-2</v>
      </c>
      <c r="C498" s="42">
        <f t="shared" si="38"/>
        <v>1586.0305527180635</v>
      </c>
      <c r="D498" s="37">
        <f t="shared" si="39"/>
        <v>3.8234016136814868E-2</v>
      </c>
      <c r="E498" s="17"/>
    </row>
    <row r="499" spans="1:5" x14ac:dyDescent="0.25">
      <c r="A499" s="4" t="s">
        <v>1584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1585</v>
      </c>
      <c r="B500" s="38">
        <f>Yard!$Q$81</f>
        <v>0.14773671772565536</v>
      </c>
      <c r="C500" s="42">
        <f t="shared" si="38"/>
        <v>6128.4419411424569</v>
      </c>
      <c r="D500" s="37">
        <f t="shared" si="39"/>
        <v>0.14773671772565536</v>
      </c>
      <c r="E500" s="17"/>
    </row>
    <row r="501" spans="1:5" x14ac:dyDescent="0.25">
      <c r="A501" s="4" t="s">
        <v>1586</v>
      </c>
      <c r="B501" s="38">
        <f>Yard!$R$81</f>
        <v>6.1531254192436144E-2</v>
      </c>
      <c r="C501" s="42">
        <f t="shared" si="38"/>
        <v>2552.4509051586929</v>
      </c>
      <c r="D501" s="37">
        <f t="shared" si="39"/>
        <v>6.1531254192436144E-2</v>
      </c>
      <c r="E501" s="17"/>
    </row>
    <row r="502" spans="1:5" x14ac:dyDescent="0.25">
      <c r="A502" s="4" t="s">
        <v>1587</v>
      </c>
      <c r="B502" s="38">
        <f>Yard!$S$81</f>
        <v>0.14423383761147635</v>
      </c>
      <c r="C502" s="42">
        <f t="shared" si="38"/>
        <v>5983.1348181942349</v>
      </c>
      <c r="D502" s="37">
        <f t="shared" si="39"/>
        <v>0.14423383761147635</v>
      </c>
      <c r="E502" s="17"/>
    </row>
    <row r="503" spans="1:5" x14ac:dyDescent="0.25">
      <c r="A503" s="4" t="s">
        <v>1588</v>
      </c>
      <c r="B503" s="38">
        <f>Otex!$B$162</f>
        <v>0.91563152661122216</v>
      </c>
      <c r="C503" s="42">
        <f t="shared" si="38"/>
        <v>37982.396906480462</v>
      </c>
      <c r="D503" s="37">
        <f t="shared" si="39"/>
        <v>0.91563152661122216</v>
      </c>
      <c r="E503" s="17"/>
    </row>
    <row r="504" spans="1:5" x14ac:dyDescent="0.25">
      <c r="A504" s="4" t="s">
        <v>1590</v>
      </c>
      <c r="B504" s="38">
        <f>Adder!$B$279</f>
        <v>1.3195379706717336</v>
      </c>
      <c r="C504" s="42">
        <f t="shared" si="38"/>
        <v>54737.318974498594</v>
      </c>
      <c r="D504" s="37">
        <f t="shared" si="39"/>
        <v>1.3195379706717336</v>
      </c>
      <c r="E504" s="17"/>
    </row>
    <row r="505" spans="1:5" x14ac:dyDescent="0.25">
      <c r="A505" s="4" t="s">
        <v>1591</v>
      </c>
      <c r="B505" s="38">
        <f>Adjust!$B$92</f>
        <v>2.4912661353049259E-4</v>
      </c>
      <c r="C505" s="42">
        <f t="shared" si="38"/>
        <v>10.334316414489614</v>
      </c>
      <c r="D505" s="37">
        <f t="shared" si="39"/>
        <v>2.4912661353049265E-4</v>
      </c>
      <c r="E505" s="17"/>
    </row>
    <row r="507" spans="1:5" x14ac:dyDescent="0.25">
      <c r="A507" s="4" t="s">
        <v>1592</v>
      </c>
      <c r="B507" s="37">
        <f>SUM($B$485:$B$505)</f>
        <v>3.15</v>
      </c>
      <c r="C507" s="42">
        <f>SUM($C$485:$C$505)</f>
        <v>130668.88456563011</v>
      </c>
      <c r="D507" s="37">
        <f>SUM($D$485:$D$505)</f>
        <v>3.15</v>
      </c>
    </row>
    <row r="509" spans="1:5" ht="21" customHeight="1" x14ac:dyDescent="0.3">
      <c r="A509" s="1" t="s">
        <v>231</v>
      </c>
    </row>
    <row r="511" spans="1:5" x14ac:dyDescent="0.25">
      <c r="B511" s="15" t="s">
        <v>239</v>
      </c>
      <c r="C511" s="15" t="s">
        <v>1573</v>
      </c>
    </row>
    <row r="512" spans="1:5" x14ac:dyDescent="0.25">
      <c r="A512" s="4" t="s">
        <v>231</v>
      </c>
      <c r="B512" s="44">
        <f>Loads!B$349</f>
        <v>5217.2339608351122</v>
      </c>
      <c r="C512" s="44">
        <f>Multi!B$143</f>
        <v>5217.2339608351122</v>
      </c>
      <c r="D512" s="17"/>
    </row>
    <row r="514" spans="1:5" x14ac:dyDescent="0.25">
      <c r="B514" s="15" t="s">
        <v>1381</v>
      </c>
      <c r="C514" s="15" t="s">
        <v>1575</v>
      </c>
      <c r="D514" s="15" t="s">
        <v>1542</v>
      </c>
    </row>
    <row r="515" spans="1:5" x14ac:dyDescent="0.25">
      <c r="A515" s="4" t="s">
        <v>481</v>
      </c>
      <c r="B515" s="38">
        <f>Yard!$C$82</f>
        <v>0.25320940789596513</v>
      </c>
      <c r="C515" s="42">
        <f t="shared" ref="C515:C535" si="40">0+10*(B515*$B$512)</f>
        <v>13210.527220777796</v>
      </c>
      <c r="D515" s="37">
        <f t="shared" ref="D515:D535" si="41">IF($C$512&lt;&gt;0,0.1*C515/$C$512,"")</f>
        <v>0.25320940789596513</v>
      </c>
      <c r="E515" s="17"/>
    </row>
    <row r="516" spans="1:5" x14ac:dyDescent="0.25">
      <c r="A516" s="4" t="s">
        <v>482</v>
      </c>
      <c r="B516" s="38">
        <f>Yard!$D$82</f>
        <v>3.9051553890579169E-2</v>
      </c>
      <c r="C516" s="42">
        <f t="shared" si="40"/>
        <v>2037.4109318131218</v>
      </c>
      <c r="D516" s="37">
        <f t="shared" si="41"/>
        <v>3.9051553890579169E-2</v>
      </c>
      <c r="E516" s="17"/>
    </row>
    <row r="517" spans="1:5" x14ac:dyDescent="0.25">
      <c r="A517" s="4" t="s">
        <v>483</v>
      </c>
      <c r="B517" s="38">
        <f>Yard!$E$82</f>
        <v>6.7552825881054573E-2</v>
      </c>
      <c r="C517" s="42">
        <f t="shared" si="40"/>
        <v>3524.3889733701899</v>
      </c>
      <c r="D517" s="37">
        <f t="shared" si="41"/>
        <v>6.7552825881054573E-2</v>
      </c>
      <c r="E517" s="17"/>
    </row>
    <row r="518" spans="1:5" x14ac:dyDescent="0.25">
      <c r="A518" s="4" t="s">
        <v>484</v>
      </c>
      <c r="B518" s="38">
        <f>Yard!$F$82</f>
        <v>1.2738618304011528E-2</v>
      </c>
      <c r="C518" s="42">
        <f t="shared" si="40"/>
        <v>664.60352029804721</v>
      </c>
      <c r="D518" s="37">
        <f t="shared" si="41"/>
        <v>1.2738618304011528E-2</v>
      </c>
      <c r="E518" s="17"/>
    </row>
    <row r="519" spans="1:5" x14ac:dyDescent="0.25">
      <c r="A519" s="4" t="s">
        <v>485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486</v>
      </c>
      <c r="B520" s="38">
        <f>Yard!$H$82</f>
        <v>4.922218084180046E-2</v>
      </c>
      <c r="C520" s="42">
        <f t="shared" si="40"/>
        <v>2568.0363351420879</v>
      </c>
      <c r="D520" s="37">
        <f t="shared" si="41"/>
        <v>4.922218084180046E-2</v>
      </c>
      <c r="E520" s="17"/>
    </row>
    <row r="521" spans="1:5" x14ac:dyDescent="0.25">
      <c r="A521" s="4" t="s">
        <v>487</v>
      </c>
      <c r="B521" s="38">
        <f>Yard!$I$82</f>
        <v>5.3949146262003509E-3</v>
      </c>
      <c r="C521" s="42">
        <f t="shared" si="40"/>
        <v>281.46531803618535</v>
      </c>
      <c r="D521" s="37">
        <f t="shared" si="41"/>
        <v>5.3949146262003509E-3</v>
      </c>
      <c r="E521" s="17"/>
    </row>
    <row r="522" spans="1:5" x14ac:dyDescent="0.25">
      <c r="A522" s="4" t="s">
        <v>488</v>
      </c>
      <c r="B522" s="38">
        <f>Yard!$J$82</f>
        <v>1.2646081253107516E-2</v>
      </c>
      <c r="C522" s="42">
        <f t="shared" si="40"/>
        <v>659.77564585192783</v>
      </c>
      <c r="D522" s="37">
        <f t="shared" si="41"/>
        <v>1.2646081253107516E-2</v>
      </c>
      <c r="E522" s="17"/>
    </row>
    <row r="523" spans="1:5" x14ac:dyDescent="0.25">
      <c r="A523" s="4" t="s">
        <v>1577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1579</v>
      </c>
      <c r="B524" s="38">
        <f>Yard!$K$82</f>
        <v>8.2436513773937986E-2</v>
      </c>
      <c r="C524" s="42">
        <f t="shared" si="40"/>
        <v>4300.9057927424074</v>
      </c>
      <c r="D524" s="37">
        <f t="shared" si="41"/>
        <v>8.2436513773937986E-2</v>
      </c>
      <c r="E524" s="17"/>
    </row>
    <row r="525" spans="1:5" x14ac:dyDescent="0.25">
      <c r="A525" s="4" t="s">
        <v>1580</v>
      </c>
      <c r="B525" s="38">
        <f>Yard!$L$82</f>
        <v>0.17679440163958782</v>
      </c>
      <c r="C525" s="42">
        <f t="shared" si="40"/>
        <v>9223.7775631958029</v>
      </c>
      <c r="D525" s="37">
        <f t="shared" si="41"/>
        <v>0.17679440163958782</v>
      </c>
      <c r="E525" s="17"/>
    </row>
    <row r="526" spans="1:5" x14ac:dyDescent="0.25">
      <c r="A526" s="4" t="s">
        <v>1581</v>
      </c>
      <c r="B526" s="38">
        <f>Yard!$M$82</f>
        <v>2.7266349068742788E-2</v>
      </c>
      <c r="C526" s="42">
        <f t="shared" si="40"/>
        <v>1422.5492234942972</v>
      </c>
      <c r="D526" s="37">
        <f t="shared" si="41"/>
        <v>2.7266349068742791E-2</v>
      </c>
      <c r="E526" s="17"/>
    </row>
    <row r="527" spans="1:5" x14ac:dyDescent="0.25">
      <c r="A527" s="4" t="s">
        <v>1582</v>
      </c>
      <c r="B527" s="38">
        <f>Yard!$N$82</f>
        <v>4.7166341606119336E-2</v>
      </c>
      <c r="C527" s="42">
        <f t="shared" si="40"/>
        <v>2460.7783923579591</v>
      </c>
      <c r="D527" s="37">
        <f t="shared" si="41"/>
        <v>4.7166341606119336E-2</v>
      </c>
      <c r="E527" s="17"/>
    </row>
    <row r="528" spans="1:5" x14ac:dyDescent="0.25">
      <c r="A528" s="4" t="s">
        <v>1583</v>
      </c>
      <c r="B528" s="38">
        <f>Yard!$O$82</f>
        <v>4.681202137427639E-2</v>
      </c>
      <c r="C528" s="42">
        <f t="shared" si="40"/>
        <v>2442.2926768921393</v>
      </c>
      <c r="D528" s="37">
        <f t="shared" si="41"/>
        <v>4.681202137427639E-2</v>
      </c>
      <c r="E528" s="17"/>
    </row>
    <row r="529" spans="1:5" x14ac:dyDescent="0.25">
      <c r="A529" s="4" t="s">
        <v>1584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1585</v>
      </c>
      <c r="B530" s="38">
        <f>Yard!$Q$82</f>
        <v>0.18088223751309407</v>
      </c>
      <c r="C530" s="42">
        <f t="shared" si="40"/>
        <v>9437.0495246515729</v>
      </c>
      <c r="D530" s="37">
        <f t="shared" si="41"/>
        <v>0.1808822375130941</v>
      </c>
      <c r="E530" s="17"/>
    </row>
    <row r="531" spans="1:5" x14ac:dyDescent="0.25">
      <c r="A531" s="4" t="s">
        <v>1586</v>
      </c>
      <c r="B531" s="38">
        <f>Yard!$R$82</f>
        <v>7.5336118919217224E-2</v>
      </c>
      <c r="C531" s="42">
        <f t="shared" si="40"/>
        <v>3930.4615810285268</v>
      </c>
      <c r="D531" s="37">
        <f t="shared" si="41"/>
        <v>7.5336118919217224E-2</v>
      </c>
      <c r="E531" s="17"/>
    </row>
    <row r="532" spans="1:5" x14ac:dyDescent="0.25">
      <c r="A532" s="4" t="s">
        <v>1587</v>
      </c>
      <c r="B532" s="38">
        <f>Yard!$S$82</f>
        <v>0.1765934675813739</v>
      </c>
      <c r="C532" s="42">
        <f t="shared" si="40"/>
        <v>9213.2943632717834</v>
      </c>
      <c r="D532" s="37">
        <f t="shared" si="41"/>
        <v>0.17659346758137393</v>
      </c>
      <c r="E532" s="17"/>
    </row>
    <row r="533" spans="1:5" x14ac:dyDescent="0.25">
      <c r="A533" s="4" t="s">
        <v>1588</v>
      </c>
      <c r="B533" s="38">
        <f>Otex!$B$163</f>
        <v>0.91563152661122216</v>
      </c>
      <c r="C533" s="42">
        <f t="shared" si="40"/>
        <v>47770.638962473669</v>
      </c>
      <c r="D533" s="37">
        <f t="shared" si="41"/>
        <v>0.91563152661122216</v>
      </c>
      <c r="E533" s="17"/>
    </row>
    <row r="534" spans="1:5" x14ac:dyDescent="0.25">
      <c r="A534" s="4" t="s">
        <v>1590</v>
      </c>
      <c r="B534" s="38">
        <f>Adder!$B$280</f>
        <v>1.3195379706717336</v>
      </c>
      <c r="C534" s="42">
        <f t="shared" si="40"/>
        <v>68843.383132000148</v>
      </c>
      <c r="D534" s="37">
        <f t="shared" si="41"/>
        <v>1.3195379706717336</v>
      </c>
      <c r="E534" s="17"/>
    </row>
    <row r="535" spans="1:5" x14ac:dyDescent="0.25">
      <c r="A535" s="4" t="s">
        <v>1591</v>
      </c>
      <c r="B535" s="38">
        <f>Adjust!$B$93</f>
        <v>-2.7253145202399409E-4</v>
      </c>
      <c r="C535" s="42">
        <f t="shared" si="40"/>
        <v>-14.218603468952871</v>
      </c>
      <c r="D535" s="37">
        <f t="shared" si="41"/>
        <v>-2.7253145202399415E-4</v>
      </c>
      <c r="E535" s="17"/>
    </row>
    <row r="537" spans="1:5" x14ac:dyDescent="0.25">
      <c r="A537" s="4" t="s">
        <v>1592</v>
      </c>
      <c r="B537" s="37">
        <f>SUM($B$515:$B$535)</f>
        <v>3.488</v>
      </c>
      <c r="C537" s="42">
        <f>SUM($C$515:$C$535)</f>
        <v>181977.12055392872</v>
      </c>
      <c r="D537" s="37">
        <f>SUM($D$515:$D$535)</f>
        <v>3.488</v>
      </c>
    </row>
    <row r="539" spans="1:5" ht="21" customHeight="1" x14ac:dyDescent="0.3">
      <c r="A539" s="1" t="s">
        <v>232</v>
      </c>
    </row>
    <row r="541" spans="1:5" x14ac:dyDescent="0.25">
      <c r="B541" s="15" t="s">
        <v>239</v>
      </c>
      <c r="C541" s="15" t="s">
        <v>1573</v>
      </c>
    </row>
    <row r="542" spans="1:5" x14ac:dyDescent="0.25">
      <c r="A542" s="4" t="s">
        <v>232</v>
      </c>
      <c r="B542" s="44">
        <f>Loads!B$350</f>
        <v>595.31717219053098</v>
      </c>
      <c r="C542" s="44">
        <f>Multi!B$144</f>
        <v>595.31717219053098</v>
      </c>
      <c r="D542" s="17"/>
    </row>
    <row r="544" spans="1:5" x14ac:dyDescent="0.25">
      <c r="B544" s="15" t="s">
        <v>1381</v>
      </c>
      <c r="C544" s="15" t="s">
        <v>1575</v>
      </c>
      <c r="D544" s="15" t="s">
        <v>1542</v>
      </c>
    </row>
    <row r="545" spans="1:5" x14ac:dyDescent="0.25">
      <c r="A545" s="4" t="s">
        <v>481</v>
      </c>
      <c r="B545" s="38">
        <f>Yard!$C$83</f>
        <v>0.44434519963343955</v>
      </c>
      <c r="C545" s="42">
        <f t="shared" ref="C545:C565" si="42">0+10*(B545*$B$542)</f>
        <v>2645.2632772221618</v>
      </c>
      <c r="D545" s="37">
        <f t="shared" ref="D545:D565" si="43">IF($C$542&lt;&gt;0,0.1*C545/$C$542,"")</f>
        <v>0.44434519963343955</v>
      </c>
      <c r="E545" s="17"/>
    </row>
    <row r="546" spans="1:5" x14ac:dyDescent="0.25">
      <c r="A546" s="4" t="s">
        <v>482</v>
      </c>
      <c r="B546" s="38">
        <f>Yard!$D$83</f>
        <v>6.852972270538582E-2</v>
      </c>
      <c r="C546" s="42">
        <f t="shared" si="42"/>
        <v>407.96920731971511</v>
      </c>
      <c r="D546" s="37">
        <f t="shared" si="43"/>
        <v>6.852972270538582E-2</v>
      </c>
      <c r="E546" s="17"/>
    </row>
    <row r="547" spans="1:5" x14ac:dyDescent="0.25">
      <c r="A547" s="4" t="s">
        <v>483</v>
      </c>
      <c r="B547" s="38">
        <f>Yard!$E$83</f>
        <v>0.11438856727377475</v>
      </c>
      <c r="C547" s="42">
        <f t="shared" si="42"/>
        <v>680.97478400349905</v>
      </c>
      <c r="D547" s="37">
        <f t="shared" si="43"/>
        <v>0.11438856727377478</v>
      </c>
      <c r="E547" s="17"/>
    </row>
    <row r="548" spans="1:5" x14ac:dyDescent="0.25">
      <c r="A548" s="4" t="s">
        <v>484</v>
      </c>
      <c r="B548" s="38">
        <f>Yard!$F$83</f>
        <v>2.1570560192538508E-2</v>
      </c>
      <c r="C548" s="42">
        <f t="shared" si="42"/>
        <v>128.41324896387661</v>
      </c>
      <c r="D548" s="37">
        <f t="shared" si="43"/>
        <v>2.1570560192538508E-2</v>
      </c>
      <c r="E548" s="17"/>
    </row>
    <row r="549" spans="1:5" x14ac:dyDescent="0.25">
      <c r="A549" s="4" t="s">
        <v>485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486</v>
      </c>
      <c r="B550" s="38">
        <f>Yard!$H$83</f>
        <v>8.3348915032779997E-2</v>
      </c>
      <c r="C550" s="42">
        <f t="shared" si="42"/>
        <v>496.19040402463429</v>
      </c>
      <c r="D550" s="37">
        <f t="shared" si="43"/>
        <v>8.334891503278001E-2</v>
      </c>
      <c r="E550" s="17"/>
    </row>
    <row r="551" spans="1:5" x14ac:dyDescent="0.25">
      <c r="A551" s="4" t="s">
        <v>487</v>
      </c>
      <c r="B551" s="38">
        <f>Yard!$I$83</f>
        <v>9.1353181248404695E-3</v>
      </c>
      <c r="C551" s="42">
        <f t="shared" si="42"/>
        <v>54.384117531409323</v>
      </c>
      <c r="D551" s="37">
        <f t="shared" si="43"/>
        <v>9.1353181248404712E-3</v>
      </c>
      <c r="E551" s="17"/>
    </row>
    <row r="552" spans="1:5" x14ac:dyDescent="0.25">
      <c r="A552" s="4" t="s">
        <v>488</v>
      </c>
      <c r="B552" s="38">
        <f>Yard!$J$83</f>
        <v>2.1413865331374765E-2</v>
      </c>
      <c r="C552" s="42">
        <f t="shared" si="42"/>
        <v>127.48041754742873</v>
      </c>
      <c r="D552" s="37">
        <f t="shared" si="43"/>
        <v>2.1413865331374765E-2</v>
      </c>
      <c r="E552" s="17"/>
    </row>
    <row r="553" spans="1:5" x14ac:dyDescent="0.25">
      <c r="A553" s="4" t="s">
        <v>1577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1579</v>
      </c>
      <c r="B554" s="38">
        <f>Yard!$K$83</f>
        <v>0.14726367977397933</v>
      </c>
      <c r="C554" s="42">
        <f t="shared" si="42"/>
        <v>876.68597409417271</v>
      </c>
      <c r="D554" s="37">
        <f t="shared" si="43"/>
        <v>0.14726367977397933</v>
      </c>
      <c r="E554" s="17"/>
    </row>
    <row r="555" spans="1:5" x14ac:dyDescent="0.25">
      <c r="A555" s="4" t="s">
        <v>1580</v>
      </c>
      <c r="B555" s="38">
        <f>Yard!$L$83</f>
        <v>0.31024812365144727</v>
      </c>
      <c r="C555" s="42">
        <f t="shared" si="42"/>
        <v>1846.9603564959777</v>
      </c>
      <c r="D555" s="37">
        <f t="shared" si="43"/>
        <v>0.31024812365144727</v>
      </c>
      <c r="E555" s="17"/>
    </row>
    <row r="556" spans="1:5" x14ac:dyDescent="0.25">
      <c r="A556" s="4" t="s">
        <v>1581</v>
      </c>
      <c r="B556" s="38">
        <f>Yard!$M$83</f>
        <v>4.784842483105315E-2</v>
      </c>
      <c r="C556" s="42">
        <f t="shared" si="42"/>
        <v>284.84988964193747</v>
      </c>
      <c r="D556" s="37">
        <f t="shared" si="43"/>
        <v>4.784842483105315E-2</v>
      </c>
      <c r="E556" s="17"/>
    </row>
    <row r="557" spans="1:5" x14ac:dyDescent="0.25">
      <c r="A557" s="4" t="s">
        <v>1582</v>
      </c>
      <c r="B557" s="38">
        <f>Yard!$N$83</f>
        <v>7.9867720846635251E-2</v>
      </c>
      <c r="C557" s="42">
        <f t="shared" si="42"/>
        <v>475.46625723721615</v>
      </c>
      <c r="D557" s="37">
        <f t="shared" si="43"/>
        <v>7.9867720846635251E-2</v>
      </c>
      <c r="E557" s="17"/>
    </row>
    <row r="558" spans="1:5" x14ac:dyDescent="0.25">
      <c r="A558" s="4" t="s">
        <v>1583</v>
      </c>
      <c r="B558" s="38">
        <f>Yard!$O$83</f>
        <v>7.9267743226927811E-2</v>
      </c>
      <c r="C558" s="42">
        <f t="shared" si="42"/>
        <v>471.89448743779781</v>
      </c>
      <c r="D558" s="37">
        <f t="shared" si="43"/>
        <v>7.9267743226927825E-2</v>
      </c>
      <c r="E558" s="17"/>
    </row>
    <row r="559" spans="1:5" x14ac:dyDescent="0.25">
      <c r="A559" s="4" t="s">
        <v>1584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1585</v>
      </c>
      <c r="B560" s="38">
        <f>Yard!$Q$83</f>
        <v>0.30629155367725769</v>
      </c>
      <c r="C560" s="42">
        <f t="shared" si="42"/>
        <v>1823.4062160098927</v>
      </c>
      <c r="D560" s="37">
        <f t="shared" si="43"/>
        <v>0.30629155367725769</v>
      </c>
      <c r="E560" s="17"/>
    </row>
    <row r="561" spans="1:5" x14ac:dyDescent="0.25">
      <c r="A561" s="4" t="s">
        <v>1586</v>
      </c>
      <c r="B561" s="38">
        <f>Yard!$R$83</f>
        <v>0.12756817490225542</v>
      </c>
      <c r="C561" s="42">
        <f t="shared" si="42"/>
        <v>759.43525144317755</v>
      </c>
      <c r="D561" s="37">
        <f t="shared" si="43"/>
        <v>0.12756817490225542</v>
      </c>
      <c r="E561" s="17"/>
    </row>
    <row r="562" spans="1:5" x14ac:dyDescent="0.25">
      <c r="A562" s="4" t="s">
        <v>1587</v>
      </c>
      <c r="B562" s="38">
        <f>Yard!$S$83</f>
        <v>0.29902929275096973</v>
      </c>
      <c r="C562" s="42">
        <f t="shared" si="42"/>
        <v>1780.1727296264175</v>
      </c>
      <c r="D562" s="37">
        <f t="shared" si="43"/>
        <v>0.29902929275096973</v>
      </c>
      <c r="E562" s="17"/>
    </row>
    <row r="563" spans="1:5" x14ac:dyDescent="0.25">
      <c r="A563" s="4" t="s">
        <v>1588</v>
      </c>
      <c r="B563" s="38">
        <f>Otex!$B$164</f>
        <v>0.91563152661122216</v>
      </c>
      <c r="C563" s="42">
        <f t="shared" si="42"/>
        <v>5450.9117119069178</v>
      </c>
      <c r="D563" s="37">
        <f t="shared" si="43"/>
        <v>0.91563152661122238</v>
      </c>
      <c r="E563" s="17"/>
    </row>
    <row r="564" spans="1:5" x14ac:dyDescent="0.25">
      <c r="A564" s="4" t="s">
        <v>1590</v>
      </c>
      <c r="B564" s="38">
        <f>Adder!$B$281</f>
        <v>1.3195379706717336</v>
      </c>
      <c r="C564" s="42">
        <f t="shared" si="42"/>
        <v>7855.4361329832827</v>
      </c>
      <c r="D564" s="37">
        <f t="shared" si="43"/>
        <v>1.3195379706717336</v>
      </c>
      <c r="E564" s="17"/>
    </row>
    <row r="565" spans="1:5" x14ac:dyDescent="0.25">
      <c r="A565" s="4" t="s">
        <v>1591</v>
      </c>
      <c r="B565" s="38">
        <f>Adjust!$B$94</f>
        <v>-2.8635923761566318E-4</v>
      </c>
      <c r="C565" s="42">
        <f t="shared" si="42"/>
        <v>-1.7047457156799293</v>
      </c>
      <c r="D565" s="37">
        <f t="shared" si="43"/>
        <v>-2.8635923761566323E-4</v>
      </c>
      <c r="E565" s="17"/>
    </row>
    <row r="567" spans="1:5" x14ac:dyDescent="0.25">
      <c r="A567" s="4" t="s">
        <v>1592</v>
      </c>
      <c r="B567" s="37">
        <f>SUM($B$545:$B$565)</f>
        <v>4.3949999999999996</v>
      </c>
      <c r="C567" s="42">
        <f>SUM($C$545:$C$565)</f>
        <v>26164.189717773836</v>
      </c>
      <c r="D567" s="37">
        <f>SUM($D$545:$D$565)</f>
        <v>4.3950000000000005</v>
      </c>
    </row>
    <row r="569" spans="1:5" ht="21" customHeight="1" x14ac:dyDescent="0.3">
      <c r="A569" s="1" t="s">
        <v>233</v>
      </c>
    </row>
    <row r="571" spans="1:5" x14ac:dyDescent="0.25">
      <c r="B571" s="15" t="s">
        <v>239</v>
      </c>
      <c r="C571" s="15" t="s">
        <v>1573</v>
      </c>
    </row>
    <row r="572" spans="1:5" x14ac:dyDescent="0.25">
      <c r="A572" s="4" t="s">
        <v>233</v>
      </c>
      <c r="B572" s="44">
        <f>Loads!B$351</f>
        <v>0</v>
      </c>
      <c r="C572" s="44">
        <f>Multi!B$145</f>
        <v>0</v>
      </c>
      <c r="D572" s="17"/>
    </row>
    <row r="574" spans="1:5" x14ac:dyDescent="0.25">
      <c r="B574" s="15" t="s">
        <v>1381</v>
      </c>
      <c r="C574" s="15" t="s">
        <v>1575</v>
      </c>
      <c r="D574" s="15" t="s">
        <v>1542</v>
      </c>
    </row>
    <row r="575" spans="1:5" x14ac:dyDescent="0.25">
      <c r="A575" s="4" t="s">
        <v>481</v>
      </c>
      <c r="B575" s="38">
        <f>Yard!$C$84</f>
        <v>7.1041529338310108E-2</v>
      </c>
      <c r="C575" s="42">
        <f t="shared" ref="C575:C595" si="44">0+10*(B575*$B$572)</f>
        <v>0</v>
      </c>
      <c r="D575" s="37" t="str">
        <f t="shared" ref="D575:D595" si="45">IF($C$572&lt;&gt;0,0.1*C575/$C$572,"")</f>
        <v/>
      </c>
      <c r="E575" s="17"/>
    </row>
    <row r="576" spans="1:5" x14ac:dyDescent="0.25">
      <c r="A576" s="4" t="s">
        <v>482</v>
      </c>
      <c r="B576" s="38">
        <f>Yard!$D$84</f>
        <v>1.0956473278291592E-2</v>
      </c>
      <c r="C576" s="42">
        <f t="shared" si="44"/>
        <v>0</v>
      </c>
      <c r="D576" s="37" t="str">
        <f t="shared" si="45"/>
        <v/>
      </c>
      <c r="E576" s="17"/>
    </row>
    <row r="577" spans="1:5" x14ac:dyDescent="0.25">
      <c r="A577" s="4" t="s">
        <v>483</v>
      </c>
      <c r="B577" s="38">
        <f>Yard!$E$84</f>
        <v>4.3052680966917223E-2</v>
      </c>
      <c r="C577" s="42">
        <f t="shared" si="44"/>
        <v>0</v>
      </c>
      <c r="D577" s="37" t="str">
        <f t="shared" si="45"/>
        <v/>
      </c>
      <c r="E577" s="17"/>
    </row>
    <row r="578" spans="1:5" x14ac:dyDescent="0.25">
      <c r="A578" s="4" t="s">
        <v>484</v>
      </c>
      <c r="B578" s="38">
        <f>Yard!$F$84</f>
        <v>8.11855999581137E-3</v>
      </c>
      <c r="C578" s="42">
        <f t="shared" si="44"/>
        <v>0</v>
      </c>
      <c r="D578" s="37" t="str">
        <f t="shared" si="45"/>
        <v/>
      </c>
      <c r="E578" s="17"/>
    </row>
    <row r="579" spans="1:5" x14ac:dyDescent="0.25">
      <c r="A579" s="4" t="s">
        <v>485</v>
      </c>
      <c r="B579" s="38">
        <f>Yard!$G$84</f>
        <v>0</v>
      </c>
      <c r="C579" s="42">
        <f t="shared" si="44"/>
        <v>0</v>
      </c>
      <c r="D579" s="37" t="str">
        <f t="shared" si="45"/>
        <v/>
      </c>
      <c r="E579" s="17"/>
    </row>
    <row r="580" spans="1:5" x14ac:dyDescent="0.25">
      <c r="A580" s="4" t="s">
        <v>486</v>
      </c>
      <c r="B580" s="38">
        <f>Yard!$H$84</f>
        <v>3.1370217613239222E-2</v>
      </c>
      <c r="C580" s="42">
        <f t="shared" si="44"/>
        <v>0</v>
      </c>
      <c r="D580" s="37" t="str">
        <f t="shared" si="45"/>
        <v/>
      </c>
      <c r="E580" s="17"/>
    </row>
    <row r="581" spans="1:5" x14ac:dyDescent="0.25">
      <c r="A581" s="4" t="s">
        <v>487</v>
      </c>
      <c r="B581" s="38">
        <f>Yard!$I$84</f>
        <v>3.4382801195397355E-3</v>
      </c>
      <c r="C581" s="42">
        <f t="shared" si="44"/>
        <v>0</v>
      </c>
      <c r="D581" s="37" t="str">
        <f t="shared" si="45"/>
        <v/>
      </c>
      <c r="E581" s="17"/>
    </row>
    <row r="582" spans="1:5" x14ac:dyDescent="0.25">
      <c r="A582" s="4" t="s">
        <v>488</v>
      </c>
      <c r="B582" s="38">
        <f>Yard!$J$84</f>
        <v>8.0595844003684084E-3</v>
      </c>
      <c r="C582" s="42">
        <f t="shared" si="44"/>
        <v>0</v>
      </c>
      <c r="D582" s="37" t="str">
        <f t="shared" si="45"/>
        <v/>
      </c>
      <c r="E582" s="17"/>
    </row>
    <row r="583" spans="1:5" x14ac:dyDescent="0.25">
      <c r="A583" s="4" t="s">
        <v>1577</v>
      </c>
      <c r="B583" s="10"/>
      <c r="C583" s="42">
        <f t="shared" si="44"/>
        <v>0</v>
      </c>
      <c r="D583" s="37" t="str">
        <f t="shared" si="45"/>
        <v/>
      </c>
      <c r="E583" s="17"/>
    </row>
    <row r="584" spans="1:5" x14ac:dyDescent="0.25">
      <c r="A584" s="4" t="s">
        <v>1579</v>
      </c>
      <c r="B584" s="38">
        <f>Yard!$K$84</f>
        <v>1.8502280799643306E-2</v>
      </c>
      <c r="C584" s="42">
        <f t="shared" si="44"/>
        <v>0</v>
      </c>
      <c r="D584" s="37" t="str">
        <f t="shared" si="45"/>
        <v/>
      </c>
      <c r="E584" s="17"/>
    </row>
    <row r="585" spans="1:5" x14ac:dyDescent="0.25">
      <c r="A585" s="4" t="s">
        <v>1580</v>
      </c>
      <c r="B585" s="38">
        <f>Yard!$L$84</f>
        <v>4.9602203864747861E-2</v>
      </c>
      <c r="C585" s="42">
        <f t="shared" si="44"/>
        <v>0</v>
      </c>
      <c r="D585" s="37" t="str">
        <f t="shared" si="45"/>
        <v/>
      </c>
      <c r="E585" s="17"/>
    </row>
    <row r="586" spans="1:5" x14ac:dyDescent="0.25">
      <c r="A586" s="4" t="s">
        <v>1581</v>
      </c>
      <c r="B586" s="38">
        <f>Yard!$M$84</f>
        <v>7.6499651154808522E-3</v>
      </c>
      <c r="C586" s="42">
        <f t="shared" si="44"/>
        <v>0</v>
      </c>
      <c r="D586" s="37" t="str">
        <f t="shared" si="45"/>
        <v/>
      </c>
      <c r="E586" s="17"/>
    </row>
    <row r="587" spans="1:5" x14ac:dyDescent="0.25">
      <c r="A587" s="4" t="s">
        <v>1582</v>
      </c>
      <c r="B587" s="38">
        <f>Yard!$N$84</f>
        <v>3.005999276951625E-2</v>
      </c>
      <c r="C587" s="42">
        <f t="shared" si="44"/>
        <v>0</v>
      </c>
      <c r="D587" s="37" t="str">
        <f t="shared" si="45"/>
        <v/>
      </c>
      <c r="E587" s="17"/>
    </row>
    <row r="588" spans="1:5" x14ac:dyDescent="0.25">
      <c r="A588" s="4" t="s">
        <v>1583</v>
      </c>
      <c r="B588" s="38">
        <f>Yard!$O$84</f>
        <v>2.9834177850559074E-2</v>
      </c>
      <c r="C588" s="42">
        <f t="shared" si="44"/>
        <v>0</v>
      </c>
      <c r="D588" s="37" t="str">
        <f t="shared" si="45"/>
        <v/>
      </c>
      <c r="E588" s="17"/>
    </row>
    <row r="589" spans="1:5" x14ac:dyDescent="0.25">
      <c r="A589" s="4" t="s">
        <v>1584</v>
      </c>
      <c r="B589" s="38">
        <f>Yard!$P$84</f>
        <v>0</v>
      </c>
      <c r="C589" s="42">
        <f t="shared" si="44"/>
        <v>0</v>
      </c>
      <c r="D589" s="37" t="str">
        <f t="shared" si="45"/>
        <v/>
      </c>
      <c r="E589" s="17"/>
    </row>
    <row r="590" spans="1:5" x14ac:dyDescent="0.25">
      <c r="A590" s="4" t="s">
        <v>1585</v>
      </c>
      <c r="B590" s="38">
        <f>Yard!$Q$84</f>
        <v>0.11527963727150918</v>
      </c>
      <c r="C590" s="42">
        <f t="shared" si="44"/>
        <v>0</v>
      </c>
      <c r="D590" s="37" t="str">
        <f t="shared" si="45"/>
        <v/>
      </c>
      <c r="E590" s="17"/>
    </row>
    <row r="591" spans="1:5" x14ac:dyDescent="0.25">
      <c r="A591" s="4" t="s">
        <v>1586</v>
      </c>
      <c r="B591" s="38">
        <f>Yard!$R$84</f>
        <v>4.8013119374543084E-2</v>
      </c>
      <c r="C591" s="42">
        <f t="shared" si="44"/>
        <v>0</v>
      </c>
      <c r="D591" s="37" t="str">
        <f t="shared" si="45"/>
        <v/>
      </c>
      <c r="E591" s="17"/>
    </row>
    <row r="592" spans="1:5" x14ac:dyDescent="0.25">
      <c r="A592" s="4" t="s">
        <v>1587</v>
      </c>
      <c r="B592" s="38">
        <f>Yard!$S$84</f>
        <v>0.11254632388006093</v>
      </c>
      <c r="C592" s="42">
        <f t="shared" si="44"/>
        <v>0</v>
      </c>
      <c r="D592" s="37" t="str">
        <f t="shared" si="45"/>
        <v/>
      </c>
      <c r="E592" s="17"/>
    </row>
    <row r="593" spans="1:8" x14ac:dyDescent="0.25">
      <c r="A593" s="4" t="s">
        <v>1588</v>
      </c>
      <c r="B593" s="38">
        <f>Otex!$B$165</f>
        <v>0.91563152661122216</v>
      </c>
      <c r="C593" s="42">
        <f t="shared" si="44"/>
        <v>0</v>
      </c>
      <c r="D593" s="37" t="str">
        <f t="shared" si="45"/>
        <v/>
      </c>
      <c r="E593" s="17"/>
    </row>
    <row r="594" spans="1:8" x14ac:dyDescent="0.25">
      <c r="A594" s="4" t="s">
        <v>1590</v>
      </c>
      <c r="B594" s="38">
        <f>Adder!$B$282</f>
        <v>1.3195379706717336</v>
      </c>
      <c r="C594" s="42">
        <f t="shared" si="44"/>
        <v>0</v>
      </c>
      <c r="D594" s="37" t="str">
        <f t="shared" si="45"/>
        <v/>
      </c>
      <c r="E594" s="17"/>
    </row>
    <row r="595" spans="1:8" x14ac:dyDescent="0.25">
      <c r="A595" s="4" t="s">
        <v>1591</v>
      </c>
      <c r="B595" s="38">
        <f>Adjust!$B$95</f>
        <v>3.0547607850595071E-4</v>
      </c>
      <c r="C595" s="42">
        <f t="shared" si="44"/>
        <v>0</v>
      </c>
      <c r="D595" s="37" t="str">
        <f t="shared" si="45"/>
        <v/>
      </c>
      <c r="E595" s="17"/>
    </row>
    <row r="597" spans="1:8" x14ac:dyDescent="0.25">
      <c r="A597" s="4" t="s">
        <v>1592</v>
      </c>
      <c r="B597" s="37">
        <f>SUM($B$575:$B$595)</f>
        <v>2.823</v>
      </c>
      <c r="C597" s="42">
        <f>SUM($C$575:$C$595)</f>
        <v>0</v>
      </c>
      <c r="D597" s="37">
        <f>SUM($D$575:$D$595)</f>
        <v>0</v>
      </c>
    </row>
    <row r="599" spans="1:8" ht="21" customHeight="1" x14ac:dyDescent="0.3">
      <c r="A599" s="1" t="s">
        <v>234</v>
      </c>
    </row>
    <row r="601" spans="1:8" x14ac:dyDescent="0.25">
      <c r="B601" s="15" t="s">
        <v>239</v>
      </c>
      <c r="C601" s="15" t="s">
        <v>240</v>
      </c>
      <c r="D601" s="15" t="s">
        <v>241</v>
      </c>
      <c r="E601" s="15" t="s">
        <v>1573</v>
      </c>
    </row>
    <row r="602" spans="1:8" x14ac:dyDescent="0.25">
      <c r="A602" s="4" t="s">
        <v>234</v>
      </c>
      <c r="B602" s="44">
        <f>Loads!B$352</f>
        <v>4026.218924326387</v>
      </c>
      <c r="C602" s="44">
        <f>Loads!C$352</f>
        <v>30464.181557984975</v>
      </c>
      <c r="D602" s="44">
        <f>Loads!D$352</f>
        <v>87413.370440085389</v>
      </c>
      <c r="E602" s="44">
        <f>Multi!B$146</f>
        <v>121903.77092239675</v>
      </c>
      <c r="F602" s="17"/>
    </row>
    <row r="604" spans="1:8" ht="30" x14ac:dyDescent="0.25">
      <c r="B604" s="15" t="s">
        <v>1381</v>
      </c>
      <c r="C604" s="15" t="s">
        <v>1382</v>
      </c>
      <c r="D604" s="15" t="s">
        <v>1383</v>
      </c>
      <c r="E604" s="15" t="s">
        <v>1593</v>
      </c>
      <c r="F604" s="15" t="s">
        <v>1575</v>
      </c>
      <c r="G604" s="15" t="s">
        <v>1542</v>
      </c>
    </row>
    <row r="605" spans="1:8" x14ac:dyDescent="0.25">
      <c r="A605" s="4" t="s">
        <v>481</v>
      </c>
      <c r="B605" s="38">
        <f>Yard!$C$85</f>
        <v>7.1414164481732314</v>
      </c>
      <c r="C605" s="38">
        <f>Yard!$C$113</f>
        <v>7.2301698052638155E-2</v>
      </c>
      <c r="D605" s="38">
        <f>Yard!$C$136</f>
        <v>9.9663988421702637E-3</v>
      </c>
      <c r="E605" s="37">
        <f t="shared" ref="E605:E625" si="46">IF(E$602&lt;&gt;0,(($B605*B$602+$C605*C$602+$D605*D$602))/E$602,0)</f>
        <v>0.26108064073556791</v>
      </c>
      <c r="F605" s="42">
        <f t="shared" ref="F605:F625" si="47">0+10*(B605*$B$602+C605*$C$602+D605*$D$602)</f>
        <v>318267.1462050124</v>
      </c>
      <c r="G605" s="37">
        <f t="shared" ref="G605:G625" si="48">IF($E$602&lt;&gt;0,0.1*F605/$E$602,"")</f>
        <v>0.26108064073556791</v>
      </c>
      <c r="H605" s="17"/>
    </row>
    <row r="606" spans="1:8" x14ac:dyDescent="0.25">
      <c r="A606" s="4" t="s">
        <v>482</v>
      </c>
      <c r="B606" s="38">
        <f>Yard!$D$85</f>
        <v>1.1013943423282633</v>
      </c>
      <c r="C606" s="38">
        <f>Yard!$D$113</f>
        <v>1.115082445531825E-2</v>
      </c>
      <c r="D606" s="38">
        <f>Yard!$D$136</f>
        <v>1.5370809667543161E-3</v>
      </c>
      <c r="E606" s="37">
        <f t="shared" si="46"/>
        <v>4.0265505125548051E-2</v>
      </c>
      <c r="F606" s="42">
        <f t="shared" si="47"/>
        <v>49085.169128994021</v>
      </c>
      <c r="G606" s="37">
        <f t="shared" si="48"/>
        <v>4.0265505125548051E-2</v>
      </c>
      <c r="H606" s="17"/>
    </row>
    <row r="607" spans="1:8" x14ac:dyDescent="0.25">
      <c r="A607" s="4" t="s">
        <v>483</v>
      </c>
      <c r="B607" s="38">
        <f>Yard!$E$85</f>
        <v>1.6338924845200495</v>
      </c>
      <c r="C607" s="38">
        <f>Yard!$E$113</f>
        <v>5.268966841644903E-2</v>
      </c>
      <c r="D607" s="38">
        <f>Yard!$E$136</f>
        <v>7.3512158463382516E-3</v>
      </c>
      <c r="E607" s="37">
        <f t="shared" si="46"/>
        <v>7.2402608660380827E-2</v>
      </c>
      <c r="F607" s="42">
        <f t="shared" si="47"/>
        <v>88261.510203190031</v>
      </c>
      <c r="G607" s="37">
        <f t="shared" si="48"/>
        <v>7.2402608660380827E-2</v>
      </c>
      <c r="H607" s="17"/>
    </row>
    <row r="608" spans="1:8" x14ac:dyDescent="0.25">
      <c r="A608" s="4" t="s">
        <v>484</v>
      </c>
      <c r="B608" s="38">
        <f>Yard!$F$85</f>
        <v>0.30810750606853887</v>
      </c>
      <c r="C608" s="38">
        <f>Yard!$F$113</f>
        <v>9.9358326726982187E-3</v>
      </c>
      <c r="D608" s="38">
        <f>Yard!$F$136</f>
        <v>1.3862385698237229E-3</v>
      </c>
      <c r="E608" s="37">
        <f t="shared" si="46"/>
        <v>1.3653154903738461E-2</v>
      </c>
      <c r="F608" s="42">
        <f t="shared" si="47"/>
        <v>16643.710677533312</v>
      </c>
      <c r="G608" s="37">
        <f t="shared" si="48"/>
        <v>1.3653154903738461E-2</v>
      </c>
      <c r="H608" s="17"/>
    </row>
    <row r="609" spans="1:8" x14ac:dyDescent="0.25">
      <c r="A609" s="4" t="s">
        <v>485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486</v>
      </c>
      <c r="B610" s="38">
        <f>Yard!$H$85</f>
        <v>1.1905312664597152</v>
      </c>
      <c r="C610" s="38">
        <f>Yard!$H$113</f>
        <v>3.8392182021452829E-2</v>
      </c>
      <c r="D610" s="38">
        <f>Yard!$H$136</f>
        <v>5.3564432142734495E-3</v>
      </c>
      <c r="E610" s="37">
        <f t="shared" si="46"/>
        <v>5.2755961729483429E-2</v>
      </c>
      <c r="F610" s="42">
        <f t="shared" si="47"/>
        <v>64311.506734616778</v>
      </c>
      <c r="G610" s="37">
        <f t="shared" si="48"/>
        <v>5.2755961729483429E-2</v>
      </c>
      <c r="H610" s="17"/>
    </row>
    <row r="611" spans="1:8" x14ac:dyDescent="0.25">
      <c r="A611" s="4" t="s">
        <v>487</v>
      </c>
      <c r="B611" s="38">
        <f>Yard!$I$85</f>
        <v>0.13048618392214681</v>
      </c>
      <c r="C611" s="38">
        <f>Yard!$I$113</f>
        <v>4.2079107584641886E-3</v>
      </c>
      <c r="D611" s="38">
        <f>Yard!$I$136</f>
        <v>5.8708398016682505E-4</v>
      </c>
      <c r="E611" s="37">
        <f t="shared" si="46"/>
        <v>5.7822287571613713E-3</v>
      </c>
      <c r="F611" s="42">
        <f t="shared" si="47"/>
        <v>7048.754898338947</v>
      </c>
      <c r="G611" s="37">
        <f t="shared" si="48"/>
        <v>5.7822287571613722E-3</v>
      </c>
      <c r="H611" s="17"/>
    </row>
    <row r="612" spans="1:8" x14ac:dyDescent="0.25">
      <c r="A612" s="4" t="s">
        <v>488</v>
      </c>
      <c r="B612" s="38">
        <f>Yard!$J$85</f>
        <v>0.30586932298678399</v>
      </c>
      <c r="C612" s="38">
        <f>Yard!$J$113</f>
        <v>9.8636558767644152E-3</v>
      </c>
      <c r="D612" s="38">
        <f>Yard!$J$136</f>
        <v>1.3761685272147461E-3</v>
      </c>
      <c r="E612" s="37">
        <f t="shared" si="46"/>
        <v>1.3553974391364545E-2</v>
      </c>
      <c r="F612" s="42">
        <f t="shared" si="47"/>
        <v>16522.805892929355</v>
      </c>
      <c r="G612" s="37">
        <f t="shared" si="48"/>
        <v>1.3553974391364545E-2</v>
      </c>
      <c r="H612" s="17"/>
    </row>
    <row r="613" spans="1:8" x14ac:dyDescent="0.25">
      <c r="A613" s="4" t="s">
        <v>1577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1579</v>
      </c>
      <c r="B614" s="38">
        <f>Yard!$K$85</f>
        <v>2.4316648262296847</v>
      </c>
      <c r="C614" s="38">
        <f>Yard!$K$113</f>
        <v>1.7934389242022904E-2</v>
      </c>
      <c r="D614" s="38">
        <f>Yard!$K$136</f>
        <v>0</v>
      </c>
      <c r="E614" s="37">
        <f t="shared" si="46"/>
        <v>8.4794517452340998E-2</v>
      </c>
      <c r="F614" s="42">
        <f t="shared" si="47"/>
        <v>103367.7143098535</v>
      </c>
      <c r="G614" s="37">
        <f t="shared" si="48"/>
        <v>8.4794517452340998E-2</v>
      </c>
      <c r="H614" s="17"/>
    </row>
    <row r="615" spans="1:8" x14ac:dyDescent="0.25">
      <c r="A615" s="4" t="s">
        <v>1580</v>
      </c>
      <c r="B615" s="38">
        <f>Yard!$L$85</f>
        <v>4.9862383009585471</v>
      </c>
      <c r="C615" s="38">
        <f>Yard!$L$113</f>
        <v>5.0482071542911275E-2</v>
      </c>
      <c r="D615" s="38">
        <f>Yard!$L$136</f>
        <v>6.9586810950046478E-3</v>
      </c>
      <c r="E615" s="37">
        <f t="shared" si="46"/>
        <v>0.18229020810115185</v>
      </c>
      <c r="F615" s="42">
        <f t="shared" si="47"/>
        <v>222218.63769758848</v>
      </c>
      <c r="G615" s="37">
        <f t="shared" si="48"/>
        <v>0.18229020810115185</v>
      </c>
      <c r="H615" s="17"/>
    </row>
    <row r="616" spans="1:8" x14ac:dyDescent="0.25">
      <c r="A616" s="4" t="s">
        <v>1581</v>
      </c>
      <c r="B616" s="38">
        <f>Yard!$M$85</f>
        <v>0.76900915862161179</v>
      </c>
      <c r="C616" s="38">
        <f>Yard!$M$113</f>
        <v>7.785663865128003E-3</v>
      </c>
      <c r="D616" s="38">
        <f>Yard!$M$136</f>
        <v>1.073211742197904E-3</v>
      </c>
      <c r="E616" s="37">
        <f t="shared" si="46"/>
        <v>2.8113947046990669E-2</v>
      </c>
      <c r="F616" s="42">
        <f t="shared" si="47"/>
        <v>34271.961605407429</v>
      </c>
      <c r="G616" s="37">
        <f t="shared" si="48"/>
        <v>2.8113947046990669E-2</v>
      </c>
      <c r="H616" s="17"/>
    </row>
    <row r="617" spans="1:8" x14ac:dyDescent="0.25">
      <c r="A617" s="4" t="s">
        <v>1582</v>
      </c>
      <c r="B617" s="38">
        <f>Yard!$N$85</f>
        <v>1.1408069176593365</v>
      </c>
      <c r="C617" s="38">
        <f>Yard!$N$113</f>
        <v>3.6788674155826394E-2</v>
      </c>
      <c r="D617" s="38">
        <f>Yard!$N$136</f>
        <v>5.132723217815072E-3</v>
      </c>
      <c r="E617" s="37">
        <f t="shared" si="46"/>
        <v>5.055252876116078E-2</v>
      </c>
      <c r="F617" s="42">
        <f t="shared" si="47"/>
        <v>61625.438856484172</v>
      </c>
      <c r="G617" s="37">
        <f t="shared" si="48"/>
        <v>5.0552528761160787E-2</v>
      </c>
      <c r="H617" s="17"/>
    </row>
    <row r="618" spans="1:8" x14ac:dyDescent="0.25">
      <c r="A618" s="4" t="s">
        <v>1583</v>
      </c>
      <c r="B618" s="38">
        <f>Yard!$O$85</f>
        <v>1.1322370146779135</v>
      </c>
      <c r="C618" s="38">
        <f>Yard!$O$113</f>
        <v>3.6512312430235276E-2</v>
      </c>
      <c r="D618" s="38">
        <f>Yard!$O$136</f>
        <v>5.0941654747594612E-3</v>
      </c>
      <c r="E618" s="37">
        <f t="shared" si="46"/>
        <v>5.0172771012288044E-2</v>
      </c>
      <c r="F618" s="42">
        <f t="shared" si="47"/>
        <v>61162.499840238299</v>
      </c>
      <c r="G618" s="37">
        <f t="shared" si="48"/>
        <v>5.017277101228805E-2</v>
      </c>
      <c r="H618" s="17"/>
    </row>
    <row r="619" spans="1:8" x14ac:dyDescent="0.25">
      <c r="A619" s="4" t="s">
        <v>1584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1585</v>
      </c>
      <c r="B620" s="38">
        <f>Yard!$Q$85</f>
        <v>4.3749780205523692</v>
      </c>
      <c r="C620" s="38">
        <f>Yard!$Q$113</f>
        <v>0.14108403301694006</v>
      </c>
      <c r="D620" s="38">
        <f>Yard!$Q$136</f>
        <v>1.9683919264438899E-2</v>
      </c>
      <c r="E620" s="37">
        <f t="shared" si="46"/>
        <v>0.19386821625100253</v>
      </c>
      <c r="F620" s="42">
        <f t="shared" si="47"/>
        <v>236332.66622995888</v>
      </c>
      <c r="G620" s="37">
        <f t="shared" si="48"/>
        <v>0.19386821625100253</v>
      </c>
      <c r="H620" s="17"/>
    </row>
    <row r="621" spans="1:8" x14ac:dyDescent="0.25">
      <c r="A621" s="4" t="s">
        <v>1586</v>
      </c>
      <c r="B621" s="38">
        <f>Yard!$R$85</f>
        <v>1.8221461043206941</v>
      </c>
      <c r="C621" s="38">
        <f>Yard!$R$113</f>
        <v>5.8760460037971127E-2</v>
      </c>
      <c r="D621" s="38">
        <f>Yard!$R$136</f>
        <v>8.1982073137208504E-3</v>
      </c>
      <c r="E621" s="37">
        <f t="shared" si="46"/>
        <v>8.0744683363864131E-2</v>
      </c>
      <c r="F621" s="42">
        <f t="shared" si="47"/>
        <v>98430.813839899522</v>
      </c>
      <c r="G621" s="37">
        <f t="shared" si="48"/>
        <v>8.0744683363864131E-2</v>
      </c>
      <c r="H621" s="17"/>
    </row>
    <row r="622" spans="1:8" x14ac:dyDescent="0.25">
      <c r="A622" s="4" t="s">
        <v>1587</v>
      </c>
      <c r="B622" s="38">
        <f>Yard!$S$85</f>
        <v>4.2712460320251742</v>
      </c>
      <c r="C622" s="38">
        <f>Yard!$S$113</f>
        <v>0.13773888997267034</v>
      </c>
      <c r="D622" s="38">
        <f>Yard!$S$136</f>
        <v>1.9217207871212009E-2</v>
      </c>
      <c r="E622" s="37">
        <f t="shared" si="46"/>
        <v>0.18927154502443536</v>
      </c>
      <c r="F622" s="42">
        <f t="shared" si="47"/>
        <v>230729.1506678687</v>
      </c>
      <c r="G622" s="37">
        <f t="shared" si="48"/>
        <v>0.18927154502443536</v>
      </c>
      <c r="H622" s="17"/>
    </row>
    <row r="623" spans="1:8" x14ac:dyDescent="0.25">
      <c r="A623" s="4" t="s">
        <v>1588</v>
      </c>
      <c r="B623" s="38">
        <f>Otex!$B$166</f>
        <v>0.91563152661122216</v>
      </c>
      <c r="C623" s="38">
        <f>Otex!$B$166</f>
        <v>0.91563152661122216</v>
      </c>
      <c r="D623" s="38">
        <f>Otex!$B$166</f>
        <v>0.91563152661122216</v>
      </c>
      <c r="E623" s="37">
        <f t="shared" si="46"/>
        <v>0.91563152661122216</v>
      </c>
      <c r="F623" s="42">
        <f t="shared" si="47"/>
        <v>1116189.3586933885</v>
      </c>
      <c r="G623" s="37">
        <f t="shared" si="48"/>
        <v>0.91563152661122227</v>
      </c>
      <c r="H623" s="17"/>
    </row>
    <row r="624" spans="1:8" x14ac:dyDescent="0.25">
      <c r="A624" s="4" t="s">
        <v>1590</v>
      </c>
      <c r="B624" s="38">
        <f>Adder!$B$283</f>
        <v>1.3195379706717336</v>
      </c>
      <c r="C624" s="38">
        <f>Adder!$C$283</f>
        <v>1.3195379706717336</v>
      </c>
      <c r="D624" s="38">
        <f>Adder!$D$283</f>
        <v>1.3195379706717336</v>
      </c>
      <c r="E624" s="37">
        <f t="shared" si="46"/>
        <v>1.3195379706717336</v>
      </c>
      <c r="F624" s="42">
        <f t="shared" si="47"/>
        <v>1608566.5450017131</v>
      </c>
      <c r="G624" s="37">
        <f t="shared" si="48"/>
        <v>1.3195379706717336</v>
      </c>
      <c r="H624" s="17"/>
    </row>
    <row r="625" spans="1:8" x14ac:dyDescent="0.25">
      <c r="A625" s="4" t="s">
        <v>1591</v>
      </c>
      <c r="B625" s="38">
        <f>Adjust!$B$96</f>
        <v>-1.9342678700695615E-4</v>
      </c>
      <c r="C625" s="38">
        <f>Adjust!$C$96</f>
        <v>2.0223619955350713E-4</v>
      </c>
      <c r="D625" s="38">
        <f>Adjust!$D$96</f>
        <v>-8.8243208846261467E-5</v>
      </c>
      <c r="E625" s="37">
        <f t="shared" si="46"/>
        <v>-1.9125368933077536E-5</v>
      </c>
      <c r="F625" s="42">
        <f t="shared" si="47"/>
        <v>-23.314545932242076</v>
      </c>
      <c r="G625" s="37">
        <f t="shared" si="48"/>
        <v>-1.912536893307754E-5</v>
      </c>
      <c r="H625" s="17"/>
    </row>
    <row r="627" spans="1:8" x14ac:dyDescent="0.25">
      <c r="A627" s="4" t="s">
        <v>1592</v>
      </c>
      <c r="B627" s="37">
        <f>SUM($B$605:$B$625)</f>
        <v>34.975000000000001</v>
      </c>
      <c r="C627" s="37">
        <f>SUM($C$605:$C$625)</f>
        <v>2.9209999999999998</v>
      </c>
      <c r="D627" s="37">
        <f>SUM($D$605:$D$625)</f>
        <v>2.3279999999999998</v>
      </c>
      <c r="E627" s="37">
        <f>SUM(E$605:E$625)</f>
        <v>3.5544528632305017</v>
      </c>
      <c r="F627" s="42">
        <f>SUM($F$605:$F$625)</f>
        <v>4333012.0759370839</v>
      </c>
      <c r="G627" s="37">
        <f>SUM($G$605:$G$625)</f>
        <v>3.5544528632305017</v>
      </c>
    </row>
    <row r="629" spans="1:8" ht="21" customHeight="1" x14ac:dyDescent="0.3">
      <c r="A629" s="1" t="s">
        <v>192</v>
      </c>
    </row>
    <row r="631" spans="1:8" x14ac:dyDescent="0.25">
      <c r="B631" s="15" t="s">
        <v>239</v>
      </c>
      <c r="C631" s="15" t="s">
        <v>242</v>
      </c>
      <c r="D631" s="15" t="s">
        <v>1573</v>
      </c>
      <c r="E631" s="15" t="s">
        <v>1574</v>
      </c>
    </row>
    <row r="632" spans="1:8" x14ac:dyDescent="0.25">
      <c r="A632" s="4" t="s">
        <v>192</v>
      </c>
      <c r="B632" s="44">
        <f>Loads!B$353</f>
        <v>3962.3695334464301</v>
      </c>
      <c r="C632" s="44">
        <f>Loads!E$353</f>
        <v>332</v>
      </c>
      <c r="D632" s="44">
        <f>Multi!B$147</f>
        <v>3962.3695334464301</v>
      </c>
      <c r="E632" s="37">
        <f>IF(C632,D632/C632,"")</f>
        <v>11.934847992308525</v>
      </c>
      <c r="F632" s="17"/>
    </row>
    <row r="634" spans="1:8" ht="30" x14ac:dyDescent="0.25">
      <c r="B634" s="15" t="s">
        <v>1381</v>
      </c>
      <c r="C634" s="15" t="s">
        <v>1384</v>
      </c>
      <c r="D634" s="15" t="s">
        <v>1575</v>
      </c>
      <c r="E634" s="15" t="s">
        <v>1542</v>
      </c>
      <c r="F634" s="15" t="s">
        <v>1576</v>
      </c>
    </row>
    <row r="635" spans="1:8" x14ac:dyDescent="0.25">
      <c r="A635" s="4" t="s">
        <v>481</v>
      </c>
      <c r="B635" s="38">
        <f>Yard!$C$42</f>
        <v>-0.14605208759970337</v>
      </c>
      <c r="C635" s="10"/>
      <c r="D635" s="42">
        <f>0.01*Input!$F$60*(C635*$C$632)+10*(B635*$B$632)</f>
        <v>-5787.1234220131373</v>
      </c>
      <c r="E635" s="37">
        <f t="shared" ref="E635:E657" si="49">IF($D$632&lt;&gt;0,0.1*D635/$D$632,"")</f>
        <v>-0.14605208759970337</v>
      </c>
      <c r="F635" s="46">
        <f t="shared" ref="F635:F657" si="50">IF($C$632&lt;&gt;0,D635/$C$632,"")</f>
        <v>-17.431094644617882</v>
      </c>
      <c r="G635" s="17"/>
    </row>
    <row r="636" spans="1:8" x14ac:dyDescent="0.25">
      <c r="A636" s="4" t="s">
        <v>482</v>
      </c>
      <c r="B636" s="38">
        <f>Yard!$D$42</f>
        <v>-2.2525075261322046E-2</v>
      </c>
      <c r="C636" s="10"/>
      <c r="D636" s="42">
        <f>0.01*Input!$F$60*(C636*$C$632)+10*(B636*$B$632)</f>
        <v>-892.52671954050356</v>
      </c>
      <c r="E636" s="37">
        <f t="shared" si="49"/>
        <v>-2.2525075261322046E-2</v>
      </c>
      <c r="F636" s="46">
        <f t="shared" si="50"/>
        <v>-2.688333492591878</v>
      </c>
      <c r="G636" s="17"/>
    </row>
    <row r="637" spans="1:8" x14ac:dyDescent="0.25">
      <c r="A637" s="4" t="s">
        <v>483</v>
      </c>
      <c r="B637" s="38">
        <f>Yard!$E$42</f>
        <v>-5.0270208403153112E-2</v>
      </c>
      <c r="C637" s="10"/>
      <c r="D637" s="42">
        <f>0.01*Input!$F$60*(C637*$C$632)+10*(B637*$B$632)</f>
        <v>-1991.8914221665659</v>
      </c>
      <c r="E637" s="37">
        <f t="shared" si="49"/>
        <v>-5.0270208403153112E-2</v>
      </c>
      <c r="F637" s="46">
        <f t="shared" si="50"/>
        <v>-5.9996729583330302</v>
      </c>
      <c r="G637" s="17"/>
    </row>
    <row r="638" spans="1:8" x14ac:dyDescent="0.25">
      <c r="A638" s="4" t="s">
        <v>484</v>
      </c>
      <c r="B638" s="38">
        <f>Yard!$F$42</f>
        <v>-9.4795885821036454E-3</v>
      </c>
      <c r="C638" s="10"/>
      <c r="D638" s="42">
        <f>0.01*Input!$F$60*(C638*$C$632)+10*(B638*$B$632)</f>
        <v>-375.61632987334127</v>
      </c>
      <c r="E638" s="37">
        <f t="shared" si="49"/>
        <v>-9.4795885821036454E-3</v>
      </c>
      <c r="F638" s="46">
        <f t="shared" si="50"/>
        <v>-1.1313744875703051</v>
      </c>
      <c r="G638" s="17"/>
    </row>
    <row r="639" spans="1:8" x14ac:dyDescent="0.25">
      <c r="A639" s="4" t="s">
        <v>485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486</v>
      </c>
      <c r="B640" s="38">
        <f>Yard!$H$42</f>
        <v>-3.6629249135067751E-2</v>
      </c>
      <c r="C640" s="10"/>
      <c r="D640" s="42">
        <f>0.01*Input!$F$60*(C640*$C$632)+10*(B640*$B$632)</f>
        <v>-1451.3862080581146</v>
      </c>
      <c r="E640" s="37">
        <f t="shared" si="49"/>
        <v>-3.6629249135067751E-2</v>
      </c>
      <c r="F640" s="46">
        <f t="shared" si="50"/>
        <v>-4.3716452049943211</v>
      </c>
      <c r="G640" s="17"/>
    </row>
    <row r="641" spans="1:7" x14ac:dyDescent="0.25">
      <c r="A641" s="4" t="s">
        <v>487</v>
      </c>
      <c r="B641" s="38">
        <f>Yard!$I$42</f>
        <v>-4.0146874544351304E-3</v>
      </c>
      <c r="C641" s="10"/>
      <c r="D641" s="42">
        <f>0.01*Input!$F$60*(C641*$C$632)+10*(B641*$B$632)</f>
        <v>-159.07675255763363</v>
      </c>
      <c r="E641" s="37">
        <f t="shared" si="49"/>
        <v>-4.0146874544351304E-3</v>
      </c>
      <c r="F641" s="46">
        <f t="shared" si="50"/>
        <v>-0.47914684505311333</v>
      </c>
      <c r="G641" s="17"/>
    </row>
    <row r="642" spans="1:7" x14ac:dyDescent="0.25">
      <c r="A642" s="4" t="s">
        <v>488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1577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1578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1579</v>
      </c>
      <c r="B645" s="38">
        <f>Yard!$K$42</f>
        <v>-4.5392253242994098E-2</v>
      </c>
      <c r="C645" s="10"/>
      <c r="D645" s="42">
        <f>0.01*Input!$F$60*(C645*$C$632)+10*(B645*$B$632)</f>
        <v>-1798.6088130452472</v>
      </c>
      <c r="E645" s="37">
        <f t="shared" si="49"/>
        <v>-4.5392253242994098E-2</v>
      </c>
      <c r="F645" s="46">
        <f t="shared" si="50"/>
        <v>-5.4174964248350816</v>
      </c>
      <c r="G645" s="17"/>
    </row>
    <row r="646" spans="1:7" x14ac:dyDescent="0.25">
      <c r="A646" s="4" t="s">
        <v>1580</v>
      </c>
      <c r="B646" s="38">
        <f>Yard!$L$42</f>
        <v>-0.10197564004419317</v>
      </c>
      <c r="C646" s="10"/>
      <c r="D646" s="42">
        <f>0.01*Input!$F$60*(C646*$C$632)+10*(B646*$B$632)</f>
        <v>-4040.6516926481077</v>
      </c>
      <c r="E646" s="37">
        <f t="shared" si="49"/>
        <v>-0.10197564004419317</v>
      </c>
      <c r="F646" s="46">
        <f t="shared" si="50"/>
        <v>-12.170637628458156</v>
      </c>
      <c r="G646" s="17"/>
    </row>
    <row r="647" spans="1:7" x14ac:dyDescent="0.25">
      <c r="A647" s="4" t="s">
        <v>1581</v>
      </c>
      <c r="B647" s="38">
        <f>Yard!$M$42</f>
        <v>-1.572732717872909E-2</v>
      </c>
      <c r="C647" s="10"/>
      <c r="D647" s="42">
        <f>0.01*Input!$F$60*(C647*$C$632)+10*(B647*$B$632)</f>
        <v>-623.17482055540142</v>
      </c>
      <c r="E647" s="37">
        <f t="shared" si="49"/>
        <v>-1.572732717872909E-2</v>
      </c>
      <c r="F647" s="46">
        <f t="shared" si="50"/>
        <v>-1.8770325920343416</v>
      </c>
      <c r="G647" s="17"/>
    </row>
    <row r="648" spans="1:7" x14ac:dyDescent="0.25">
      <c r="A648" s="4" t="s">
        <v>1582</v>
      </c>
      <c r="B648" s="38">
        <f>Yard!$N$42</f>
        <v>-3.5099372842356605E-2</v>
      </c>
      <c r="C648" s="10"/>
      <c r="D648" s="42">
        <f>0.01*Input!$F$60*(C648*$C$632)+10*(B648*$B$632)</f>
        <v>-1390.7668559363083</v>
      </c>
      <c r="E648" s="37">
        <f t="shared" si="49"/>
        <v>-3.5099372842356605E-2</v>
      </c>
      <c r="F648" s="46">
        <f t="shared" si="50"/>
        <v>-4.18905679498888</v>
      </c>
      <c r="G648" s="17"/>
    </row>
    <row r="649" spans="1:7" x14ac:dyDescent="0.25">
      <c r="A649" s="4" t="s">
        <v>1583</v>
      </c>
      <c r="B649" s="38">
        <f>Yard!$O$42</f>
        <v>-3.4835701387256252E-2</v>
      </c>
      <c r="C649" s="10"/>
      <c r="D649" s="42">
        <f>0.01*Input!$F$60*(C649*$C$632)+10*(B649*$B$632)</f>
        <v>-1380.3192185310172</v>
      </c>
      <c r="E649" s="37">
        <f t="shared" si="49"/>
        <v>-3.4835701387256252E-2</v>
      </c>
      <c r="F649" s="46">
        <f t="shared" si="50"/>
        <v>-4.1575880076235459</v>
      </c>
      <c r="G649" s="17"/>
    </row>
    <row r="650" spans="1:7" x14ac:dyDescent="0.25">
      <c r="A650" s="4" t="s">
        <v>1584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1585</v>
      </c>
      <c r="B651" s="38">
        <f>Yard!$Q$42</f>
        <v>-0.13460558692574312</v>
      </c>
      <c r="C651" s="10"/>
      <c r="D651" s="42">
        <f>0.01*Input!$F$60*(C651*$C$632)+10*(B651*$B$632)</f>
        <v>-5333.5707666623966</v>
      </c>
      <c r="E651" s="37">
        <f t="shared" si="49"/>
        <v>-0.13460558692574312</v>
      </c>
      <c r="F651" s="46">
        <f t="shared" si="50"/>
        <v>-16.064972188742157</v>
      </c>
      <c r="G651" s="17"/>
    </row>
    <row r="652" spans="1:7" x14ac:dyDescent="0.25">
      <c r="A652" s="4" t="s">
        <v>1586</v>
      </c>
      <c r="B652" s="38">
        <f>Yard!$R$42</f>
        <v>-5.6062234983657443E-2</v>
      </c>
      <c r="C652" s="10"/>
      <c r="D652" s="42">
        <f>0.01*Input!$F$60*(C652*$C$632)+10*(B652*$B$632)</f>
        <v>-2221.3929187615886</v>
      </c>
      <c r="E652" s="37">
        <f t="shared" si="49"/>
        <v>-5.6062234983657443E-2</v>
      </c>
      <c r="F652" s="46">
        <f t="shared" si="50"/>
        <v>-6.6909425263903275</v>
      </c>
      <c r="G652" s="17"/>
    </row>
    <row r="653" spans="1:7" x14ac:dyDescent="0.25">
      <c r="A653" s="4" t="s">
        <v>1587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1588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1589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1590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1591</v>
      </c>
      <c r="B657" s="38">
        <f>Adjust!$B$97</f>
        <v>-3.3098695928512889E-4</v>
      </c>
      <c r="C657" s="48">
        <f>Adjust!$E$97</f>
        <v>0</v>
      </c>
      <c r="D657" s="42">
        <f>0.01*Input!$F$60*(C657*$C$632)+10*(B657*$B$632)</f>
        <v>-13.114926434394686</v>
      </c>
      <c r="E657" s="37">
        <f t="shared" si="49"/>
        <v>-3.3098695928512889E-4</v>
      </c>
      <c r="F657" s="46">
        <f t="shared" si="50"/>
        <v>-3.9502790465044235E-2</v>
      </c>
      <c r="G657" s="17"/>
    </row>
    <row r="659" spans="1:7" x14ac:dyDescent="0.25">
      <c r="A659" s="4" t="s">
        <v>1592</v>
      </c>
      <c r="B659" s="37">
        <f>SUM($B$635:$B$657)</f>
        <v>-0.69299999999999995</v>
      </c>
      <c r="C659" s="46">
        <f>SUM($C$635:$C$657)</f>
        <v>0</v>
      </c>
      <c r="D659" s="42">
        <f>SUM($D$635:$D$657)</f>
        <v>-27459.220866783759</v>
      </c>
      <c r="E659" s="37">
        <f>SUM($E$635:$E$657)</f>
        <v>-0.69299999999999995</v>
      </c>
      <c r="F659" s="46">
        <f>SUM($F$635:$F$657)</f>
        <v>-82.708496586698061</v>
      </c>
    </row>
    <row r="661" spans="1:7" ht="21" customHeight="1" x14ac:dyDescent="0.3">
      <c r="A661" s="1" t="s">
        <v>193</v>
      </c>
    </row>
    <row r="663" spans="1:7" x14ac:dyDescent="0.25">
      <c r="B663" s="15" t="s">
        <v>239</v>
      </c>
      <c r="C663" s="15" t="s">
        <v>242</v>
      </c>
      <c r="D663" s="15" t="s">
        <v>1573</v>
      </c>
      <c r="E663" s="15" t="s">
        <v>1574</v>
      </c>
    </row>
    <row r="664" spans="1:7" x14ac:dyDescent="0.25">
      <c r="A664" s="4" t="s">
        <v>193</v>
      </c>
      <c r="B664" s="44">
        <f>Loads!B$354</f>
        <v>0</v>
      </c>
      <c r="C664" s="44">
        <f>Loads!E$354</f>
        <v>0</v>
      </c>
      <c r="D664" s="44">
        <f>Multi!B$148</f>
        <v>0</v>
      </c>
      <c r="E664" s="37" t="str">
        <f>IF(C664,D664/C664,"")</f>
        <v/>
      </c>
      <c r="F664" s="17"/>
    </row>
    <row r="666" spans="1:7" ht="30" x14ac:dyDescent="0.25">
      <c r="B666" s="15" t="s">
        <v>1381</v>
      </c>
      <c r="C666" s="15" t="s">
        <v>1384</v>
      </c>
      <c r="D666" s="15" t="s">
        <v>1575</v>
      </c>
      <c r="E666" s="15" t="s">
        <v>1542</v>
      </c>
      <c r="F666" s="15" t="s">
        <v>1576</v>
      </c>
    </row>
    <row r="667" spans="1:7" x14ac:dyDescent="0.25">
      <c r="A667" s="4" t="s">
        <v>481</v>
      </c>
      <c r="B667" s="38">
        <f>Yard!$C$43</f>
        <v>-0.14426425601891604</v>
      </c>
      <c r="C667" s="10"/>
      <c r="D667" s="42">
        <f>0.01*Input!$F$60*(C667*$C$664)+10*(B667*$B$664)</f>
        <v>0</v>
      </c>
      <c r="E667" s="37" t="str">
        <f t="shared" ref="E667:E689" si="51">IF($D$664&lt;&gt;0,0.1*D667/$D$664,"")</f>
        <v/>
      </c>
      <c r="F667" s="46" t="str">
        <f t="shared" ref="F667:F689" si="52">IF($C$664&lt;&gt;0,D667/$C$664,"")</f>
        <v/>
      </c>
      <c r="G667" s="17"/>
    </row>
    <row r="668" spans="1:7" x14ac:dyDescent="0.25">
      <c r="A668" s="4" t="s">
        <v>482</v>
      </c>
      <c r="B668" s="38">
        <f>Yard!$D$43</f>
        <v>-2.2249344584865178E-2</v>
      </c>
      <c r="C668" s="10"/>
      <c r="D668" s="42">
        <f>0.01*Input!$F$60*(C668*$C$664)+10*(B668*$B$664)</f>
        <v>0</v>
      </c>
      <c r="E668" s="37" t="str">
        <f t="shared" si="51"/>
        <v/>
      </c>
      <c r="F668" s="46" t="str">
        <f t="shared" si="52"/>
        <v/>
      </c>
      <c r="G668" s="17"/>
    </row>
    <row r="669" spans="1:7" x14ac:dyDescent="0.25">
      <c r="A669" s="4" t="s">
        <v>483</v>
      </c>
      <c r="B669" s="38">
        <f>Yard!$E$43</f>
        <v>-4.9654848036636182E-2</v>
      </c>
      <c r="C669" s="10"/>
      <c r="D669" s="42">
        <f>0.01*Input!$F$60*(C669*$C$664)+10*(B669*$B$664)</f>
        <v>0</v>
      </c>
      <c r="E669" s="37" t="str">
        <f t="shared" si="51"/>
        <v/>
      </c>
      <c r="F669" s="46" t="str">
        <f t="shared" si="52"/>
        <v/>
      </c>
      <c r="G669" s="17"/>
    </row>
    <row r="670" spans="1:7" x14ac:dyDescent="0.25">
      <c r="A670" s="4" t="s">
        <v>484</v>
      </c>
      <c r="B670" s="38">
        <f>Yard!$F$43</f>
        <v>-9.3635484205524689E-3</v>
      </c>
      <c r="C670" s="10"/>
      <c r="D670" s="42">
        <f>0.01*Input!$F$60*(C670*$C$664)+10*(B670*$B$664)</f>
        <v>0</v>
      </c>
      <c r="E670" s="37" t="str">
        <f t="shared" si="51"/>
        <v/>
      </c>
      <c r="F670" s="46" t="str">
        <f t="shared" si="52"/>
        <v/>
      </c>
      <c r="G670" s="17"/>
    </row>
    <row r="671" spans="1:7" x14ac:dyDescent="0.25">
      <c r="A671" s="4" t="s">
        <v>485</v>
      </c>
      <c r="B671" s="38">
        <f>Yard!$G$43</f>
        <v>0</v>
      </c>
      <c r="C671" s="10"/>
      <c r="D671" s="42">
        <f>0.01*Input!$F$60*(C671*$C$664)+10*(B671*$B$664)</f>
        <v>0</v>
      </c>
      <c r="E671" s="37" t="str">
        <f t="shared" si="51"/>
        <v/>
      </c>
      <c r="F671" s="46" t="str">
        <f t="shared" si="52"/>
        <v/>
      </c>
      <c r="G671" s="17"/>
    </row>
    <row r="672" spans="1:7" x14ac:dyDescent="0.25">
      <c r="A672" s="4" t="s">
        <v>486</v>
      </c>
      <c r="B672" s="38">
        <f>Yard!$H$43</f>
        <v>-3.6180868495937914E-2</v>
      </c>
      <c r="C672" s="10"/>
      <c r="D672" s="42">
        <f>0.01*Input!$F$60*(C672*$C$664)+10*(B672*$B$664)</f>
        <v>0</v>
      </c>
      <c r="E672" s="37" t="str">
        <f t="shared" si="51"/>
        <v/>
      </c>
      <c r="F672" s="46" t="str">
        <f t="shared" si="52"/>
        <v/>
      </c>
      <c r="G672" s="17"/>
    </row>
    <row r="673" spans="1:7" x14ac:dyDescent="0.25">
      <c r="A673" s="4" t="s">
        <v>487</v>
      </c>
      <c r="B673" s="38">
        <f>Yard!$I$43</f>
        <v>0</v>
      </c>
      <c r="C673" s="10"/>
      <c r="D673" s="42">
        <f>0.01*Input!$F$60*(C673*$C$664)+10*(B673*$B$664)</f>
        <v>0</v>
      </c>
      <c r="E673" s="37" t="str">
        <f t="shared" si="51"/>
        <v/>
      </c>
      <c r="F673" s="46" t="str">
        <f t="shared" si="52"/>
        <v/>
      </c>
      <c r="G673" s="17"/>
    </row>
    <row r="674" spans="1:7" x14ac:dyDescent="0.25">
      <c r="A674" s="4" t="s">
        <v>488</v>
      </c>
      <c r="B674" s="38">
        <f>Yard!$J$43</f>
        <v>0</v>
      </c>
      <c r="C674" s="10"/>
      <c r="D674" s="42">
        <f>0.01*Input!$F$60*(C674*$C$664)+10*(B674*$B$664)</f>
        <v>0</v>
      </c>
      <c r="E674" s="37" t="str">
        <f t="shared" si="51"/>
        <v/>
      </c>
      <c r="F674" s="46" t="str">
        <f t="shared" si="52"/>
        <v/>
      </c>
      <c r="G674" s="17"/>
    </row>
    <row r="675" spans="1:7" x14ac:dyDescent="0.25">
      <c r="A675" s="4" t="s">
        <v>1577</v>
      </c>
      <c r="B675" s="10"/>
      <c r="C675" s="48">
        <f>SM!$B$138</f>
        <v>0</v>
      </c>
      <c r="D675" s="42">
        <f>0.01*Input!$F$60*(C675*$C$664)+10*(B675*$B$664)</f>
        <v>0</v>
      </c>
      <c r="E675" s="37" t="str">
        <f t="shared" si="51"/>
        <v/>
      </c>
      <c r="F675" s="46" t="str">
        <f t="shared" si="52"/>
        <v/>
      </c>
      <c r="G675" s="17"/>
    </row>
    <row r="676" spans="1:7" x14ac:dyDescent="0.25">
      <c r="A676" s="4" t="s">
        <v>1578</v>
      </c>
      <c r="B676" s="10"/>
      <c r="C676" s="48">
        <f>SM!$C$138</f>
        <v>0</v>
      </c>
      <c r="D676" s="42">
        <f>0.01*Input!$F$60*(C676*$C$664)+10*(B676*$B$664)</f>
        <v>0</v>
      </c>
      <c r="E676" s="37" t="str">
        <f t="shared" si="51"/>
        <v/>
      </c>
      <c r="F676" s="46" t="str">
        <f t="shared" si="52"/>
        <v/>
      </c>
      <c r="G676" s="17"/>
    </row>
    <row r="677" spans="1:7" x14ac:dyDescent="0.25">
      <c r="A677" s="4" t="s">
        <v>1579</v>
      </c>
      <c r="B677" s="38">
        <f>Yard!$K$43</f>
        <v>-4.4836604191996983E-2</v>
      </c>
      <c r="C677" s="10"/>
      <c r="D677" s="42">
        <f>0.01*Input!$F$60*(C677*$C$664)+10*(B677*$B$664)</f>
        <v>0</v>
      </c>
      <c r="E677" s="37" t="str">
        <f t="shared" si="51"/>
        <v/>
      </c>
      <c r="F677" s="46" t="str">
        <f t="shared" si="52"/>
        <v/>
      </c>
      <c r="G677" s="17"/>
    </row>
    <row r="678" spans="1:7" x14ac:dyDescent="0.25">
      <c r="A678" s="4" t="s">
        <v>1580</v>
      </c>
      <c r="B678" s="38">
        <f>Yard!$L$43</f>
        <v>-0.10072735066512112</v>
      </c>
      <c r="C678" s="10"/>
      <c r="D678" s="42">
        <f>0.01*Input!$F$60*(C678*$C$664)+10*(B678*$B$664)</f>
        <v>0</v>
      </c>
      <c r="E678" s="37" t="str">
        <f t="shared" si="51"/>
        <v/>
      </c>
      <c r="F678" s="46" t="str">
        <f t="shared" si="52"/>
        <v/>
      </c>
      <c r="G678" s="17"/>
    </row>
    <row r="679" spans="1:7" x14ac:dyDescent="0.25">
      <c r="A679" s="4" t="s">
        <v>1581</v>
      </c>
      <c r="B679" s="38">
        <f>Yard!$M$43</f>
        <v>-1.5534808107803028E-2</v>
      </c>
      <c r="C679" s="10"/>
      <c r="D679" s="42">
        <f>0.01*Input!$F$60*(C679*$C$664)+10*(B679*$B$664)</f>
        <v>0</v>
      </c>
      <c r="E679" s="37" t="str">
        <f t="shared" si="51"/>
        <v/>
      </c>
      <c r="F679" s="46" t="str">
        <f t="shared" si="52"/>
        <v/>
      </c>
      <c r="G679" s="17"/>
    </row>
    <row r="680" spans="1:7" x14ac:dyDescent="0.25">
      <c r="A680" s="4" t="s">
        <v>1582</v>
      </c>
      <c r="B680" s="38">
        <f>Yard!$N$43</f>
        <v>-3.4669719502478415E-2</v>
      </c>
      <c r="C680" s="10"/>
      <c r="D680" s="42">
        <f>0.01*Input!$F$60*(C680*$C$664)+10*(B680*$B$664)</f>
        <v>0</v>
      </c>
      <c r="E680" s="37" t="str">
        <f t="shared" si="51"/>
        <v/>
      </c>
      <c r="F680" s="46" t="str">
        <f t="shared" si="52"/>
        <v/>
      </c>
      <c r="G680" s="17"/>
    </row>
    <row r="681" spans="1:7" x14ac:dyDescent="0.25">
      <c r="A681" s="4" t="s">
        <v>1583</v>
      </c>
      <c r="B681" s="38">
        <f>Yard!$O$43</f>
        <v>-3.4409275664060081E-2</v>
      </c>
      <c r="C681" s="10"/>
      <c r="D681" s="42">
        <f>0.01*Input!$F$60*(C681*$C$664)+10*(B681*$B$664)</f>
        <v>0</v>
      </c>
      <c r="E681" s="37" t="str">
        <f t="shared" si="51"/>
        <v/>
      </c>
      <c r="F681" s="46" t="str">
        <f t="shared" si="52"/>
        <v/>
      </c>
      <c r="G681" s="17"/>
    </row>
    <row r="682" spans="1:7" x14ac:dyDescent="0.25">
      <c r="A682" s="4" t="s">
        <v>1584</v>
      </c>
      <c r="B682" s="38">
        <f>Yard!$P$43</f>
        <v>0</v>
      </c>
      <c r="C682" s="10"/>
      <c r="D682" s="42">
        <f>0.01*Input!$F$60*(C682*$C$664)+10*(B682*$B$664)</f>
        <v>0</v>
      </c>
      <c r="E682" s="37" t="str">
        <f t="shared" si="51"/>
        <v/>
      </c>
      <c r="F682" s="46" t="str">
        <f t="shared" si="52"/>
        <v/>
      </c>
      <c r="G682" s="17"/>
    </row>
    <row r="683" spans="1:7" x14ac:dyDescent="0.25">
      <c r="A683" s="4" t="s">
        <v>1585</v>
      </c>
      <c r="B683" s="38">
        <f>Yard!$Q$43</f>
        <v>-0.13295787258484421</v>
      </c>
      <c r="C683" s="10"/>
      <c r="D683" s="42">
        <f>0.01*Input!$F$60*(C683*$C$664)+10*(B683*$B$664)</f>
        <v>0</v>
      </c>
      <c r="E683" s="37" t="str">
        <f t="shared" si="51"/>
        <v/>
      </c>
      <c r="F683" s="46" t="str">
        <f t="shared" si="52"/>
        <v/>
      </c>
      <c r="G683" s="17"/>
    </row>
    <row r="684" spans="1:7" x14ac:dyDescent="0.25">
      <c r="A684" s="4" t="s">
        <v>1586</v>
      </c>
      <c r="B684" s="38">
        <f>Yard!$R$43</f>
        <v>0</v>
      </c>
      <c r="C684" s="10"/>
      <c r="D684" s="42">
        <f>0.01*Input!$F$60*(C684*$C$664)+10*(B684*$B$664)</f>
        <v>0</v>
      </c>
      <c r="E684" s="37" t="str">
        <f t="shared" si="51"/>
        <v/>
      </c>
      <c r="F684" s="46" t="str">
        <f t="shared" si="52"/>
        <v/>
      </c>
      <c r="G684" s="17"/>
    </row>
    <row r="685" spans="1:7" x14ac:dyDescent="0.25">
      <c r="A685" s="4" t="s">
        <v>1587</v>
      </c>
      <c r="B685" s="38">
        <f>Yard!$S$43</f>
        <v>0</v>
      </c>
      <c r="C685" s="10"/>
      <c r="D685" s="42">
        <f>0.01*Input!$F$60*(C685*$C$664)+10*(B685*$B$664)</f>
        <v>0</v>
      </c>
      <c r="E685" s="37" t="str">
        <f t="shared" si="51"/>
        <v/>
      </c>
      <c r="F685" s="46" t="str">
        <f t="shared" si="52"/>
        <v/>
      </c>
      <c r="G685" s="17"/>
    </row>
    <row r="686" spans="1:7" x14ac:dyDescent="0.25">
      <c r="A686" s="4" t="s">
        <v>1588</v>
      </c>
      <c r="B686" s="10"/>
      <c r="C686" s="48">
        <f>Otex!$B$141</f>
        <v>0</v>
      </c>
      <c r="D686" s="42">
        <f>0.01*Input!$F$60*(C686*$C$664)+10*(B686*$B$664)</f>
        <v>0</v>
      </c>
      <c r="E686" s="37" t="str">
        <f t="shared" si="51"/>
        <v/>
      </c>
      <c r="F686" s="46" t="str">
        <f t="shared" si="52"/>
        <v/>
      </c>
      <c r="G686" s="17"/>
    </row>
    <row r="687" spans="1:7" x14ac:dyDescent="0.25">
      <c r="A687" s="4" t="s">
        <v>1589</v>
      </c>
      <c r="B687" s="10"/>
      <c r="C687" s="48">
        <f>Otex!$C$141</f>
        <v>0</v>
      </c>
      <c r="D687" s="42">
        <f>0.01*Input!$F$60*(C687*$C$664)+10*(B687*$B$664)</f>
        <v>0</v>
      </c>
      <c r="E687" s="37" t="str">
        <f t="shared" si="51"/>
        <v/>
      </c>
      <c r="F687" s="46" t="str">
        <f t="shared" si="52"/>
        <v/>
      </c>
      <c r="G687" s="17"/>
    </row>
    <row r="688" spans="1:7" x14ac:dyDescent="0.25">
      <c r="A688" s="4" t="s">
        <v>1590</v>
      </c>
      <c r="B688" s="38">
        <f>Adder!$B$285</f>
        <v>0</v>
      </c>
      <c r="C688" s="10"/>
      <c r="D688" s="42">
        <f>0.01*Input!$F$60*(C688*$C$664)+10*(B688*$B$664)</f>
        <v>0</v>
      </c>
      <c r="E688" s="37" t="str">
        <f t="shared" si="51"/>
        <v/>
      </c>
      <c r="F688" s="46" t="str">
        <f t="shared" si="52"/>
        <v/>
      </c>
      <c r="G688" s="17"/>
    </row>
    <row r="689" spans="1:8" x14ac:dyDescent="0.25">
      <c r="A689" s="4" t="s">
        <v>1591</v>
      </c>
      <c r="B689" s="38">
        <f>Adjust!$B$98</f>
        <v>-1.5150372678829349E-4</v>
      </c>
      <c r="C689" s="48">
        <f>Adjust!$E$98</f>
        <v>0</v>
      </c>
      <c r="D689" s="42">
        <f>0.01*Input!$F$60*(C689*$C$664)+10*(B689*$B$664)</f>
        <v>0</v>
      </c>
      <c r="E689" s="37" t="str">
        <f t="shared" si="51"/>
        <v/>
      </c>
      <c r="F689" s="46" t="str">
        <f t="shared" si="52"/>
        <v/>
      </c>
      <c r="G689" s="17"/>
    </row>
    <row r="691" spans="1:8" x14ac:dyDescent="0.25">
      <c r="A691" s="4" t="s">
        <v>1592</v>
      </c>
      <c r="B691" s="37">
        <f>SUM($B$667:$B$689)</f>
        <v>-0.625</v>
      </c>
      <c r="C691" s="46">
        <f>SUM($C$667:$C$689)</f>
        <v>0</v>
      </c>
      <c r="D691" s="42">
        <f>SUM($D$667:$D$689)</f>
        <v>0</v>
      </c>
      <c r="E691" s="37">
        <f>SUM($E$667:$E$689)</f>
        <v>0</v>
      </c>
      <c r="F691" s="46">
        <f>SUM($F$667:$F$689)</f>
        <v>0</v>
      </c>
    </row>
    <row r="693" spans="1:8" ht="21" customHeight="1" x14ac:dyDescent="0.3">
      <c r="A693" s="1" t="s">
        <v>194</v>
      </c>
    </row>
    <row r="695" spans="1:8" ht="30" x14ac:dyDescent="0.25">
      <c r="B695" s="15" t="s">
        <v>239</v>
      </c>
      <c r="C695" s="15" t="s">
        <v>242</v>
      </c>
      <c r="D695" s="15" t="s">
        <v>245</v>
      </c>
      <c r="E695" s="15" t="s">
        <v>1573</v>
      </c>
      <c r="F695" s="15" t="s">
        <v>1574</v>
      </c>
    </row>
    <row r="696" spans="1:8" x14ac:dyDescent="0.25">
      <c r="A696" s="4" t="s">
        <v>194</v>
      </c>
      <c r="B696" s="44">
        <f>Loads!B$355</f>
        <v>71722.131331371449</v>
      </c>
      <c r="C696" s="44">
        <f>Loads!E$355</f>
        <v>949.89529234972701</v>
      </c>
      <c r="D696" s="44">
        <f>Loads!H$355</f>
        <v>6653.2635511178587</v>
      </c>
      <c r="E696" s="44">
        <f>Multi!B$149</f>
        <v>71722.131331371449</v>
      </c>
      <c r="F696" s="37">
        <f>IF(C696,E696/C696,"")</f>
        <v>75.505302435971231</v>
      </c>
      <c r="G696" s="17"/>
    </row>
    <row r="698" spans="1:8" ht="30" x14ac:dyDescent="0.25">
      <c r="B698" s="15" t="s">
        <v>1381</v>
      </c>
      <c r="C698" s="15" t="s">
        <v>1384</v>
      </c>
      <c r="D698" s="15" t="s">
        <v>1138</v>
      </c>
      <c r="E698" s="15" t="s">
        <v>1575</v>
      </c>
      <c r="F698" s="15" t="s">
        <v>1542</v>
      </c>
      <c r="G698" s="15" t="s">
        <v>1576</v>
      </c>
    </row>
    <row r="699" spans="1:8" x14ac:dyDescent="0.25">
      <c r="A699" s="4" t="s">
        <v>481</v>
      </c>
      <c r="B699" s="38">
        <f>Yard!$C$44</f>
        <v>-0.14605208759970337</v>
      </c>
      <c r="C699" s="10"/>
      <c r="D699" s="38">
        <f>Reactive!$C$77</f>
        <v>2.6708933506159421E-2</v>
      </c>
      <c r="E699" s="42">
        <f>0.01*Input!$F$60*(C699*$C$696)+10*(B699*$B$696+D699*$D$696)</f>
        <v>-102974.65434261131</v>
      </c>
      <c r="F699" s="37">
        <f t="shared" ref="F699:F721" si="53">IF($E$696&lt;&gt;0,0.1*E699/$E$696,"")</f>
        <v>-0.14357444826457624</v>
      </c>
      <c r="G699" s="46">
        <f t="shared" ref="G699:G721" si="54">IF($C$696&lt;&gt;0,E699/$C$696,"")</f>
        <v>-108.40632138294532</v>
      </c>
      <c r="H699" s="17"/>
    </row>
    <row r="700" spans="1:8" x14ac:dyDescent="0.25">
      <c r="A700" s="4" t="s">
        <v>482</v>
      </c>
      <c r="B700" s="38">
        <f>Yard!$D$44</f>
        <v>-2.2525075261322046E-2</v>
      </c>
      <c r="C700" s="10"/>
      <c r="D700" s="38">
        <f>Reactive!$D$77</f>
        <v>4.1192203909114732E-3</v>
      </c>
      <c r="E700" s="42">
        <f>0.01*Input!$F$60*(C700*$C$696)+10*(B700*$B$696+D700*$D$696)</f>
        <v>-15881.401472556929</v>
      </c>
      <c r="F700" s="37">
        <f t="shared" si="53"/>
        <v>-2.214295807688911E-2</v>
      </c>
      <c r="G700" s="46">
        <f t="shared" si="54"/>
        <v>-16.719107464225441</v>
      </c>
      <c r="H700" s="17"/>
    </row>
    <row r="701" spans="1:8" x14ac:dyDescent="0.25">
      <c r="A701" s="4" t="s">
        <v>483</v>
      </c>
      <c r="B701" s="38">
        <f>Yard!$E$44</f>
        <v>-5.0270208403153112E-2</v>
      </c>
      <c r="C701" s="10"/>
      <c r="D701" s="38">
        <f>Reactive!$E$77</f>
        <v>9.1930466427877309E-3</v>
      </c>
      <c r="E701" s="42">
        <f>0.01*Input!$F$60*(C701*$C$696)+10*(B701*$B$696+D701*$D$696)</f>
        <v>-35443.227269941744</v>
      </c>
      <c r="F701" s="37">
        <f t="shared" si="53"/>
        <v>-4.9417420553478149E-2</v>
      </c>
      <c r="G701" s="46">
        <f t="shared" si="54"/>
        <v>-37.312772844959483</v>
      </c>
      <c r="H701" s="17"/>
    </row>
    <row r="702" spans="1:8" x14ac:dyDescent="0.25">
      <c r="A702" s="4" t="s">
        <v>484</v>
      </c>
      <c r="B702" s="38">
        <f>Yard!$F$44</f>
        <v>-9.4795885821036454E-3</v>
      </c>
      <c r="C702" s="10"/>
      <c r="D702" s="38">
        <f>Reactive!$F$77</f>
        <v>1.7335575633748656E-3</v>
      </c>
      <c r="E702" s="42">
        <f>0.01*Input!$F$60*(C702*$C$696)+10*(B702*$B$696+D702*$D$696)</f>
        <v>-6683.6248190284014</v>
      </c>
      <c r="F702" s="37">
        <f t="shared" si="53"/>
        <v>-9.3187760806335198E-3</v>
      </c>
      <c r="G702" s="46">
        <f t="shared" si="54"/>
        <v>-7.0361700630132846</v>
      </c>
      <c r="H702" s="17"/>
    </row>
    <row r="703" spans="1:8" x14ac:dyDescent="0.25">
      <c r="A703" s="4" t="s">
        <v>485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486</v>
      </c>
      <c r="B704" s="38">
        <f>Yard!$H$44</f>
        <v>-3.6629249135067751E-2</v>
      </c>
      <c r="C704" s="10"/>
      <c r="D704" s="38">
        <f>Reactive!$H$77</f>
        <v>6.6984881599943579E-3</v>
      </c>
      <c r="E704" s="42">
        <f>0.01*Input!$F$60*(C704*$C$696)+10*(B704*$B$696+D704*$D$696)</f>
        <v>-25825.610099123682</v>
      </c>
      <c r="F704" s="37">
        <f t="shared" si="53"/>
        <v>-3.600786761314146E-2</v>
      </c>
      <c r="G704" s="46">
        <f t="shared" si="54"/>
        <v>-27.187849342046594</v>
      </c>
      <c r="H704" s="17"/>
    </row>
    <row r="705" spans="1:8" x14ac:dyDescent="0.25">
      <c r="A705" s="4" t="s">
        <v>487</v>
      </c>
      <c r="B705" s="38">
        <f>Yard!$I$44</f>
        <v>-4.0146874544351304E-3</v>
      </c>
      <c r="C705" s="10"/>
      <c r="D705" s="38">
        <f>Reactive!$I$77</f>
        <v>7.3417656694102669E-4</v>
      </c>
      <c r="E705" s="42">
        <f>0.01*Input!$F$60*(C705*$C$696)+10*(B705*$B$696+D705*$D$696)</f>
        <v>-2830.5727066849222</v>
      </c>
      <c r="F705" s="37">
        <f t="shared" si="53"/>
        <v>-3.9465819742682722E-3</v>
      </c>
      <c r="G705" s="46">
        <f t="shared" si="54"/>
        <v>-2.9798786555547832</v>
      </c>
      <c r="H705" s="17"/>
    </row>
    <row r="706" spans="1:8" x14ac:dyDescent="0.25">
      <c r="A706" s="4" t="s">
        <v>488</v>
      </c>
      <c r="B706" s="38">
        <f>Yard!$J$44</f>
        <v>0</v>
      </c>
      <c r="C706" s="10"/>
      <c r="D706" s="38">
        <f>Reactive!$J$77</f>
        <v>1.7209644939650899E-3</v>
      </c>
      <c r="E706" s="42">
        <f>0.01*Input!$F$60*(C706*$C$696)+10*(B706*$B$696+D706*$D$696)</f>
        <v>114.50030340465922</v>
      </c>
      <c r="F706" s="37">
        <f t="shared" si="53"/>
        <v>1.5964431240288098E-4</v>
      </c>
      <c r="G706" s="46">
        <f t="shared" si="54"/>
        <v>0.12053992090162202</v>
      </c>
      <c r="H706" s="17"/>
    </row>
    <row r="707" spans="1:8" x14ac:dyDescent="0.25">
      <c r="A707" s="4" t="s">
        <v>1577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1578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1579</v>
      </c>
      <c r="B709" s="38">
        <f>Yard!$K$44</f>
        <v>-4.5392253242994098E-2</v>
      </c>
      <c r="C709" s="10"/>
      <c r="D709" s="38">
        <f>Reactive!$K$77</f>
        <v>8.3010020156969039E-3</v>
      </c>
      <c r="E709" s="42">
        <f>0.01*Input!$F$60*(C709*$C$696)+10*(B709*$B$696+D709*$D$696)</f>
        <v>-32004.003943721022</v>
      </c>
      <c r="F709" s="37">
        <f t="shared" si="53"/>
        <v>-4.4622215416125523E-2</v>
      </c>
      <c r="G709" s="46">
        <f t="shared" si="54"/>
        <v>-33.692138703576155</v>
      </c>
      <c r="H709" s="17"/>
    </row>
    <row r="710" spans="1:8" x14ac:dyDescent="0.25">
      <c r="A710" s="4" t="s">
        <v>1580</v>
      </c>
      <c r="B710" s="38">
        <f>Yard!$L$44</f>
        <v>-0.10197564004419317</v>
      </c>
      <c r="C710" s="10"/>
      <c r="D710" s="38">
        <f>Reactive!$L$77</f>
        <v>1.8648556374307755E-2</v>
      </c>
      <c r="E710" s="42">
        <f>0.01*Input!$F$60*(C710*$C$696)+10*(B710*$B$696+D710*$D$696)</f>
        <v>-71898.364874441351</v>
      </c>
      <c r="F710" s="37">
        <f t="shared" si="53"/>
        <v>-0.10024571710265506</v>
      </c>
      <c r="G710" s="46">
        <f t="shared" si="54"/>
        <v>-75.690831877467843</v>
      </c>
      <c r="H710" s="17"/>
    </row>
    <row r="711" spans="1:8" x14ac:dyDescent="0.25">
      <c r="A711" s="4" t="s">
        <v>1581</v>
      </c>
      <c r="B711" s="38">
        <f>Yard!$M$44</f>
        <v>-1.572732717872909E-2</v>
      </c>
      <c r="C711" s="10"/>
      <c r="D711" s="38">
        <f>Reactive!$M$77</f>
        <v>2.8760981287551425E-3</v>
      </c>
      <c r="E711" s="42">
        <f>0.01*Input!$F$60*(C711*$C$696)+10*(B711*$B$696+D711*$D$696)</f>
        <v>-11088.619865547706</v>
      </c>
      <c r="F711" s="37">
        <f t="shared" si="53"/>
        <v>-1.5460527538307432E-2</v>
      </c>
      <c r="G711" s="46">
        <f t="shared" si="54"/>
        <v>-11.673518075995645</v>
      </c>
      <c r="H711" s="17"/>
    </row>
    <row r="712" spans="1:8" x14ac:dyDescent="0.25">
      <c r="A712" s="4" t="s">
        <v>1582</v>
      </c>
      <c r="B712" s="38">
        <f>Yard!$N$44</f>
        <v>-3.5099372842356605E-2</v>
      </c>
      <c r="C712" s="10"/>
      <c r="D712" s="38">
        <f>Reactive!$N$77</f>
        <v>6.4187156155123956E-3</v>
      </c>
      <c r="E712" s="42">
        <f>0.01*Input!$F$60*(C712*$C$696)+10*(B712*$B$696+D712*$D$696)</f>
        <v>-24746.96421998593</v>
      </c>
      <c r="F712" s="37">
        <f t="shared" si="53"/>
        <v>-3.4503944264636682E-2</v>
      </c>
      <c r="G712" s="46">
        <f t="shared" si="54"/>
        <v>-26.052307469352879</v>
      </c>
      <c r="H712" s="17"/>
    </row>
    <row r="713" spans="1:8" x14ac:dyDescent="0.25">
      <c r="A713" s="4" t="s">
        <v>1583</v>
      </c>
      <c r="B713" s="38">
        <f>Yard!$O$44</f>
        <v>-3.4835701387256252E-2</v>
      </c>
      <c r="C713" s="10"/>
      <c r="D713" s="38">
        <f>Reactive!$O$77</f>
        <v>6.3704973156066148E-3</v>
      </c>
      <c r="E713" s="42">
        <f>0.01*Input!$F$60*(C713*$C$696)+10*(B713*$B$696+D713*$D$696)</f>
        <v>-24561.061523248118</v>
      </c>
      <c r="F713" s="37">
        <f t="shared" si="53"/>
        <v>-3.4244745753261023E-2</v>
      </c>
      <c r="G713" s="46">
        <f t="shared" si="54"/>
        <v>-25.856598849429151</v>
      </c>
      <c r="H713" s="17"/>
    </row>
    <row r="714" spans="1:8" x14ac:dyDescent="0.25">
      <c r="A714" s="4" t="s">
        <v>1584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1585</v>
      </c>
      <c r="B715" s="38">
        <f>Yard!$Q$44</f>
        <v>-0.13460558692574312</v>
      </c>
      <c r="C715" s="10"/>
      <c r="D715" s="38">
        <f>Reactive!$Q$77</f>
        <v>2.4615681499950953E-2</v>
      </c>
      <c r="E715" s="42">
        <f>0.01*Input!$F$60*(C715*$C$696)+10*(B715*$B$696+D715*$D$696)</f>
        <v>-94904.249669149343</v>
      </c>
      <c r="F715" s="37">
        <f t="shared" si="53"/>
        <v>-0.13232212694666251</v>
      </c>
      <c r="G715" s="46">
        <f t="shared" si="54"/>
        <v>-99.910222140787326</v>
      </c>
      <c r="H715" s="17"/>
    </row>
    <row r="716" spans="1:8" x14ac:dyDescent="0.25">
      <c r="A716" s="4" t="s">
        <v>1586</v>
      </c>
      <c r="B716" s="38">
        <f>Yard!$R$44</f>
        <v>-5.6062234983657443E-2</v>
      </c>
      <c r="C716" s="10"/>
      <c r="D716" s="38">
        <f>Reactive!$R$77</f>
        <v>1.0252249940371489E-2</v>
      </c>
      <c r="E716" s="42">
        <f>0.01*Input!$F$60*(C716*$C$696)+10*(B716*$B$696+D716*$D$696)</f>
        <v>-39526.920593828625</v>
      </c>
      <c r="F716" s="37">
        <f t="shared" si="53"/>
        <v>-5.5111190730244584E-2</v>
      </c>
      <c r="G716" s="46">
        <f t="shared" si="54"/>
        <v>-41.611871236936111</v>
      </c>
      <c r="H716" s="17"/>
    </row>
    <row r="717" spans="1:8" x14ac:dyDescent="0.25">
      <c r="A717" s="4" t="s">
        <v>1587</v>
      </c>
      <c r="B717" s="38">
        <f>Yard!$S$44</f>
        <v>0</v>
      </c>
      <c r="C717" s="10"/>
      <c r="D717" s="38">
        <f>Reactive!$S$77</f>
        <v>2.40320366041488E-2</v>
      </c>
      <c r="E717" s="42">
        <f>0.01*Input!$F$60*(C717*$C$696)+10*(B717*$B$696+D717*$D$696)</f>
        <v>1598.9147319751341</v>
      </c>
      <c r="F717" s="37">
        <f t="shared" si="53"/>
        <v>2.2293184855143376E-3</v>
      </c>
      <c r="G717" s="46">
        <f t="shared" si="54"/>
        <v>1.683253664748614</v>
      </c>
      <c r="H717" s="17"/>
    </row>
    <row r="718" spans="1:8" x14ac:dyDescent="0.25">
      <c r="A718" s="4" t="s">
        <v>1588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1589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1590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1591</v>
      </c>
      <c r="B721" s="38">
        <f>Adjust!$B$99</f>
        <v>-3.3098695928512889E-4</v>
      </c>
      <c r="C721" s="48">
        <f>Adjust!$E$99</f>
        <v>0</v>
      </c>
      <c r="D721" s="38">
        <f>Adjust!$H$99</f>
        <v>-4.2322481848400262E-4</v>
      </c>
      <c r="E721" s="42">
        <f>0.01*Input!$F$60*(C721*$C$696)+10*(B721*$B$696+D721*$D$696)</f>
        <v>-265.54916421567395</v>
      </c>
      <c r="F721" s="37">
        <f t="shared" si="53"/>
        <v>-3.7024717376116521E-4</v>
      </c>
      <c r="G721" s="46">
        <f t="shared" si="54"/>
        <v>-0.27955624830900372</v>
      </c>
      <c r="H721" s="17"/>
    </row>
    <row r="723" spans="1:8" x14ac:dyDescent="0.25">
      <c r="A723" s="4" t="s">
        <v>1592</v>
      </c>
      <c r="B723" s="37">
        <f>SUM($B$699:$B$721)</f>
        <v>-0.69299999999999995</v>
      </c>
      <c r="C723" s="46">
        <f>SUM($C$699:$C$721)</f>
        <v>0</v>
      </c>
      <c r="D723" s="37">
        <f>SUM($D$699:$D$721)</f>
        <v>0.152</v>
      </c>
      <c r="E723" s="42">
        <f>SUM($E$699:$E$721)</f>
        <v>-486921.40952870494</v>
      </c>
      <c r="F723" s="37">
        <f>SUM($F$699:$F$721)</f>
        <v>-0.67889980469072364</v>
      </c>
      <c r="G723" s="46">
        <f>SUM($G$699:$G$721)</f>
        <v>-512.60535076894871</v>
      </c>
    </row>
    <row r="725" spans="1:8" ht="21" customHeight="1" x14ac:dyDescent="0.3">
      <c r="A725" s="1" t="s">
        <v>195</v>
      </c>
    </row>
    <row r="727" spans="1:8" x14ac:dyDescent="0.25">
      <c r="B727" s="15" t="s">
        <v>239</v>
      </c>
      <c r="C727" s="15" t="s">
        <v>242</v>
      </c>
      <c r="D727" s="15" t="s">
        <v>1573</v>
      </c>
      <c r="E727" s="15" t="s">
        <v>1574</v>
      </c>
    </row>
    <row r="728" spans="1:8" x14ac:dyDescent="0.25">
      <c r="A728" s="4" t="s">
        <v>195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1381</v>
      </c>
      <c r="C730" s="15" t="s">
        <v>1384</v>
      </c>
      <c r="D730" s="15" t="s">
        <v>1575</v>
      </c>
      <c r="E730" s="15" t="s">
        <v>1542</v>
      </c>
      <c r="F730" s="15" t="s">
        <v>1576</v>
      </c>
    </row>
    <row r="731" spans="1:8" x14ac:dyDescent="0.25">
      <c r="A731" s="4" t="s">
        <v>481</v>
      </c>
      <c r="B731" s="38">
        <f>Yard!$C$45</f>
        <v>-0.14605208759970337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482</v>
      </c>
      <c r="B732" s="38">
        <f>Yard!$D$45</f>
        <v>-2.2525075261322046E-2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483</v>
      </c>
      <c r="B733" s="38">
        <f>Yard!$E$45</f>
        <v>-5.0270208403153112E-2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484</v>
      </c>
      <c r="B734" s="38">
        <f>Yard!$F$45</f>
        <v>-9.4795885821036454E-3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485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486</v>
      </c>
      <c r="B736" s="38">
        <f>Yard!$H$45</f>
        <v>-3.6629249135067751E-2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487</v>
      </c>
      <c r="B737" s="38">
        <f>Yard!$I$45</f>
        <v>-4.0146874544351304E-3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488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1577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1578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1579</v>
      </c>
      <c r="B741" s="38">
        <f>Yard!$K$45</f>
        <v>-4.5392253242994098E-2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1580</v>
      </c>
      <c r="B742" s="38">
        <f>Yard!$L$45</f>
        <v>-0.10197564004419317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1581</v>
      </c>
      <c r="B743" s="38">
        <f>Yard!$M$45</f>
        <v>-1.572732717872909E-2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1582</v>
      </c>
      <c r="B744" s="38">
        <f>Yard!$N$45</f>
        <v>-3.5099372842356605E-2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1583</v>
      </c>
      <c r="B745" s="38">
        <f>Yard!$O$45</f>
        <v>-3.4835701387256252E-2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1584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1585</v>
      </c>
      <c r="B747" s="38">
        <f>Yard!$Q$45</f>
        <v>-0.13460558692574312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1586</v>
      </c>
      <c r="B748" s="38">
        <f>Yard!$R$45</f>
        <v>-5.6062234983657443E-2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1587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1588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1589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1590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1591</v>
      </c>
      <c r="B753" s="38">
        <f>Adjust!$B$100</f>
        <v>-3.3098695928512889E-4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1592</v>
      </c>
      <c r="B755" s="37">
        <f>SUM($B$731:$B$753)</f>
        <v>-0.69299999999999995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196</v>
      </c>
    </row>
    <row r="759" spans="1:11" ht="30" x14ac:dyDescent="0.25">
      <c r="B759" s="15" t="s">
        <v>239</v>
      </c>
      <c r="C759" s="15" t="s">
        <v>240</v>
      </c>
      <c r="D759" s="15" t="s">
        <v>241</v>
      </c>
      <c r="E759" s="15" t="s">
        <v>242</v>
      </c>
      <c r="F759" s="15" t="s">
        <v>245</v>
      </c>
      <c r="G759" s="15" t="s">
        <v>1573</v>
      </c>
      <c r="H759" s="15" t="s">
        <v>1574</v>
      </c>
    </row>
    <row r="760" spans="1:11" x14ac:dyDescent="0.25">
      <c r="A760" s="4" t="s">
        <v>196</v>
      </c>
      <c r="B760" s="44">
        <f>Loads!B$357</f>
        <v>227.88778782102625</v>
      </c>
      <c r="C760" s="44">
        <f>Loads!C$357</f>
        <v>1445.7893020327999</v>
      </c>
      <c r="D760" s="44">
        <f>Loads!D$357</f>
        <v>2003.0391402098578</v>
      </c>
      <c r="E760" s="44">
        <f>Loads!E$357</f>
        <v>18.34156352459016</v>
      </c>
      <c r="F760" s="44">
        <f>Loads!H$357</f>
        <v>646.0717252500001</v>
      </c>
      <c r="G760" s="44">
        <f>Multi!B$151</f>
        <v>3676.7162300636837</v>
      </c>
      <c r="H760" s="37">
        <f>IF(E760,G760/E760,"")</f>
        <v>200.45816841810597</v>
      </c>
      <c r="I760" s="17"/>
    </row>
    <row r="762" spans="1:11" ht="30" x14ac:dyDescent="0.25">
      <c r="B762" s="15" t="s">
        <v>1381</v>
      </c>
      <c r="C762" s="15" t="s">
        <v>1382</v>
      </c>
      <c r="D762" s="15" t="s">
        <v>1383</v>
      </c>
      <c r="E762" s="15" t="s">
        <v>1384</v>
      </c>
      <c r="F762" s="15" t="s">
        <v>1138</v>
      </c>
      <c r="G762" s="15" t="s">
        <v>1593</v>
      </c>
      <c r="H762" s="15" t="s">
        <v>1575</v>
      </c>
      <c r="I762" s="15" t="s">
        <v>1542</v>
      </c>
      <c r="J762" s="15" t="s">
        <v>1576</v>
      </c>
    </row>
    <row r="763" spans="1:11" x14ac:dyDescent="0.25">
      <c r="A763" s="4" t="s">
        <v>481</v>
      </c>
      <c r="B763" s="38">
        <f>Yard!$C$86</f>
        <v>-2.1745271359357927</v>
      </c>
      <c r="C763" s="38">
        <f>Yard!$C$114</f>
        <v>-2.8909242779250523E-2</v>
      </c>
      <c r="D763" s="38">
        <f>Yard!$C$137</f>
        <v>-9.0672304746771907E-3</v>
      </c>
      <c r="E763" s="10"/>
      <c r="F763" s="38">
        <f>Reactive!$C$78</f>
        <v>2.6708933506159421E-2</v>
      </c>
      <c r="G763" s="37">
        <f t="shared" ref="G763:G785" si="57">IF(G$760&lt;&gt;0,(($B763*B$760+$C763*C$760+$D763*D$760+$F763*F$760))/G$760,0)</f>
        <v>-0.14639448616902273</v>
      </c>
      <c r="H763" s="42">
        <f>0.01*Input!$F$60*(E763*$E$760)+10*(B763*$B$760+C763*$C$760+D763*$D$760+F763*$F$760)</f>
        <v>-5382.5098328947934</v>
      </c>
      <c r="I763" s="37">
        <f t="shared" ref="I763:I785" si="58">IF($G$760&lt;&gt;0,0.1*H763/$G$760,"")</f>
        <v>-0.14639448616902273</v>
      </c>
      <c r="J763" s="46">
        <f t="shared" ref="J763:J785" si="59">IF($E$760&lt;&gt;0,H763/$E$760,"")</f>
        <v>-293.45970563952045</v>
      </c>
      <c r="K763" s="17"/>
    </row>
    <row r="764" spans="1:11" x14ac:dyDescent="0.25">
      <c r="A764" s="4" t="s">
        <v>482</v>
      </c>
      <c r="B764" s="38">
        <f>Yard!$D$86</f>
        <v>-0.33536930693512579</v>
      </c>
      <c r="C764" s="38">
        <f>Yard!$D$114</f>
        <v>-4.4585659818516098E-3</v>
      </c>
      <c r="D764" s="38">
        <f>Yard!$D$137</f>
        <v>-1.3984055429158502E-3</v>
      </c>
      <c r="E764" s="10"/>
      <c r="F764" s="38">
        <f>Reactive!$D$78</f>
        <v>4.1192203909114732E-3</v>
      </c>
      <c r="G764" s="37">
        <f t="shared" si="57"/>
        <v>-2.2577882130912472E-2</v>
      </c>
      <c r="H764" s="42">
        <f>0.01*Input!$F$60*(E764*$E$760)+10*(B764*$B$760+C764*$C$760+D764*$D$760+F764*$F$760)</f>
        <v>-830.12465671190716</v>
      </c>
      <c r="I764" s="37">
        <f t="shared" si="58"/>
        <v>-2.2577882130912476E-2</v>
      </c>
      <c r="J764" s="46">
        <f t="shared" si="59"/>
        <v>-45.259208987225975</v>
      </c>
      <c r="K764" s="17"/>
    </row>
    <row r="765" spans="1:11" x14ac:dyDescent="0.25">
      <c r="A765" s="4" t="s">
        <v>483</v>
      </c>
      <c r="B765" s="38">
        <f>Yard!$E$86</f>
        <v>-0.53212071861026267</v>
      </c>
      <c r="C765" s="38">
        <f>Yard!$E$114</f>
        <v>-3.7793157896401051E-2</v>
      </c>
      <c r="D765" s="38">
        <f>Yard!$E$137</f>
        <v>-6.6879892530302704E-3</v>
      </c>
      <c r="E765" s="10"/>
      <c r="F765" s="38">
        <f>Reactive!$E$78</f>
        <v>9.1930466427877309E-3</v>
      </c>
      <c r="G765" s="37">
        <f t="shared" si="57"/>
        <v>-4.9871048527891856E-2</v>
      </c>
      <c r="H765" s="42">
        <f>0.01*Input!$F$60*(E765*$E$760)+10*(B765*$B$760+C765*$C$760+D765*$D$760+F765*$F$760)</f>
        <v>-1833.6169353279356</v>
      </c>
      <c r="I765" s="37">
        <f t="shared" si="58"/>
        <v>-4.9871048527891856E-2</v>
      </c>
      <c r="J765" s="46">
        <f t="shared" si="59"/>
        <v>-99.970590449916813</v>
      </c>
      <c r="K765" s="17"/>
    </row>
    <row r="766" spans="1:11" x14ac:dyDescent="0.25">
      <c r="A766" s="4" t="s">
        <v>484</v>
      </c>
      <c r="B766" s="38">
        <f>Yard!$F$86</f>
        <v>-0.10034343697135414</v>
      </c>
      <c r="C766" s="38">
        <f>Yard!$F$114</f>
        <v>-7.126757565896466E-3</v>
      </c>
      <c r="D766" s="38">
        <f>Yard!$F$137</f>
        <v>-1.261172144977243E-3</v>
      </c>
      <c r="E766" s="10"/>
      <c r="F766" s="38">
        <f>Reactive!$F$78</f>
        <v>1.7335575633748656E-3</v>
      </c>
      <c r="G766" s="37">
        <f t="shared" si="57"/>
        <v>-9.4043179294416353E-3</v>
      </c>
      <c r="H766" s="42">
        <f>0.01*Input!$F$60*(E766*$E$760)+10*(B766*$B$760+C766*$C$760+D766*$D$760+F766*$F$760)</f>
        <v>-345.77008363856953</v>
      </c>
      <c r="I766" s="37">
        <f t="shared" si="58"/>
        <v>-9.4043179294416353E-3</v>
      </c>
      <c r="J766" s="46">
        <f t="shared" si="59"/>
        <v>-18.851723473574246</v>
      </c>
      <c r="K766" s="17"/>
    </row>
    <row r="767" spans="1:11" x14ac:dyDescent="0.25">
      <c r="A767" s="4" t="s">
        <v>485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486</v>
      </c>
      <c r="B768" s="38">
        <f>Yard!$H$86</f>
        <v>-0.38772829854996271</v>
      </c>
      <c r="C768" s="38">
        <f>Yard!$H$114</f>
        <v>-2.7537880588961245E-2</v>
      </c>
      <c r="D768" s="38">
        <f>Yard!$H$137</f>
        <v>-4.8731849806004715E-3</v>
      </c>
      <c r="E768" s="10"/>
      <c r="F768" s="38">
        <f>Reactive!$H$78</f>
        <v>6.6984881599943579E-3</v>
      </c>
      <c r="G768" s="37">
        <f t="shared" si="57"/>
        <v>-3.6338402389448327E-2</v>
      </c>
      <c r="H768" s="42">
        <f>0.01*Input!$F$60*(E768*$E$760)+10*(B768*$B$760+C768*$C$760+D768*$D$760+F768*$F$760)</f>
        <v>-1336.059938398696</v>
      </c>
      <c r="I768" s="37">
        <f t="shared" si="58"/>
        <v>-3.6338402389448327E-2</v>
      </c>
      <c r="J768" s="46">
        <f t="shared" si="59"/>
        <v>-72.843295862289366</v>
      </c>
      <c r="K768" s="17"/>
    </row>
    <row r="769" spans="1:11" x14ac:dyDescent="0.25">
      <c r="A769" s="4" t="s">
        <v>487</v>
      </c>
      <c r="B769" s="38">
        <f>Yard!$I$86</f>
        <v>-4.2496310262275176E-2</v>
      </c>
      <c r="C769" s="38">
        <f>Yard!$I$114</f>
        <v>-3.0182432436594072E-3</v>
      </c>
      <c r="D769" s="38">
        <f>Yard!$I$137</f>
        <v>-5.3411727149023456E-4</v>
      </c>
      <c r="E769" s="10"/>
      <c r="F769" s="38">
        <f>Reactive!$I$78</f>
        <v>7.3417656694102669E-4</v>
      </c>
      <c r="G769" s="37">
        <f t="shared" si="57"/>
        <v>-3.9828096843914163E-3</v>
      </c>
      <c r="H769" s="42">
        <f>0.01*Input!$F$60*(E769*$E$760)+10*(B769*$B$760+C769*$C$760+D769*$D$760+F769*$F$760)</f>
        <v>-146.43661007856738</v>
      </c>
      <c r="I769" s="37">
        <f t="shared" si="58"/>
        <v>-3.9828096843914163E-3</v>
      </c>
      <c r="J769" s="46">
        <f t="shared" si="59"/>
        <v>-7.9838673449099806</v>
      </c>
      <c r="K769" s="17"/>
    </row>
    <row r="770" spans="1:11" x14ac:dyDescent="0.25">
      <c r="A770" s="4" t="s">
        <v>488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1.7209644939650899E-3</v>
      </c>
      <c r="G770" s="37">
        <f t="shared" si="57"/>
        <v>3.0240748269299E-4</v>
      </c>
      <c r="H770" s="42">
        <f>0.01*Input!$F$60*(E770*$E$760)+10*(B770*$B$760+C770*$C$760+D770*$D$760+F770*$F$760)</f>
        <v>11.11866499710019</v>
      </c>
      <c r="I770" s="37">
        <f t="shared" si="58"/>
        <v>3.0240748269299E-4</v>
      </c>
      <c r="J770" s="46">
        <f t="shared" si="59"/>
        <v>0.60620050096566858</v>
      </c>
      <c r="K770" s="17"/>
    </row>
    <row r="771" spans="1:11" x14ac:dyDescent="0.25">
      <c r="A771" s="4" t="s">
        <v>1577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1578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1579</v>
      </c>
      <c r="B773" s="38">
        <f>Yard!$K$86</f>
        <v>-0.76092662688255741</v>
      </c>
      <c r="C773" s="38">
        <f>Yard!$K$114</f>
        <v>0</v>
      </c>
      <c r="D773" s="38">
        <f>Yard!$K$137</f>
        <v>0</v>
      </c>
      <c r="E773" s="10"/>
      <c r="F773" s="38">
        <f>Reactive!$K$78</f>
        <v>8.3010020156969039E-3</v>
      </c>
      <c r="G773" s="37">
        <f t="shared" si="57"/>
        <v>-4.5704599562715179E-2</v>
      </c>
      <c r="H773" s="42">
        <f>0.01*Input!$F$60*(E773*$E$760)+10*(B773*$B$760+C773*$C$760+D773*$D$760+F773*$F$760)</f>
        <v>-1680.4284300079644</v>
      </c>
      <c r="I773" s="37">
        <f t="shared" si="58"/>
        <v>-4.5704599562715179E-2</v>
      </c>
      <c r="J773" s="46">
        <f t="shared" si="59"/>
        <v>-91.618603166248519</v>
      </c>
      <c r="K773" s="17"/>
    </row>
    <row r="774" spans="1:11" x14ac:dyDescent="0.25">
      <c r="A774" s="4" t="s">
        <v>1580</v>
      </c>
      <c r="B774" s="38">
        <f>Yard!$L$86</f>
        <v>-1.5182857028944587</v>
      </c>
      <c r="C774" s="38">
        <f>Yard!$L$114</f>
        <v>-2.0184843531213099E-2</v>
      </c>
      <c r="D774" s="38">
        <f>Yard!$L$137</f>
        <v>-6.330868981603642E-3</v>
      </c>
      <c r="E774" s="10"/>
      <c r="F774" s="38">
        <f>Reactive!$L$78</f>
        <v>1.8648556374307755E-2</v>
      </c>
      <c r="G774" s="37">
        <f t="shared" si="57"/>
        <v>-0.10221470758393456</v>
      </c>
      <c r="H774" s="42">
        <f>0.01*Input!$F$60*(E774*$E$760)+10*(B774*$B$760+C774*$C$760+D774*$D$760+F774*$F$760)</f>
        <v>-3758.144743250657</v>
      </c>
      <c r="I774" s="37">
        <f t="shared" si="58"/>
        <v>-0.10221470758393456</v>
      </c>
      <c r="J774" s="46">
        <f t="shared" si="59"/>
        <v>-204.89773067667807</v>
      </c>
      <c r="K774" s="17"/>
    </row>
    <row r="775" spans="1:11" x14ac:dyDescent="0.25">
      <c r="A775" s="4" t="s">
        <v>1581</v>
      </c>
      <c r="B775" s="38">
        <f>Yard!$M$86</f>
        <v>-0.23415960899936072</v>
      </c>
      <c r="C775" s="38">
        <f>Yard!$M$114</f>
        <v>-3.1130340356703527E-3</v>
      </c>
      <c r="D775" s="38">
        <f>Yard!$M$137</f>
        <v>-9.7638659346681517E-4</v>
      </c>
      <c r="E775" s="10"/>
      <c r="F775" s="38">
        <f>Reactive!$M$78</f>
        <v>2.8760981287551425E-3</v>
      </c>
      <c r="G775" s="37">
        <f t="shared" si="57"/>
        <v>-1.5764197684407677E-2</v>
      </c>
      <c r="H775" s="42">
        <f>0.01*Input!$F$60*(E775*$E$760)+10*(B775*$B$760+C775*$C$760+D775*$D$760+F775*$F$760)</f>
        <v>-579.60481480194051</v>
      </c>
      <c r="I775" s="37">
        <f t="shared" si="58"/>
        <v>-1.576419768440768E-2</v>
      </c>
      <c r="J775" s="46">
        <f t="shared" si="59"/>
        <v>-31.600621943973106</v>
      </c>
      <c r="K775" s="17"/>
    </row>
    <row r="776" spans="1:11" x14ac:dyDescent="0.25">
      <c r="A776" s="4" t="s">
        <v>1582</v>
      </c>
      <c r="B776" s="38">
        <f>Yard!$N$86</f>
        <v>-0.37153423653745682</v>
      </c>
      <c r="C776" s="38">
        <f>Yard!$N$114</f>
        <v>-2.6387719128942992E-2</v>
      </c>
      <c r="D776" s="38">
        <f>Yard!$N$137</f>
        <v>-4.6696489991686525E-3</v>
      </c>
      <c r="E776" s="10"/>
      <c r="F776" s="38">
        <f>Reactive!$N$78</f>
        <v>6.4187156155123956E-3</v>
      </c>
      <c r="G776" s="37">
        <f t="shared" si="57"/>
        <v>-3.4820673753362487E-2</v>
      </c>
      <c r="H776" s="42">
        <f>0.01*Input!$F$60*(E776*$E$760)+10*(B776*$B$760+C776*$C$760+D776*$D$760+F776*$F$760)</f>
        <v>-1280.2573633074039</v>
      </c>
      <c r="I776" s="37">
        <f t="shared" si="58"/>
        <v>-3.4820673753362487E-2</v>
      </c>
      <c r="J776" s="46">
        <f t="shared" si="59"/>
        <v>-69.800884836834598</v>
      </c>
      <c r="K776" s="17"/>
    </row>
    <row r="777" spans="1:11" x14ac:dyDescent="0.25">
      <c r="A777" s="4" t="s">
        <v>1583</v>
      </c>
      <c r="B777" s="38">
        <f>Yard!$O$86</f>
        <v>-0.36874321878316763</v>
      </c>
      <c r="C777" s="38">
        <f>Yard!$O$114</f>
        <v>-2.6189490849174081E-2</v>
      </c>
      <c r="D777" s="38">
        <f>Yard!$O$137</f>
        <v>-4.6345699351651812E-3</v>
      </c>
      <c r="E777" s="10"/>
      <c r="F777" s="38">
        <f>Reactive!$O$78</f>
        <v>6.3704973156066148E-3</v>
      </c>
      <c r="G777" s="37">
        <f t="shared" si="57"/>
        <v>-3.455909592525256E-2</v>
      </c>
      <c r="H777" s="42">
        <f>0.01*Input!$F$60*(E777*$E$760)+10*(B777*$B$760+C777*$C$760+D777*$D$760+F777*$F$760)</f>
        <v>-1270.6398888470383</v>
      </c>
      <c r="I777" s="37">
        <f t="shared" si="58"/>
        <v>-3.4559095925252567E-2</v>
      </c>
      <c r="J777" s="46">
        <f t="shared" si="59"/>
        <v>-69.276530713617589</v>
      </c>
      <c r="K777" s="17"/>
    </row>
    <row r="778" spans="1:11" x14ac:dyDescent="0.25">
      <c r="A778" s="4" t="s">
        <v>1584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1585</v>
      </c>
      <c r="B779" s="38">
        <f>Yard!$Q$86</f>
        <v>-1.4248284206315318</v>
      </c>
      <c r="C779" s="38">
        <f>Yard!$Q$114</f>
        <v>-0.10119652100155729</v>
      </c>
      <c r="D779" s="38">
        <f>Yard!$Q$137</f>
        <v>-1.7908036337098931E-2</v>
      </c>
      <c r="E779" s="10"/>
      <c r="F779" s="38">
        <f>Reactive!$Q$78</f>
        <v>2.4615681499950953E-2</v>
      </c>
      <c r="G779" s="37">
        <f t="shared" si="57"/>
        <v>-0.13353677995251842</v>
      </c>
      <c r="H779" s="42">
        <f>0.01*Input!$F$60*(E779*$E$760)+10*(B779*$B$760+C779*$C$760+D779*$D$760+F779*$F$760)</f>
        <v>-4909.7684616186725</v>
      </c>
      <c r="I779" s="37">
        <f t="shared" si="58"/>
        <v>-0.13353677995251845</v>
      </c>
      <c r="J779" s="46">
        <f t="shared" si="59"/>
        <v>-267.68538325733493</v>
      </c>
      <c r="K779" s="17"/>
    </row>
    <row r="780" spans="1:11" x14ac:dyDescent="0.25">
      <c r="A780" s="4" t="s">
        <v>1586</v>
      </c>
      <c r="B780" s="38">
        <f>Yard!$R$86</f>
        <v>-0.5934305369724715</v>
      </c>
      <c r="C780" s="38">
        <f>Yard!$R$114</f>
        <v>-4.214760523311472E-2</v>
      </c>
      <c r="D780" s="38">
        <f>Yard!$R$137</f>
        <v>-7.4585651617875698E-3</v>
      </c>
      <c r="E780" s="10"/>
      <c r="F780" s="38">
        <f>Reactive!$R$78</f>
        <v>1.0252249940371489E-2</v>
      </c>
      <c r="G780" s="37">
        <f t="shared" si="57"/>
        <v>-5.5617084755842962E-2</v>
      </c>
      <c r="H780" s="42">
        <f>0.01*Input!$F$60*(E780*$E$760)+10*(B780*$B$760+C780*$C$760+D780*$D$760+F780*$F$760)</f>
        <v>-2044.8823819063532</v>
      </c>
      <c r="I780" s="37">
        <f t="shared" si="58"/>
        <v>-5.5617084755842969E-2</v>
      </c>
      <c r="J780" s="46">
        <f t="shared" si="59"/>
        <v>-111.48898942910843</v>
      </c>
      <c r="K780" s="17"/>
    </row>
    <row r="781" spans="1:11" x14ac:dyDescent="0.25">
      <c r="A781" s="4" t="s">
        <v>1587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2.40320366041488E-2</v>
      </c>
      <c r="G781" s="37">
        <f t="shared" si="57"/>
        <v>4.2229039116909598E-3</v>
      </c>
      <c r="H781" s="42">
        <f>0.01*Input!$F$60*(E781*$E$760)+10*(B781*$B$760+C781*$C$760+D781*$D$760+F781*$F$760)</f>
        <v>155.26419350113568</v>
      </c>
      <c r="I781" s="37">
        <f t="shared" si="58"/>
        <v>4.2229039116909598E-3</v>
      </c>
      <c r="J781" s="46">
        <f t="shared" si="59"/>
        <v>8.4651558354322489</v>
      </c>
      <c r="K781" s="17"/>
    </row>
    <row r="782" spans="1:11" x14ac:dyDescent="0.25">
      <c r="A782" s="4" t="s">
        <v>1588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1589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1590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1591</v>
      </c>
      <c r="B785" s="38">
        <f>Adjust!$B$101</f>
        <v>4.9355896577729652E-4</v>
      </c>
      <c r="C785" s="38">
        <f>Adjust!$C$101</f>
        <v>6.3061835692823642E-5</v>
      </c>
      <c r="D785" s="38">
        <f>Adjust!$D$101</f>
        <v>-1.9982432401795258E-4</v>
      </c>
      <c r="E785" s="48">
        <f>Adjust!$E$101</f>
        <v>0</v>
      </c>
      <c r="F785" s="38">
        <f>Adjust!$H$101</f>
        <v>-4.2322481848400262E-4</v>
      </c>
      <c r="G785" s="37">
        <f t="shared" si="57"/>
        <v>-1.2784215945077591E-4</v>
      </c>
      <c r="H785" s="42">
        <f>0.01*Input!$F$60*(E785*$E$760)+10*(B785*$B$760+C785*$C$760+D785*$D$760+F785*$F$760)</f>
        <v>-4.7003934253905717</v>
      </c>
      <c r="I785" s="37">
        <f t="shared" si="58"/>
        <v>-1.2784215945077593E-4</v>
      </c>
      <c r="J785" s="46">
        <f t="shared" si="59"/>
        <v>-0.25627005130117997</v>
      </c>
      <c r="K785" s="17"/>
    </row>
    <row r="787" spans="1:11" x14ac:dyDescent="0.25">
      <c r="A787" s="4" t="s">
        <v>1592</v>
      </c>
      <c r="B787" s="37">
        <f>SUM($B$763:$B$785)</f>
        <v>-8.8439999999999994</v>
      </c>
      <c r="C787" s="37">
        <f>SUM($C$763:$C$785)</f>
        <v>-0.32800000000000001</v>
      </c>
      <c r="D787" s="37">
        <f>SUM($D$763:$D$785)</f>
        <v>-6.6000000000000003E-2</v>
      </c>
      <c r="E787" s="46">
        <f>SUM($E$763:$E$785)</f>
        <v>0</v>
      </c>
      <c r="F787" s="37">
        <f>SUM($F$763:$F$785)</f>
        <v>0.152</v>
      </c>
      <c r="G787" s="37">
        <f>SUM(G$763:G$785)</f>
        <v>-0.68638861681420904</v>
      </c>
      <c r="H787" s="42">
        <f>SUM($H$763:$H$785)</f>
        <v>-25236.561675717658</v>
      </c>
      <c r="I787" s="37">
        <f>SUM($I$763:$I$785)</f>
        <v>-0.68638861681420904</v>
      </c>
      <c r="J787" s="46">
        <f>SUM($J$763:$J$785)</f>
        <v>-1375.9220494961355</v>
      </c>
    </row>
    <row r="789" spans="1:11" ht="21" customHeight="1" x14ac:dyDescent="0.3">
      <c r="A789" s="1" t="s">
        <v>197</v>
      </c>
    </row>
    <row r="791" spans="1:11" x14ac:dyDescent="0.25">
      <c r="B791" s="15" t="s">
        <v>239</v>
      </c>
      <c r="C791" s="15" t="s">
        <v>240</v>
      </c>
      <c r="D791" s="15" t="s">
        <v>241</v>
      </c>
      <c r="E791" s="15" t="s">
        <v>242</v>
      </c>
      <c r="F791" s="15" t="s">
        <v>1573</v>
      </c>
      <c r="G791" s="15" t="s">
        <v>1574</v>
      </c>
    </row>
    <row r="792" spans="1:11" ht="30" x14ac:dyDescent="0.25">
      <c r="A792" s="4" t="s">
        <v>197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1381</v>
      </c>
      <c r="C794" s="15" t="s">
        <v>1382</v>
      </c>
      <c r="D794" s="15" t="s">
        <v>1383</v>
      </c>
      <c r="E794" s="15" t="s">
        <v>1384</v>
      </c>
      <c r="F794" s="15" t="s">
        <v>1593</v>
      </c>
      <c r="G794" s="15" t="s">
        <v>1575</v>
      </c>
      <c r="H794" s="15" t="s">
        <v>1542</v>
      </c>
      <c r="I794" s="15" t="s">
        <v>1576</v>
      </c>
    </row>
    <row r="795" spans="1:11" x14ac:dyDescent="0.25">
      <c r="A795" s="4" t="s">
        <v>481</v>
      </c>
      <c r="B795" s="38">
        <f>Yard!$C$87</f>
        <v>-2.1745271359357927</v>
      </c>
      <c r="C795" s="38">
        <f>Yard!$C$115</f>
        <v>-2.8909242779250523E-2</v>
      </c>
      <c r="D795" s="38">
        <f>Yard!$C$138</f>
        <v>-9.0672304746771907E-3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482</v>
      </c>
      <c r="B796" s="38">
        <f>Yard!$D$87</f>
        <v>-0.33536930693512579</v>
      </c>
      <c r="C796" s="38">
        <f>Yard!$D$115</f>
        <v>-4.4585659818516098E-3</v>
      </c>
      <c r="D796" s="38">
        <f>Yard!$D$138</f>
        <v>-1.3984055429158502E-3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483</v>
      </c>
      <c r="B797" s="38">
        <f>Yard!$E$87</f>
        <v>-0.53212071861026267</v>
      </c>
      <c r="C797" s="38">
        <f>Yard!$E$115</f>
        <v>-3.7793157896401051E-2</v>
      </c>
      <c r="D797" s="38">
        <f>Yard!$E$138</f>
        <v>-6.6879892530302704E-3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484</v>
      </c>
      <c r="B798" s="38">
        <f>Yard!$F$87</f>
        <v>-0.10034343697135414</v>
      </c>
      <c r="C798" s="38">
        <f>Yard!$F$115</f>
        <v>-7.126757565896466E-3</v>
      </c>
      <c r="D798" s="38">
        <f>Yard!$F$138</f>
        <v>-1.261172144977243E-3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485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486</v>
      </c>
      <c r="B800" s="38">
        <f>Yard!$H$87</f>
        <v>-0.38772829854996271</v>
      </c>
      <c r="C800" s="38">
        <f>Yard!$H$115</f>
        <v>-2.7537880588961245E-2</v>
      </c>
      <c r="D800" s="38">
        <f>Yard!$H$138</f>
        <v>-4.8731849806004715E-3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487</v>
      </c>
      <c r="B801" s="38">
        <f>Yard!$I$87</f>
        <v>-4.2496310262275176E-2</v>
      </c>
      <c r="C801" s="38">
        <f>Yard!$I$115</f>
        <v>-3.0182432436594072E-3</v>
      </c>
      <c r="D801" s="38">
        <f>Yard!$I$138</f>
        <v>-5.3411727149023456E-4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488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1577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1578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1579</v>
      </c>
      <c r="B805" s="38">
        <f>Yard!$K$87</f>
        <v>-0.76092662688255741</v>
      </c>
      <c r="C805" s="38">
        <f>Yard!$K$115</f>
        <v>0</v>
      </c>
      <c r="D805" s="38">
        <f>Yard!$K$138</f>
        <v>0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1580</v>
      </c>
      <c r="B806" s="38">
        <f>Yard!$L$87</f>
        <v>-1.5182857028944587</v>
      </c>
      <c r="C806" s="38">
        <f>Yard!$L$115</f>
        <v>-2.0184843531213099E-2</v>
      </c>
      <c r="D806" s="38">
        <f>Yard!$L$138</f>
        <v>-6.330868981603642E-3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1581</v>
      </c>
      <c r="B807" s="38">
        <f>Yard!$M$87</f>
        <v>-0.23415960899936072</v>
      </c>
      <c r="C807" s="38">
        <f>Yard!$M$115</f>
        <v>-3.1130340356703527E-3</v>
      </c>
      <c r="D807" s="38">
        <f>Yard!$M$138</f>
        <v>-9.7638659346681517E-4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1582</v>
      </c>
      <c r="B808" s="38">
        <f>Yard!$N$87</f>
        <v>-0.37153423653745682</v>
      </c>
      <c r="C808" s="38">
        <f>Yard!$N$115</f>
        <v>-2.6387719128942992E-2</v>
      </c>
      <c r="D808" s="38">
        <f>Yard!$N$138</f>
        <v>-4.6696489991686525E-3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1583</v>
      </c>
      <c r="B809" s="38">
        <f>Yard!$O$87</f>
        <v>-0.36874321878316763</v>
      </c>
      <c r="C809" s="38">
        <f>Yard!$O$115</f>
        <v>-2.6189490849174081E-2</v>
      </c>
      <c r="D809" s="38">
        <f>Yard!$O$138</f>
        <v>-4.6345699351651812E-3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1584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1585</v>
      </c>
      <c r="B811" s="38">
        <f>Yard!$Q$87</f>
        <v>-1.4248284206315318</v>
      </c>
      <c r="C811" s="38">
        <f>Yard!$Q$115</f>
        <v>-0.10119652100155729</v>
      </c>
      <c r="D811" s="38">
        <f>Yard!$Q$138</f>
        <v>-1.7908036337098931E-2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1586</v>
      </c>
      <c r="B812" s="38">
        <f>Yard!$R$87</f>
        <v>-0.5934305369724715</v>
      </c>
      <c r="C812" s="38">
        <f>Yard!$R$115</f>
        <v>-4.214760523311472E-2</v>
      </c>
      <c r="D812" s="38">
        <f>Yard!$R$138</f>
        <v>-7.4585651617875698E-3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1587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1588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1589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1590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1591</v>
      </c>
      <c r="B817" s="38">
        <f>Adjust!$B$102</f>
        <v>4.9355896577729652E-4</v>
      </c>
      <c r="C817" s="38">
        <f>Adjust!$C$102</f>
        <v>6.3061835692823642E-5</v>
      </c>
      <c r="D817" s="38">
        <f>Adjust!$D$102</f>
        <v>-1.9982432401795258E-4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1592</v>
      </c>
      <c r="B819" s="37">
        <f>SUM($B$795:$B$817)</f>
        <v>-8.8439999999999994</v>
      </c>
      <c r="C819" s="37">
        <f>SUM($C$795:$C$817)</f>
        <v>-0.32800000000000001</v>
      </c>
      <c r="D819" s="37">
        <f>SUM($D$795:$D$817)</f>
        <v>-6.6000000000000003E-2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198</v>
      </c>
    </row>
    <row r="823" spans="1:10" ht="30" x14ac:dyDescent="0.25">
      <c r="B823" s="15" t="s">
        <v>239</v>
      </c>
      <c r="C823" s="15" t="s">
        <v>242</v>
      </c>
      <c r="D823" s="15" t="s">
        <v>245</v>
      </c>
      <c r="E823" s="15" t="s">
        <v>1573</v>
      </c>
      <c r="F823" s="15" t="s">
        <v>1574</v>
      </c>
    </row>
    <row r="824" spans="1:10" x14ac:dyDescent="0.25">
      <c r="A824" s="4" t="s">
        <v>198</v>
      </c>
      <c r="B824" s="44">
        <f>Loads!B$359</f>
        <v>11531.789399625</v>
      </c>
      <c r="C824" s="44">
        <f>Loads!E$359</f>
        <v>129.04964071038253</v>
      </c>
      <c r="D824" s="44">
        <f>Loads!H$359</f>
        <v>1450.8045805000004</v>
      </c>
      <c r="E824" s="44">
        <f>Multi!B$153</f>
        <v>11531.789399625</v>
      </c>
      <c r="F824" s="37">
        <f>IF(C824,E824/C824,"")</f>
        <v>89.359329759817186</v>
      </c>
      <c r="G824" s="17"/>
    </row>
    <row r="826" spans="1:10" ht="30" x14ac:dyDescent="0.25">
      <c r="B826" s="15" t="s">
        <v>1381</v>
      </c>
      <c r="C826" s="15" t="s">
        <v>1384</v>
      </c>
      <c r="D826" s="15" t="s">
        <v>1138</v>
      </c>
      <c r="E826" s="15" t="s">
        <v>1575</v>
      </c>
      <c r="F826" s="15" t="s">
        <v>1542</v>
      </c>
      <c r="G826" s="15" t="s">
        <v>1576</v>
      </c>
    </row>
    <row r="827" spans="1:10" x14ac:dyDescent="0.25">
      <c r="A827" s="4" t="s">
        <v>481</v>
      </c>
      <c r="B827" s="38">
        <f>Yard!$C$48</f>
        <v>-0.14426425601891604</v>
      </c>
      <c r="C827" s="10"/>
      <c r="D827" s="38">
        <f>Reactive!$C$79</f>
        <v>2.6381987992430536E-2</v>
      </c>
      <c r="E827" s="42">
        <f>0.01*Input!$F$60*(C827*$C$824)+10*(B827*$B$824+D827*$D$824)</f>
        <v>-16253.49909281609</v>
      </c>
      <c r="F827" s="37">
        <f t="shared" ref="F827:F849" si="63">IF($E$824&lt;&gt;0,0.1*E827/$E$824,"")</f>
        <v>-0.14094516063001147</v>
      </c>
      <c r="G827" s="46">
        <f t="shared" ref="G827:G849" si="64">IF($C$824&lt;&gt;0,E827/$C$824,"")</f>
        <v>-125.94765086787595</v>
      </c>
      <c r="H827" s="17"/>
    </row>
    <row r="828" spans="1:10" x14ac:dyDescent="0.25">
      <c r="A828" s="4" t="s">
        <v>482</v>
      </c>
      <c r="B828" s="38">
        <f>Yard!$D$48</f>
        <v>-2.2249344584865178E-2</v>
      </c>
      <c r="C828" s="10"/>
      <c r="D828" s="38">
        <f>Reactive!$D$79</f>
        <v>4.0687967891394868E-3</v>
      </c>
      <c r="E828" s="42">
        <f>0.01*Input!$F$60*(C828*$C$824)+10*(B828*$B$824+D828*$D$824)</f>
        <v>-2506.7172701354493</v>
      </c>
      <c r="F828" s="37">
        <f t="shared" si="63"/>
        <v>-2.1737452734065407E-2</v>
      </c>
      <c r="G828" s="46">
        <f t="shared" si="64"/>
        <v>-19.4244420700179</v>
      </c>
      <c r="H828" s="17"/>
    </row>
    <row r="829" spans="1:10" x14ac:dyDescent="0.25">
      <c r="A829" s="4" t="s">
        <v>483</v>
      </c>
      <c r="B829" s="38">
        <f>Yard!$E$48</f>
        <v>-4.9654848036636182E-2</v>
      </c>
      <c r="C829" s="10"/>
      <c r="D829" s="38">
        <f>Reactive!$E$79</f>
        <v>9.0805140567649083E-3</v>
      </c>
      <c r="E829" s="42">
        <f>0.01*Input!$F$60*(C829*$C$824)+10*(B829*$B$824+D829*$D$824)</f>
        <v>-5594.3519884202215</v>
      </c>
      <c r="F829" s="37">
        <f t="shared" si="63"/>
        <v>-4.8512436314542329E-2</v>
      </c>
      <c r="G829" s="46">
        <f t="shared" si="64"/>
        <v>-43.35038794083318</v>
      </c>
      <c r="H829" s="17"/>
    </row>
    <row r="830" spans="1:10" x14ac:dyDescent="0.25">
      <c r="A830" s="4" t="s">
        <v>484</v>
      </c>
      <c r="B830" s="38">
        <f>Yard!$F$48</f>
        <v>-9.3635484205524689E-3</v>
      </c>
      <c r="C830" s="10"/>
      <c r="D830" s="38">
        <f>Reactive!$F$79</f>
        <v>1.7123369905651924E-3</v>
      </c>
      <c r="E830" s="42">
        <f>0.01*Input!$F$60*(C830*$C$824)+10*(B830*$B$824+D830*$D$824)</f>
        <v>-1054.9420206973082</v>
      </c>
      <c r="F830" s="37">
        <f t="shared" si="63"/>
        <v>-9.1481207654695255E-3</v>
      </c>
      <c r="G830" s="46">
        <f t="shared" si="64"/>
        <v>-8.1746994016422239</v>
      </c>
      <c r="H830" s="17"/>
    </row>
    <row r="831" spans="1:10" x14ac:dyDescent="0.25">
      <c r="A831" s="4" t="s">
        <v>485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486</v>
      </c>
      <c r="B832" s="38">
        <f>Yard!$H$48</f>
        <v>-3.6180868495937914E-2</v>
      </c>
      <c r="C832" s="10"/>
      <c r="D832" s="38">
        <f>Reactive!$H$79</f>
        <v>6.6164916005970629E-3</v>
      </c>
      <c r="E832" s="42">
        <f>0.01*Input!$F$60*(C832*$C$824)+10*(B832*$B$824+D832*$D$824)</f>
        <v>-4076.3091946969694</v>
      </c>
      <c r="F832" s="37">
        <f t="shared" si="63"/>
        <v>-3.5348453335694162E-2</v>
      </c>
      <c r="G832" s="46">
        <f t="shared" si="64"/>
        <v>-31.587140981238043</v>
      </c>
      <c r="H832" s="17"/>
    </row>
    <row r="833" spans="1:8" x14ac:dyDescent="0.25">
      <c r="A833" s="4" t="s">
        <v>487</v>
      </c>
      <c r="B833" s="38">
        <f>Yard!$I$48</f>
        <v>0</v>
      </c>
      <c r="C833" s="10"/>
      <c r="D833" s="38">
        <f>Reactive!$I$79</f>
        <v>7.2518947148882931E-4</v>
      </c>
      <c r="E833" s="42">
        <f>0.01*Input!$F$60*(C833*$C$824)+10*(B833*$B$824+D833*$D$824)</f>
        <v>10.521082069663681</v>
      </c>
      <c r="F833" s="37">
        <f t="shared" si="63"/>
        <v>9.1235468365436973E-5</v>
      </c>
      <c r="G833" s="46">
        <f t="shared" si="64"/>
        <v>8.15274030345845E-2</v>
      </c>
      <c r="H833" s="17"/>
    </row>
    <row r="834" spans="1:8" x14ac:dyDescent="0.25">
      <c r="A834" s="4" t="s">
        <v>488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1577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1578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1579</v>
      </c>
      <c r="B837" s="38">
        <f>Yard!$K$48</f>
        <v>-4.4836604191996983E-2</v>
      </c>
      <c r="C837" s="10"/>
      <c r="D837" s="38">
        <f>Reactive!$K$79</f>
        <v>8.1993889966723629E-3</v>
      </c>
      <c r="E837" s="42">
        <f>0.01*Input!$F$60*(C837*$C$824)+10*(B837*$B$824+D837*$D$824)</f>
        <v>-5051.5056582277903</v>
      </c>
      <c r="F837" s="37">
        <f t="shared" si="63"/>
        <v>-4.3805046061559702E-2</v>
      </c>
      <c r="G837" s="46">
        <f t="shared" si="64"/>
        <v>-39.143895561588941</v>
      </c>
      <c r="H837" s="17"/>
    </row>
    <row r="838" spans="1:8" x14ac:dyDescent="0.25">
      <c r="A838" s="4" t="s">
        <v>1580</v>
      </c>
      <c r="B838" s="38">
        <f>Yard!$L$48</f>
        <v>-0.10072735066512112</v>
      </c>
      <c r="C838" s="10"/>
      <c r="D838" s="38">
        <f>Reactive!$L$79</f>
        <v>1.8420278377258788E-2</v>
      </c>
      <c r="E838" s="42">
        <f>0.01*Input!$F$60*(C838*$C$824)+10*(B838*$B$824+D838*$D$824)</f>
        <v>-11348.423704085417</v>
      </c>
      <c r="F838" s="37">
        <f t="shared" si="63"/>
        <v>-9.8409911166557146E-2</v>
      </c>
      <c r="G838" s="46">
        <f t="shared" si="64"/>
        <v>-87.938437035666951</v>
      </c>
      <c r="H838" s="17"/>
    </row>
    <row r="839" spans="1:8" x14ac:dyDescent="0.25">
      <c r="A839" s="4" t="s">
        <v>1581</v>
      </c>
      <c r="B839" s="38">
        <f>Yard!$M$48</f>
        <v>-1.5534808107803028E-2</v>
      </c>
      <c r="C839" s="10"/>
      <c r="D839" s="38">
        <f>Reactive!$M$79</f>
        <v>2.8408916544860113E-3</v>
      </c>
      <c r="E839" s="42">
        <f>0.01*Input!$F$60*(C839*$C$824)+10*(B839*$B$824+D839*$D$824)</f>
        <v>-1750.2255683773892</v>
      </c>
      <c r="F839" s="37">
        <f t="shared" si="63"/>
        <v>-1.5177397953818898E-2</v>
      </c>
      <c r="G839" s="46">
        <f t="shared" si="64"/>
        <v>-13.562421086512773</v>
      </c>
      <c r="H839" s="17"/>
    </row>
    <row r="840" spans="1:8" x14ac:dyDescent="0.25">
      <c r="A840" s="4" t="s">
        <v>1582</v>
      </c>
      <c r="B840" s="38">
        <f>Yard!$N$48</f>
        <v>-3.4669719502478415E-2</v>
      </c>
      <c r="C840" s="10"/>
      <c r="D840" s="38">
        <f>Reactive!$N$79</f>
        <v>6.3401437671115829E-3</v>
      </c>
      <c r="E840" s="42">
        <f>0.01*Input!$F$60*(C840*$C$824)+10*(B840*$B$824+D840*$D$824)</f>
        <v>-3906.055942282987</v>
      </c>
      <c r="F840" s="37">
        <f t="shared" si="63"/>
        <v>-3.3872071427267024E-2</v>
      </c>
      <c r="G840" s="46">
        <f t="shared" si="64"/>
        <v>-30.267856003172351</v>
      </c>
      <c r="H840" s="17"/>
    </row>
    <row r="841" spans="1:8" x14ac:dyDescent="0.25">
      <c r="A841" s="4" t="s">
        <v>1583</v>
      </c>
      <c r="B841" s="38">
        <f>Yard!$O$48</f>
        <v>-3.4409275664060081E-2</v>
      </c>
      <c r="C841" s="10"/>
      <c r="D841" s="38">
        <f>Reactive!$O$79</f>
        <v>6.2925157100483416E-3</v>
      </c>
      <c r="E841" s="42">
        <f>0.01*Input!$F$60*(C841*$C$824)+10*(B841*$B$824+D841*$D$824)</f>
        <v>-3876.7130973657618</v>
      </c>
      <c r="F841" s="37">
        <f t="shared" si="63"/>
        <v>-3.3617619634051139E-2</v>
      </c>
      <c r="G841" s="46">
        <f t="shared" si="64"/>
        <v>-30.040479586192799</v>
      </c>
      <c r="H841" s="17"/>
    </row>
    <row r="842" spans="1:8" x14ac:dyDescent="0.25">
      <c r="A842" s="4" t="s">
        <v>1584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1585</v>
      </c>
      <c r="B843" s="38">
        <f>Yard!$Q$48</f>
        <v>-0.13295787258484421</v>
      </c>
      <c r="C843" s="10"/>
      <c r="D843" s="38">
        <f>Reactive!$Q$79</f>
        <v>2.4314359598350797E-2</v>
      </c>
      <c r="E843" s="42">
        <f>0.01*Input!$F$60*(C843*$C$824)+10*(B843*$B$824+D843*$D$824)</f>
        <v>-14979.668013933862</v>
      </c>
      <c r="F843" s="37">
        <f t="shared" si="63"/>
        <v>-0.12989890375921176</v>
      </c>
      <c r="G843" s="46">
        <f t="shared" si="64"/>
        <v>-116.07678976458159</v>
      </c>
      <c r="H843" s="17"/>
    </row>
    <row r="844" spans="1:8" x14ac:dyDescent="0.25">
      <c r="A844" s="4" t="s">
        <v>1586</v>
      </c>
      <c r="B844" s="38">
        <f>Yard!$R$48</f>
        <v>0</v>
      </c>
      <c r="C844" s="10"/>
      <c r="D844" s="38">
        <f>Reactive!$R$79</f>
        <v>1.012675158893568E-2</v>
      </c>
      <c r="E844" s="42">
        <f>0.01*Input!$F$60*(C844*$C$824)+10*(B844*$B$824+D844*$D$824)</f>
        <v>146.91937590813541</v>
      </c>
      <c r="F844" s="37">
        <f t="shared" si="63"/>
        <v>1.2740379729178288E-3</v>
      </c>
      <c r="G844" s="46">
        <f t="shared" si="64"/>
        <v>1.1384717934849329</v>
      </c>
      <c r="H844" s="17"/>
    </row>
    <row r="845" spans="1:8" x14ac:dyDescent="0.25">
      <c r="A845" s="4" t="s">
        <v>1587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1588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1589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1590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1591</v>
      </c>
      <c r="B849" s="38">
        <f>Adjust!$B$103</f>
        <v>-1.5150372678829349E-4</v>
      </c>
      <c r="C849" s="48">
        <f>Adjust!$E$103</f>
        <v>0</v>
      </c>
      <c r="D849" s="38">
        <f>Adjust!$H$103</f>
        <v>-1.1964659384955389E-4</v>
      </c>
      <c r="E849" s="42">
        <f>0.01*Input!$F$60*(C849*$C$824)+10*(B849*$B$824+D849*$D$824)</f>
        <v>-19.206928969790809</v>
      </c>
      <c r="F849" s="37">
        <f t="shared" si="63"/>
        <v>-1.6655636262673506E-4</v>
      </c>
      <c r="G849" s="46">
        <f t="shared" si="64"/>
        <v>-0.14883364931558107</v>
      </c>
      <c r="H849" s="17"/>
    </row>
    <row r="851" spans="1:8" x14ac:dyDescent="0.25">
      <c r="A851" s="4" t="s">
        <v>1592</v>
      </c>
      <c r="B851" s="37">
        <f>SUM($B$827:$B$849)</f>
        <v>-0.625</v>
      </c>
      <c r="C851" s="46">
        <f>SUM($C$827:$C$849)</f>
        <v>0</v>
      </c>
      <c r="D851" s="37">
        <f>SUM($D$827:$D$849)</f>
        <v>0.125</v>
      </c>
      <c r="E851" s="42">
        <f>SUM($E$827:$E$849)</f>
        <v>-70260.178022031236</v>
      </c>
      <c r="F851" s="37">
        <f>SUM($F$827:$F$849)</f>
        <v>-0.60927385670359213</v>
      </c>
      <c r="G851" s="46">
        <f>SUM($G$827:$G$849)</f>
        <v>-544.44303475211882</v>
      </c>
    </row>
    <row r="853" spans="1:8" ht="21" customHeight="1" x14ac:dyDescent="0.3">
      <c r="A853" s="1" t="s">
        <v>199</v>
      </c>
    </row>
    <row r="855" spans="1:8" x14ac:dyDescent="0.25">
      <c r="B855" s="15" t="s">
        <v>239</v>
      </c>
      <c r="C855" s="15" t="s">
        <v>242</v>
      </c>
      <c r="D855" s="15" t="s">
        <v>1573</v>
      </c>
      <c r="E855" s="15" t="s">
        <v>1574</v>
      </c>
    </row>
    <row r="856" spans="1:8" ht="30" x14ac:dyDescent="0.25">
      <c r="A856" s="4" t="s">
        <v>199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1381</v>
      </c>
      <c r="C858" s="15" t="s">
        <v>1384</v>
      </c>
      <c r="D858" s="15" t="s">
        <v>1575</v>
      </c>
      <c r="E858" s="15" t="s">
        <v>1542</v>
      </c>
      <c r="F858" s="15" t="s">
        <v>1576</v>
      </c>
    </row>
    <row r="859" spans="1:8" x14ac:dyDescent="0.25">
      <c r="A859" s="4" t="s">
        <v>481</v>
      </c>
      <c r="B859" s="38">
        <f>Yard!$C$49</f>
        <v>-0.14426425601891604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482</v>
      </c>
      <c r="B860" s="38">
        <f>Yard!$D$49</f>
        <v>-2.2249344584865178E-2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483</v>
      </c>
      <c r="B861" s="38">
        <f>Yard!$E$49</f>
        <v>-4.9654848036636182E-2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484</v>
      </c>
      <c r="B862" s="38">
        <f>Yard!$F$49</f>
        <v>-9.3635484205524689E-3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485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486</v>
      </c>
      <c r="B864" s="38">
        <f>Yard!$H$49</f>
        <v>-3.6180868495937914E-2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487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488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1577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1578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1579</v>
      </c>
      <c r="B869" s="38">
        <f>Yard!$K$49</f>
        <v>-4.4836604191996983E-2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1580</v>
      </c>
      <c r="B870" s="38">
        <f>Yard!$L$49</f>
        <v>-0.10072735066512112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1581</v>
      </c>
      <c r="B871" s="38">
        <f>Yard!$M$49</f>
        <v>-1.5534808107803028E-2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1582</v>
      </c>
      <c r="B872" s="38">
        <f>Yard!$N$49</f>
        <v>-3.4669719502478415E-2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1583</v>
      </c>
      <c r="B873" s="38">
        <f>Yard!$O$49</f>
        <v>-3.4409275664060081E-2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1584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1585</v>
      </c>
      <c r="B875" s="38">
        <f>Yard!$Q$49</f>
        <v>-0.13295787258484421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1586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1587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1588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1589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1590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1591</v>
      </c>
      <c r="B881" s="38">
        <f>Adjust!$B$104</f>
        <v>-1.5150372678829349E-4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1592</v>
      </c>
      <c r="B883" s="37">
        <f>SUM($B$859:$B$881)</f>
        <v>-0.625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200</v>
      </c>
    </row>
    <row r="887" spans="1:11" ht="30" x14ac:dyDescent="0.25">
      <c r="B887" s="15" t="s">
        <v>239</v>
      </c>
      <c r="C887" s="15" t="s">
        <v>240</v>
      </c>
      <c r="D887" s="15" t="s">
        <v>241</v>
      </c>
      <c r="E887" s="15" t="s">
        <v>242</v>
      </c>
      <c r="F887" s="15" t="s">
        <v>245</v>
      </c>
      <c r="G887" s="15" t="s">
        <v>1573</v>
      </c>
      <c r="H887" s="15" t="s">
        <v>1574</v>
      </c>
    </row>
    <row r="888" spans="1:11" x14ac:dyDescent="0.25">
      <c r="A888" s="4" t="s">
        <v>200</v>
      </c>
      <c r="B888" s="44">
        <f>Loads!B$361</f>
        <v>264.21772129895868</v>
      </c>
      <c r="C888" s="44">
        <f>Loads!C$361</f>
        <v>1475.7031393722757</v>
      </c>
      <c r="D888" s="44">
        <f>Loads!D$361</f>
        <v>2402.1096696522009</v>
      </c>
      <c r="E888" s="44">
        <f>Loads!E$361</f>
        <v>13.129690573770491</v>
      </c>
      <c r="F888" s="44">
        <f>Loads!H$361</f>
        <v>631.49050125000008</v>
      </c>
      <c r="G888" s="44">
        <f>Multi!B$155</f>
        <v>4142.0305303234354</v>
      </c>
      <c r="H888" s="37">
        <f>IF(E888,G888/E888,"")</f>
        <v>315.47053657136996</v>
      </c>
      <c r="I888" s="17"/>
    </row>
    <row r="890" spans="1:11" ht="30" x14ac:dyDescent="0.25">
      <c r="B890" s="15" t="s">
        <v>1381</v>
      </c>
      <c r="C890" s="15" t="s">
        <v>1382</v>
      </c>
      <c r="D890" s="15" t="s">
        <v>1383</v>
      </c>
      <c r="E890" s="15" t="s">
        <v>1384</v>
      </c>
      <c r="F890" s="15" t="s">
        <v>1138</v>
      </c>
      <c r="G890" s="15" t="s">
        <v>1593</v>
      </c>
      <c r="H890" s="15" t="s">
        <v>1575</v>
      </c>
      <c r="I890" s="15" t="s">
        <v>1542</v>
      </c>
      <c r="J890" s="15" t="s">
        <v>1576</v>
      </c>
    </row>
    <row r="891" spans="1:11" x14ac:dyDescent="0.25">
      <c r="A891" s="4" t="s">
        <v>481</v>
      </c>
      <c r="B891" s="38">
        <f>Yard!$C$88</f>
        <v>-2.147908630505317</v>
      </c>
      <c r="C891" s="38">
        <f>Yard!$C$116</f>
        <v>-2.8555363159542178E-2</v>
      </c>
      <c r="D891" s="38">
        <f>Yard!$C$139</f>
        <v>-8.9562380112395232E-3</v>
      </c>
      <c r="E891" s="10"/>
      <c r="F891" s="38">
        <f>Reactive!$C$80</f>
        <v>2.6381987992430536E-2</v>
      </c>
      <c r="G891" s="37">
        <f t="shared" ref="G891:G913" si="67">IF(G$888&lt;&gt;0,(($B891*B$888+$C891*C$888+$D891*D$888+$F891*F$888))/G$888,0)</f>
        <v>-0.14835927682844544</v>
      </c>
      <c r="H891" s="42">
        <f>0.01*Input!$F$60*(E891*$E$888)+10*(B891*$B$888+C891*$C$888+D891*$D$888+F891*$F$888)</f>
        <v>-6145.0865408012723</v>
      </c>
      <c r="I891" s="37">
        <f t="shared" ref="I891:I913" si="68">IF($G$888&lt;&gt;0,0.1*H891/$G$888,"")</f>
        <v>-0.14835927682844544</v>
      </c>
      <c r="J891" s="46">
        <f t="shared" ref="J891:J913" si="69">IF($E$888&lt;&gt;0,H891/$E$888,"")</f>
        <v>-468.02980666410105</v>
      </c>
      <c r="K891" s="17"/>
    </row>
    <row r="892" spans="1:11" x14ac:dyDescent="0.25">
      <c r="A892" s="4" t="s">
        <v>482</v>
      </c>
      <c r="B892" s="38">
        <f>Yard!$D$88</f>
        <v>-0.33126403293309503</v>
      </c>
      <c r="C892" s="38">
        <f>Yard!$D$116</f>
        <v>-4.4039884321679266E-3</v>
      </c>
      <c r="D892" s="38">
        <f>Yard!$D$139</f>
        <v>-1.3812875842925865E-3</v>
      </c>
      <c r="E892" s="10"/>
      <c r="F892" s="38">
        <f>Reactive!$D$80</f>
        <v>4.0687967891394868E-3</v>
      </c>
      <c r="G892" s="37">
        <f t="shared" si="67"/>
        <v>-2.2880904553964292E-2</v>
      </c>
      <c r="H892" s="42">
        <f>0.01*Input!$F$60*(E892*$E$888)+10*(B892*$B$888+C892*$C$888+D892*$D$888+F892*$F$888)</f>
        <v>-947.73405223936618</v>
      </c>
      <c r="I892" s="37">
        <f t="shared" si="68"/>
        <v>-2.2880904553964292E-2</v>
      </c>
      <c r="J892" s="46">
        <f t="shared" si="69"/>
        <v>-72.182512368774184</v>
      </c>
      <c r="K892" s="17"/>
    </row>
    <row r="893" spans="1:11" x14ac:dyDescent="0.25">
      <c r="A893" s="4" t="s">
        <v>483</v>
      </c>
      <c r="B893" s="38">
        <f>Yard!$E$88</f>
        <v>-0.52560699983254755</v>
      </c>
      <c r="C893" s="38">
        <f>Yard!$E$116</f>
        <v>-3.7330529786558098E-2</v>
      </c>
      <c r="D893" s="38">
        <f>Yard!$E$139</f>
        <v>-6.6061212113265096E-3</v>
      </c>
      <c r="E893" s="10"/>
      <c r="F893" s="38">
        <f>Reactive!$E$80</f>
        <v>9.0805140567649083E-3</v>
      </c>
      <c r="G893" s="37">
        <f t="shared" si="67"/>
        <v>-4.9274825853676769E-2</v>
      </c>
      <c r="H893" s="42">
        <f>0.01*Input!$F$60*(E893*$E$888)+10*(B893*$B$888+C893*$C$888+D893*$D$888+F893*$F$888)</f>
        <v>-2040.9783306229972</v>
      </c>
      <c r="I893" s="37">
        <f t="shared" si="68"/>
        <v>-4.9274825853676776E-2</v>
      </c>
      <c r="J893" s="46">
        <f t="shared" si="69"/>
        <v>-155.44755751520225</v>
      </c>
      <c r="K893" s="17"/>
    </row>
    <row r="894" spans="1:11" x14ac:dyDescent="0.25">
      <c r="A894" s="4" t="s">
        <v>484</v>
      </c>
      <c r="B894" s="38">
        <f>Yard!$F$88</f>
        <v>-9.9115127479237744E-2</v>
      </c>
      <c r="C894" s="38">
        <f>Yard!$F$116</f>
        <v>-7.0395185373120445E-3</v>
      </c>
      <c r="D894" s="38">
        <f>Yard!$F$139</f>
        <v>-1.2457340678730014E-3</v>
      </c>
      <c r="E894" s="10"/>
      <c r="F894" s="38">
        <f>Reactive!$F$80</f>
        <v>1.7123369905651924E-3</v>
      </c>
      <c r="G894" s="37">
        <f t="shared" si="67"/>
        <v>-9.2918866140678513E-3</v>
      </c>
      <c r="H894" s="42">
        <f>0.01*Input!$F$60*(E894*$E$888)+10*(B894*$B$888+C894*$C$888+D894*$D$888+F894*$F$888)</f>
        <v>-384.8727803977269</v>
      </c>
      <c r="I894" s="37">
        <f t="shared" si="68"/>
        <v>-9.2918866140678513E-3</v>
      </c>
      <c r="J894" s="46">
        <f t="shared" si="69"/>
        <v>-29.313164559003152</v>
      </c>
      <c r="K894" s="17"/>
    </row>
    <row r="895" spans="1:11" x14ac:dyDescent="0.25">
      <c r="A895" s="4" t="s">
        <v>485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>
        <f t="shared" si="68"/>
        <v>0</v>
      </c>
      <c r="J895" s="46">
        <f t="shared" si="69"/>
        <v>0</v>
      </c>
      <c r="K895" s="17"/>
    </row>
    <row r="896" spans="1:11" x14ac:dyDescent="0.25">
      <c r="A896" s="4" t="s">
        <v>486</v>
      </c>
      <c r="B896" s="38">
        <f>Yard!$H$88</f>
        <v>-0.38298209527204413</v>
      </c>
      <c r="C896" s="38">
        <f>Yard!$H$116</f>
        <v>-2.7200787888719727E-2</v>
      </c>
      <c r="D896" s="38">
        <f>Yard!$H$139</f>
        <v>-4.8135320571091288E-3</v>
      </c>
      <c r="E896" s="10"/>
      <c r="F896" s="38">
        <f>Reactive!$H$80</f>
        <v>6.6164916005970629E-3</v>
      </c>
      <c r="G896" s="37">
        <f t="shared" si="67"/>
        <v>-3.5903966377195173E-2</v>
      </c>
      <c r="H896" s="42">
        <f>0.01*Input!$F$60*(E896*$E$888)+10*(B896*$B$888+C896*$C$888+D896*$D$888+F896*$F$888)</f>
        <v>-1487.1532489404851</v>
      </c>
      <c r="I896" s="37">
        <f t="shared" si="68"/>
        <v>-3.5903966377195173E-2</v>
      </c>
      <c r="J896" s="46">
        <f t="shared" si="69"/>
        <v>-113.26643538054188</v>
      </c>
      <c r="K896" s="17"/>
    </row>
    <row r="897" spans="1:11" x14ac:dyDescent="0.25">
      <c r="A897" s="4" t="s">
        <v>487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7.2518947148882931E-4</v>
      </c>
      <c r="G897" s="37">
        <f t="shared" si="67"/>
        <v>1.1056177869745057E-4</v>
      </c>
      <c r="H897" s="42">
        <f>0.01*Input!$F$60*(E897*$E$888)+10*(B897*$B$888+C897*$C$888+D897*$D$888+F897*$F$888)</f>
        <v>4.5795026285170346</v>
      </c>
      <c r="I897" s="37">
        <f t="shared" si="68"/>
        <v>1.1056177869745057E-4</v>
      </c>
      <c r="J897" s="46">
        <f t="shared" si="69"/>
        <v>0.34878983649969791</v>
      </c>
      <c r="K897" s="17"/>
    </row>
    <row r="898" spans="1:11" x14ac:dyDescent="0.25">
      <c r="A898" s="4" t="s">
        <v>488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1577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1578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1579</v>
      </c>
      <c r="B901" s="38">
        <f>Yard!$K$88</f>
        <v>-0.75161208248569</v>
      </c>
      <c r="C901" s="38">
        <f>Yard!$K$116</f>
        <v>0</v>
      </c>
      <c r="D901" s="38">
        <f>Yard!$K$139</f>
        <v>0</v>
      </c>
      <c r="E901" s="10"/>
      <c r="F901" s="38">
        <f>Reactive!$K$80</f>
        <v>8.1993889966723629E-3</v>
      </c>
      <c r="G901" s="37">
        <f t="shared" si="67"/>
        <v>-4.6694826137020015E-2</v>
      </c>
      <c r="H901" s="42">
        <f>0.01*Input!$F$60*(E901*$E$888)+10*(B901*$B$888+C901*$C$888+D901*$D$888+F901*$F$888)</f>
        <v>-1934.1139546768161</v>
      </c>
      <c r="I901" s="37">
        <f t="shared" si="68"/>
        <v>-4.6694826137020015E-2</v>
      </c>
      <c r="J901" s="46">
        <f t="shared" si="69"/>
        <v>-147.30841856552536</v>
      </c>
      <c r="K901" s="17"/>
    </row>
    <row r="902" spans="1:11" x14ac:dyDescent="0.25">
      <c r="A902" s="4" t="s">
        <v>1580</v>
      </c>
      <c r="B902" s="38">
        <f>Yard!$L$88</f>
        <v>-1.4997002846857697</v>
      </c>
      <c r="C902" s="38">
        <f>Yard!$L$116</f>
        <v>-1.9937759759173768E-2</v>
      </c>
      <c r="D902" s="38">
        <f>Yard!$L$139</f>
        <v>-6.2533724686461584E-3</v>
      </c>
      <c r="E902" s="10"/>
      <c r="F902" s="38">
        <f>Reactive!$L$80</f>
        <v>1.8420278377258788E-2</v>
      </c>
      <c r="G902" s="37">
        <f t="shared" si="67"/>
        <v>-0.10358655230276277</v>
      </c>
      <c r="H902" s="42">
        <f>0.01*Input!$F$60*(E902*$E$888)+10*(B902*$B$888+C902*$C$888+D902*$D$888+F902*$F$888)</f>
        <v>-4290.5866216898876</v>
      </c>
      <c r="I902" s="37">
        <f t="shared" si="68"/>
        <v>-0.10358655230276279</v>
      </c>
      <c r="J902" s="46">
        <f t="shared" si="69"/>
        <v>-326.7850523653085</v>
      </c>
      <c r="K902" s="17"/>
    </row>
    <row r="903" spans="1:11" x14ac:dyDescent="0.25">
      <c r="A903" s="4" t="s">
        <v>1581</v>
      </c>
      <c r="B903" s="38">
        <f>Yard!$M$88</f>
        <v>-0.2312932484372216</v>
      </c>
      <c r="C903" s="38">
        <f>Yard!$M$116</f>
        <v>-3.0749272160246707E-3</v>
      </c>
      <c r="D903" s="38">
        <f>Yard!$M$139</f>
        <v>-9.6443459185187276E-4</v>
      </c>
      <c r="E903" s="10"/>
      <c r="F903" s="38">
        <f>Reactive!$M$80</f>
        <v>2.8408916544860113E-3</v>
      </c>
      <c r="G903" s="37">
        <f t="shared" si="67"/>
        <v>-1.5975772240076777E-2</v>
      </c>
      <c r="H903" s="42">
        <f>0.01*Input!$F$60*(E903*$E$888)+10*(B903*$B$888+C903*$C$888+D903*$D$888+F903*$F$888)</f>
        <v>-661.72136363891627</v>
      </c>
      <c r="I903" s="37">
        <f t="shared" si="68"/>
        <v>-1.5975772240076777E-2</v>
      </c>
      <c r="J903" s="46">
        <f t="shared" si="69"/>
        <v>-50.398854407190179</v>
      </c>
      <c r="K903" s="17"/>
    </row>
    <row r="904" spans="1:11" x14ac:dyDescent="0.25">
      <c r="A904" s="4" t="s">
        <v>1582</v>
      </c>
      <c r="B904" s="38">
        <f>Yard!$N$88</f>
        <v>-0.36698626565705472</v>
      </c>
      <c r="C904" s="38">
        <f>Yard!$N$116</f>
        <v>-2.6064705617948394E-2</v>
      </c>
      <c r="D904" s="38">
        <f>Yard!$N$139</f>
        <v>-4.6124875707419175E-3</v>
      </c>
      <c r="E904" s="10"/>
      <c r="F904" s="38">
        <f>Reactive!$N$80</f>
        <v>6.3401437671115829E-3</v>
      </c>
      <c r="G904" s="37">
        <f t="shared" si="67"/>
        <v>-3.4404382621813688E-2</v>
      </c>
      <c r="H904" s="42">
        <f>0.01*Input!$F$60*(E904*$E$888)+10*(B904*$B$888+C904*$C$888+D904*$D$888+F904*$F$888)</f>
        <v>-1425.0400319648134</v>
      </c>
      <c r="I904" s="37">
        <f t="shared" si="68"/>
        <v>-3.4404382621813688E-2</v>
      </c>
      <c r="J904" s="46">
        <f t="shared" si="69"/>
        <v>-108.53569046110282</v>
      </c>
      <c r="K904" s="17"/>
    </row>
    <row r="905" spans="1:11" x14ac:dyDescent="0.25">
      <c r="A905" s="4" t="s">
        <v>1583</v>
      </c>
      <c r="B905" s="38">
        <f>Yard!$O$88</f>
        <v>-0.36422941290352434</v>
      </c>
      <c r="C905" s="38">
        <f>Yard!$O$116</f>
        <v>-2.5868903861378162E-2</v>
      </c>
      <c r="D905" s="38">
        <f>Yard!$O$139</f>
        <v>-4.5778379114767183E-3</v>
      </c>
      <c r="E905" s="10"/>
      <c r="F905" s="38">
        <f>Reactive!$O$80</f>
        <v>6.2925157100483416E-3</v>
      </c>
      <c r="G905" s="37">
        <f t="shared" si="67"/>
        <v>-3.4145932031586161E-2</v>
      </c>
      <c r="H905" s="42">
        <f>0.01*Input!$F$60*(E905*$E$888)+10*(B905*$B$888+C905*$C$888+D905*$D$888+F905*$F$888)</f>
        <v>-1414.3349296117881</v>
      </c>
      <c r="I905" s="37">
        <f t="shared" si="68"/>
        <v>-3.4145932031586161E-2</v>
      </c>
      <c r="J905" s="46">
        <f t="shared" si="69"/>
        <v>-107.72035499734017</v>
      </c>
      <c r="K905" s="17"/>
    </row>
    <row r="906" spans="1:11" x14ac:dyDescent="0.25">
      <c r="A906" s="4" t="s">
        <v>1584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>
        <f t="shared" si="68"/>
        <v>0</v>
      </c>
      <c r="J906" s="46">
        <f t="shared" si="69"/>
        <v>0</v>
      </c>
      <c r="K906" s="17"/>
    </row>
    <row r="907" spans="1:11" x14ac:dyDescent="0.25">
      <c r="A907" s="4" t="s">
        <v>1585</v>
      </c>
      <c r="B907" s="38">
        <f>Yard!$Q$88</f>
        <v>-1.4073870181190931</v>
      </c>
      <c r="C907" s="38">
        <f>Yard!$Q$116</f>
        <v>-9.9957768861236918E-2</v>
      </c>
      <c r="D907" s="38">
        <f>Yard!$Q$139</f>
        <v>-1.7688823086268148E-2</v>
      </c>
      <c r="E907" s="10"/>
      <c r="F907" s="38">
        <f>Reactive!$Q$80</f>
        <v>2.4314359598350797E-2</v>
      </c>
      <c r="G907" s="37">
        <f t="shared" si="67"/>
        <v>-0.13194030948719757</v>
      </c>
      <c r="H907" s="42">
        <f>0.01*Input!$F$60*(E907*$E$888)+10*(B907*$B$888+C907*$C$888+D907*$D$888+F907*$F$888)</f>
        <v>-5465.007900762952</v>
      </c>
      <c r="I907" s="37">
        <f t="shared" si="68"/>
        <v>-0.13194030948719757</v>
      </c>
      <c r="J907" s="46">
        <f t="shared" si="69"/>
        <v>-416.2328022931884</v>
      </c>
      <c r="K907" s="17"/>
    </row>
    <row r="908" spans="1:11" x14ac:dyDescent="0.25">
      <c r="A908" s="4" t="s">
        <v>1586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1.012675158893568E-2</v>
      </c>
      <c r="G908" s="37">
        <f t="shared" si="67"/>
        <v>1.5439160552087651E-3</v>
      </c>
      <c r="H908" s="42">
        <f>0.01*Input!$F$60*(E908*$E$888)+10*(B908*$B$888+C908*$C$888+D908*$D$888+F908*$F$888)</f>
        <v>63.94947436931227</v>
      </c>
      <c r="I908" s="37">
        <f t="shared" si="68"/>
        <v>1.5439160552087651E-3</v>
      </c>
      <c r="J908" s="46">
        <f t="shared" si="69"/>
        <v>4.8706002635786199</v>
      </c>
      <c r="K908" s="17"/>
    </row>
    <row r="909" spans="1:11" x14ac:dyDescent="0.25">
      <c r="A909" s="4" t="s">
        <v>1587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1588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1589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1590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1591</v>
      </c>
      <c r="B913" s="38">
        <f>Adjust!$B$105</f>
        <v>8.5198310594947202E-5</v>
      </c>
      <c r="C913" s="38">
        <f>Adjust!$C$105</f>
        <v>4.3425312006184491E-4</v>
      </c>
      <c r="D913" s="38">
        <f>Adjust!$D$105</f>
        <v>9.9868560825562558E-5</v>
      </c>
      <c r="E913" s="48">
        <f>Adjust!$E$105</f>
        <v>0</v>
      </c>
      <c r="F913" s="38">
        <f>Adjust!$H$105</f>
        <v>-1.1964659384955389E-4</v>
      </c>
      <c r="G913" s="37">
        <f t="shared" si="67"/>
        <v>1.9982449142092167E-4</v>
      </c>
      <c r="H913" s="42">
        <f>0.01*Input!$F$60*(E913*$E$888)+10*(B913*$B$888+C913*$C$888+D913*$D$888+F913*$F$888)</f>
        <v>8.2767914417181103</v>
      </c>
      <c r="I913" s="37">
        <f t="shared" si="68"/>
        <v>1.998244914209217E-4</v>
      </c>
      <c r="J913" s="46">
        <f t="shared" si="69"/>
        <v>0.63038739528659282</v>
      </c>
      <c r="K913" s="17"/>
    </row>
    <row r="915" spans="1:11" x14ac:dyDescent="0.25">
      <c r="A915" s="4" t="s">
        <v>1592</v>
      </c>
      <c r="B915" s="37">
        <f>SUM($B$891:$B$913)</f>
        <v>-8.1080000000000005</v>
      </c>
      <c r="C915" s="37">
        <f>SUM($C$891:$C$913)</f>
        <v>-0.27900000000000003</v>
      </c>
      <c r="D915" s="37">
        <f>SUM($D$891:$D$913)</f>
        <v>-5.7000000000000002E-2</v>
      </c>
      <c r="E915" s="46">
        <f>SUM($E$891:$E$913)</f>
        <v>0</v>
      </c>
      <c r="F915" s="37">
        <f>SUM($F$891:$F$913)</f>
        <v>0.125</v>
      </c>
      <c r="G915" s="37">
        <f>SUM(G$891:G$913)</f>
        <v>-0.63060433272247929</v>
      </c>
      <c r="H915" s="42">
        <f>SUM($H$891:$H$913)</f>
        <v>-26119.823986907471</v>
      </c>
      <c r="I915" s="37">
        <f>SUM($I$891:$I$913)</f>
        <v>-0.6306043327224794</v>
      </c>
      <c r="J915" s="46">
        <f>SUM($J$891:$J$913)</f>
        <v>-1989.3708720819129</v>
      </c>
    </row>
    <row r="917" spans="1:11" ht="21" customHeight="1" x14ac:dyDescent="0.3">
      <c r="A917" s="1" t="s">
        <v>201</v>
      </c>
    </row>
    <row r="919" spans="1:11" x14ac:dyDescent="0.25">
      <c r="B919" s="15" t="s">
        <v>239</v>
      </c>
      <c r="C919" s="15" t="s">
        <v>240</v>
      </c>
      <c r="D919" s="15" t="s">
        <v>241</v>
      </c>
      <c r="E919" s="15" t="s">
        <v>242</v>
      </c>
      <c r="F919" s="15" t="s">
        <v>1573</v>
      </c>
      <c r="G919" s="15" t="s">
        <v>1574</v>
      </c>
    </row>
    <row r="920" spans="1:11" ht="30" x14ac:dyDescent="0.25">
      <c r="A920" s="4" t="s">
        <v>201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1381</v>
      </c>
      <c r="C922" s="15" t="s">
        <v>1382</v>
      </c>
      <c r="D922" s="15" t="s">
        <v>1383</v>
      </c>
      <c r="E922" s="15" t="s">
        <v>1384</v>
      </c>
      <c r="F922" s="15" t="s">
        <v>1593</v>
      </c>
      <c r="G922" s="15" t="s">
        <v>1575</v>
      </c>
      <c r="H922" s="15" t="s">
        <v>1542</v>
      </c>
      <c r="I922" s="15" t="s">
        <v>1576</v>
      </c>
    </row>
    <row r="923" spans="1:11" x14ac:dyDescent="0.25">
      <c r="A923" s="4" t="s">
        <v>481</v>
      </c>
      <c r="B923" s="38">
        <f>Yard!$C$89</f>
        <v>-2.147908630505317</v>
      </c>
      <c r="C923" s="38">
        <f>Yard!$C$117</f>
        <v>-2.8555363159542178E-2</v>
      </c>
      <c r="D923" s="38">
        <f>Yard!$C$140</f>
        <v>-8.9562380112395232E-3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482</v>
      </c>
      <c r="B924" s="38">
        <f>Yard!$D$89</f>
        <v>-0.33126403293309503</v>
      </c>
      <c r="C924" s="38">
        <f>Yard!$D$117</f>
        <v>-4.4039884321679266E-3</v>
      </c>
      <c r="D924" s="38">
        <f>Yard!$D$140</f>
        <v>-1.3812875842925865E-3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483</v>
      </c>
      <c r="B925" s="38">
        <f>Yard!$E$89</f>
        <v>-0.52560699983254755</v>
      </c>
      <c r="C925" s="38">
        <f>Yard!$E$117</f>
        <v>-3.7330529786558098E-2</v>
      </c>
      <c r="D925" s="38">
        <f>Yard!$E$140</f>
        <v>-6.6061212113265096E-3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484</v>
      </c>
      <c r="B926" s="38">
        <f>Yard!$F$89</f>
        <v>-9.9115127479237744E-2</v>
      </c>
      <c r="C926" s="38">
        <f>Yard!$F$117</f>
        <v>-7.0395185373120445E-3</v>
      </c>
      <c r="D926" s="38">
        <f>Yard!$F$140</f>
        <v>-1.2457340678730014E-3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485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486</v>
      </c>
      <c r="B928" s="38">
        <f>Yard!$H$89</f>
        <v>-0.38298209527204413</v>
      </c>
      <c r="C928" s="38">
        <f>Yard!$H$117</f>
        <v>-2.7200787888719727E-2</v>
      </c>
      <c r="D928" s="38">
        <f>Yard!$H$140</f>
        <v>-4.8135320571091288E-3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487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488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1577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1578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1579</v>
      </c>
      <c r="B933" s="38">
        <f>Yard!$K$89</f>
        <v>-0.75161208248569</v>
      </c>
      <c r="C933" s="38">
        <f>Yard!$K$117</f>
        <v>0</v>
      </c>
      <c r="D933" s="38">
        <f>Yard!$K$140</f>
        <v>0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1580</v>
      </c>
      <c r="B934" s="38">
        <f>Yard!$L$89</f>
        <v>-1.4997002846857697</v>
      </c>
      <c r="C934" s="38">
        <f>Yard!$L$117</f>
        <v>-1.9937759759173768E-2</v>
      </c>
      <c r="D934" s="38">
        <f>Yard!$L$140</f>
        <v>-6.2533724686461584E-3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1581</v>
      </c>
      <c r="B935" s="38">
        <f>Yard!$M$89</f>
        <v>-0.2312932484372216</v>
      </c>
      <c r="C935" s="38">
        <f>Yard!$M$117</f>
        <v>-3.0749272160246707E-3</v>
      </c>
      <c r="D935" s="38">
        <f>Yard!$M$140</f>
        <v>-9.6443459185187276E-4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1582</v>
      </c>
      <c r="B936" s="38">
        <f>Yard!$N$89</f>
        <v>-0.36698626565705472</v>
      </c>
      <c r="C936" s="38">
        <f>Yard!$N$117</f>
        <v>-2.6064705617948394E-2</v>
      </c>
      <c r="D936" s="38">
        <f>Yard!$N$140</f>
        <v>-4.6124875707419175E-3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1583</v>
      </c>
      <c r="B937" s="38">
        <f>Yard!$O$89</f>
        <v>-0.36422941290352434</v>
      </c>
      <c r="C937" s="38">
        <f>Yard!$O$117</f>
        <v>-2.5868903861378162E-2</v>
      </c>
      <c r="D937" s="38">
        <f>Yard!$O$140</f>
        <v>-4.5778379114767183E-3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1584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1585</v>
      </c>
      <c r="B939" s="38">
        <f>Yard!$Q$89</f>
        <v>-1.4073870181190931</v>
      </c>
      <c r="C939" s="38">
        <f>Yard!$Q$117</f>
        <v>-9.9957768861236918E-2</v>
      </c>
      <c r="D939" s="38">
        <f>Yard!$Q$140</f>
        <v>-1.7688823086268148E-2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1586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1587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1588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1589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1590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1591</v>
      </c>
      <c r="B945" s="38">
        <f>Adjust!$B$106</f>
        <v>8.5198310594947202E-5</v>
      </c>
      <c r="C945" s="38">
        <f>Adjust!$C$106</f>
        <v>4.3425312006184491E-4</v>
      </c>
      <c r="D945" s="38">
        <f>Adjust!$D$106</f>
        <v>9.9868560825562558E-5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1592</v>
      </c>
      <c r="B947" s="37">
        <f>SUM($B$923:$B$945)</f>
        <v>-8.1080000000000005</v>
      </c>
      <c r="C947" s="37">
        <f>SUM($C$923:$C$945)</f>
        <v>-0.27900000000000003</v>
      </c>
      <c r="D947" s="37">
        <f>SUM($D$923:$D$945)</f>
        <v>-5.7000000000000002E-2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209</v>
      </c>
    </row>
    <row r="951" spans="1:10" ht="30" x14ac:dyDescent="0.25">
      <c r="B951" s="15" t="s">
        <v>239</v>
      </c>
      <c r="C951" s="15" t="s">
        <v>242</v>
      </c>
      <c r="D951" s="15" t="s">
        <v>245</v>
      </c>
      <c r="E951" s="15" t="s">
        <v>1573</v>
      </c>
      <c r="F951" s="15" t="s">
        <v>1574</v>
      </c>
    </row>
    <row r="952" spans="1:10" x14ac:dyDescent="0.25">
      <c r="A952" s="4" t="s">
        <v>209</v>
      </c>
      <c r="B952" s="44">
        <f>Loads!B$363</f>
        <v>407740.85880585003</v>
      </c>
      <c r="C952" s="44">
        <f>Loads!E$363</f>
        <v>252.79925000000006</v>
      </c>
      <c r="D952" s="44">
        <f>Loads!H$363</f>
        <v>4529.0778706250021</v>
      </c>
      <c r="E952" s="44">
        <f>Multi!B$157</f>
        <v>407740.85880585003</v>
      </c>
      <c r="F952" s="37">
        <f>IF(C952,E952/C952,"")</f>
        <v>1612.9037519132273</v>
      </c>
      <c r="G952" s="17"/>
    </row>
    <row r="954" spans="1:10" ht="30" x14ac:dyDescent="0.25">
      <c r="B954" s="15" t="s">
        <v>1381</v>
      </c>
      <c r="C954" s="15" t="s">
        <v>1384</v>
      </c>
      <c r="D954" s="15" t="s">
        <v>1138</v>
      </c>
      <c r="E954" s="15" t="s">
        <v>1575</v>
      </c>
      <c r="F954" s="15" t="s">
        <v>1542</v>
      </c>
      <c r="G954" s="15" t="s">
        <v>1576</v>
      </c>
    </row>
    <row r="955" spans="1:10" x14ac:dyDescent="0.25">
      <c r="A955" s="4" t="s">
        <v>481</v>
      </c>
      <c r="B955" s="38">
        <f>Yard!$C$52</f>
        <v>-0.14275147545055752</v>
      </c>
      <c r="C955" s="10"/>
      <c r="D955" s="38">
        <f>Reactive!$C$81</f>
        <v>2.6105341788506094E-2</v>
      </c>
      <c r="E955" s="42">
        <f>0.01*Input!$F$60*(C955*$C$952)+10*(B955*$B$952+D955*$D$952)</f>
        <v>-580873.7607021312</v>
      </c>
      <c r="F955" s="37">
        <f t="shared" ref="F955:F977" si="73">IF($E$952&lt;&gt;0,0.1*E955/$E$952,"")</f>
        <v>-0.14246150420228557</v>
      </c>
      <c r="G955" s="46">
        <f t="shared" ref="G955:G977" si="74">IF($C$952&lt;&gt;0,E955/$C$952,"")</f>
        <v>-2297.7669463106836</v>
      </c>
      <c r="H955" s="17"/>
    </row>
    <row r="956" spans="1:10" x14ac:dyDescent="0.25">
      <c r="A956" s="4" t="s">
        <v>482</v>
      </c>
      <c r="B956" s="38">
        <f>Yard!$D$52</f>
        <v>-7.2652912241179387E-3</v>
      </c>
      <c r="C956" s="10"/>
      <c r="D956" s="38">
        <f>Reactive!$D$81</f>
        <v>1.3286231193058533E-3</v>
      </c>
      <c r="E956" s="42">
        <f>0.01*Input!$F$60*(C956*$C$952)+10*(B956*$B$952+D956*$D$952)</f>
        <v>-29563.386456284046</v>
      </c>
      <c r="F956" s="37">
        <f t="shared" si="73"/>
        <v>-7.2505332290872899E-3</v>
      </c>
      <c r="G956" s="46">
        <f t="shared" si="74"/>
        <v>-116.94412248566418</v>
      </c>
      <c r="H956" s="17"/>
    </row>
    <row r="957" spans="1:10" x14ac:dyDescent="0.25">
      <c r="A957" s="4" t="s">
        <v>483</v>
      </c>
      <c r="B957" s="38">
        <f>Yard!$E$52</f>
        <v>-1.6214272303593284E-2</v>
      </c>
      <c r="C957" s="10"/>
      <c r="D957" s="38">
        <f>Reactive!$E$81</f>
        <v>2.9651470781737383E-3</v>
      </c>
      <c r="E957" s="42">
        <f>0.01*Input!$F$60*(C957*$C$952)+10*(B957*$B$952+D957*$D$952)</f>
        <v>-65977.919319641282</v>
      </c>
      <c r="F957" s="37">
        <f t="shared" si="73"/>
        <v>-1.6181336232250727E-2</v>
      </c>
      <c r="G957" s="46">
        <f t="shared" si="74"/>
        <v>-260.98937919966642</v>
      </c>
      <c r="H957" s="17"/>
    </row>
    <row r="958" spans="1:10" x14ac:dyDescent="0.25">
      <c r="A958" s="4" t="s">
        <v>484</v>
      </c>
      <c r="B958" s="38">
        <f>Yard!$F$52</f>
        <v>0</v>
      </c>
      <c r="C958" s="10"/>
      <c r="D958" s="38">
        <f>Reactive!$F$81</f>
        <v>0</v>
      </c>
      <c r="E958" s="42">
        <f>0.01*Input!$F$60*(C958*$C$952)+10*(B958*$B$952+D958*$D$952)</f>
        <v>0</v>
      </c>
      <c r="F958" s="37">
        <f t="shared" si="73"/>
        <v>0</v>
      </c>
      <c r="G958" s="46">
        <f t="shared" si="74"/>
        <v>0</v>
      </c>
      <c r="H958" s="17"/>
    </row>
    <row r="959" spans="1:10" x14ac:dyDescent="0.25">
      <c r="A959" s="4" t="s">
        <v>485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486</v>
      </c>
      <c r="B960" s="38">
        <f>Yard!$H$52</f>
        <v>0</v>
      </c>
      <c r="C960" s="10"/>
      <c r="D960" s="38">
        <f>Reactive!$H$81</f>
        <v>0</v>
      </c>
      <c r="E960" s="42">
        <f>0.01*Input!$F$60*(C960*$C$952)+10*(B960*$B$952+D960*$D$952)</f>
        <v>0</v>
      </c>
      <c r="F960" s="37">
        <f t="shared" si="73"/>
        <v>0</v>
      </c>
      <c r="G960" s="46">
        <f t="shared" si="74"/>
        <v>0</v>
      </c>
      <c r="H960" s="17"/>
    </row>
    <row r="961" spans="1:8" x14ac:dyDescent="0.25">
      <c r="A961" s="4" t="s">
        <v>487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488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1577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1578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1579</v>
      </c>
      <c r="B965" s="38">
        <f>Yard!$K$52</f>
        <v>-4.4366439610384056E-2</v>
      </c>
      <c r="C965" s="10"/>
      <c r="D965" s="38">
        <f>Reactive!$K$81</f>
        <v>8.1134087498054477E-3</v>
      </c>
      <c r="E965" s="42">
        <f>0.01*Input!$F$60*(C965*$C$952)+10*(B965*$B$952+D965*$D$952)</f>
        <v>-180532.639288718</v>
      </c>
      <c r="F965" s="37">
        <f t="shared" si="73"/>
        <v>-4.4276318006844756E-2</v>
      </c>
      <c r="G965" s="46">
        <f t="shared" si="74"/>
        <v>-714.13439434143083</v>
      </c>
      <c r="H965" s="17"/>
    </row>
    <row r="966" spans="1:8" x14ac:dyDescent="0.25">
      <c r="A966" s="4" t="s">
        <v>1580</v>
      </c>
      <c r="B966" s="38">
        <f>Yard!$L$52</f>
        <v>-9.967110580590631E-2</v>
      </c>
      <c r="C966" s="10"/>
      <c r="D966" s="38">
        <f>Reactive!$L$81</f>
        <v>1.8227120072063511E-2</v>
      </c>
      <c r="E966" s="42">
        <f>0.01*Input!$F$60*(C966*$C$952)+10*(B966*$B$952+D966*$D$952)</f>
        <v>-405574.30233265384</v>
      </c>
      <c r="F966" s="37">
        <f t="shared" si="73"/>
        <v>-9.9468643765664957E-2</v>
      </c>
      <c r="G966" s="46">
        <f t="shared" si="74"/>
        <v>-1604.3334872736123</v>
      </c>
      <c r="H966" s="17"/>
    </row>
    <row r="967" spans="1:8" x14ac:dyDescent="0.25">
      <c r="A967" s="4" t="s">
        <v>1581</v>
      </c>
      <c r="B967" s="38">
        <f>Yard!$M$52</f>
        <v>-1.5371907355480975E-2</v>
      </c>
      <c r="C967" s="10"/>
      <c r="D967" s="38">
        <f>Reactive!$M$81</f>
        <v>2.8111015608736703E-3</v>
      </c>
      <c r="E967" s="42">
        <f>0.01*Input!$F$60*(C967*$C$952)+10*(B967*$B$952+D967*$D$952)</f>
        <v>-62550.230087363438</v>
      </c>
      <c r="F967" s="37">
        <f t="shared" si="73"/>
        <v>-1.5340682381097199E-2</v>
      </c>
      <c r="G967" s="46">
        <f t="shared" si="74"/>
        <v>-247.43044169380812</v>
      </c>
      <c r="H967" s="17"/>
    </row>
    <row r="968" spans="1:8" x14ac:dyDescent="0.25">
      <c r="A968" s="4" t="s">
        <v>1582</v>
      </c>
      <c r="B968" s="38">
        <f>Yard!$N$52</f>
        <v>-3.4306166676427649E-2</v>
      </c>
      <c r="C968" s="10"/>
      <c r="D968" s="38">
        <f>Reactive!$N$81</f>
        <v>6.2736598953878221E-3</v>
      </c>
      <c r="E968" s="42">
        <f>0.01*Input!$F$60*(C968*$C$952)+10*(B968*$B$952+D968*$D$952)</f>
        <v>-139596.11968783216</v>
      </c>
      <c r="F968" s="37">
        <f t="shared" si="73"/>
        <v>-3.4236480517715863E-2</v>
      </c>
      <c r="G968" s="46">
        <f t="shared" si="74"/>
        <v>-552.20147879328022</v>
      </c>
      <c r="H968" s="17"/>
    </row>
    <row r="969" spans="1:8" x14ac:dyDescent="0.25">
      <c r="A969" s="4" t="s">
        <v>1583</v>
      </c>
      <c r="B969" s="38">
        <f>Yard!$O$52</f>
        <v>-3.4048453898278715E-2</v>
      </c>
      <c r="C969" s="10"/>
      <c r="D969" s="38">
        <f>Reactive!$O$81</f>
        <v>6.226531274575957E-3</v>
      </c>
      <c r="E969" s="42">
        <f>0.01*Input!$F$60*(C969*$C$952)+10*(B969*$B$952+D969*$D$952)</f>
        <v>-138547.45388489121</v>
      </c>
      <c r="F969" s="37">
        <f t="shared" si="73"/>
        <v>-3.3979291231851255E-2</v>
      </c>
      <c r="G969" s="46">
        <f t="shared" si="74"/>
        <v>-548.05326315205116</v>
      </c>
      <c r="H969" s="17"/>
    </row>
    <row r="970" spans="1:8" x14ac:dyDescent="0.25">
      <c r="A970" s="4" t="s">
        <v>1584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1585</v>
      </c>
      <c r="B971" s="38">
        <f>Yard!$Q$52</f>
        <v>0</v>
      </c>
      <c r="C971" s="10"/>
      <c r="D971" s="38">
        <f>Reactive!$Q$81</f>
        <v>2.4059394912381443E-2</v>
      </c>
      <c r="E971" s="42">
        <f>0.01*Input!$F$60*(C971*$C$952)+10*(B971*$B$952+D971*$D$952)</f>
        <v>1089.6687307829457</v>
      </c>
      <c r="F971" s="37">
        <f t="shared" si="73"/>
        <v>2.6724541022802E-4</v>
      </c>
      <c r="G971" s="46">
        <f t="shared" si="74"/>
        <v>4.3104112483836303</v>
      </c>
      <c r="H971" s="17"/>
    </row>
    <row r="972" spans="1:8" x14ac:dyDescent="0.25">
      <c r="A972" s="4" t="s">
        <v>1586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1587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1588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1589</v>
      </c>
      <c r="B975" s="10"/>
      <c r="C975" s="48">
        <f>Otex!$C$150</f>
        <v>41.588307092770108</v>
      </c>
      <c r="D975" s="10"/>
      <c r="E975" s="42">
        <f>0.01*Input!$F$60*(C975*$C$952)+10*(B975*$B$952+D975*$D$952)</f>
        <v>38479.383801068398</v>
      </c>
      <c r="F975" s="37">
        <f t="shared" si="73"/>
        <v>9.4372155672019006E-3</v>
      </c>
      <c r="G975" s="46">
        <f t="shared" si="74"/>
        <v>152.21320395953859</v>
      </c>
      <c r="H975" s="17"/>
    </row>
    <row r="976" spans="1:8" x14ac:dyDescent="0.25">
      <c r="A976" s="4" t="s">
        <v>1590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1591</v>
      </c>
      <c r="B977" s="38">
        <f>Adjust!$B$107</f>
        <v>-4.8876752535287338E-6</v>
      </c>
      <c r="C977" s="48">
        <f>Adjust!$E$107</f>
        <v>1.6929072298950132E-3</v>
      </c>
      <c r="D977" s="38">
        <f>Adjust!$H$107</f>
        <v>-1.1032845107354639E-4</v>
      </c>
      <c r="E977" s="42">
        <f>0.01*Input!$F$60*(C977*$C$952)+10*(B977*$B$952+D977*$D$952)</f>
        <v>-23.359556135338835</v>
      </c>
      <c r="F977" s="37">
        <f t="shared" si="73"/>
        <v>-5.7290201928136235E-6</v>
      </c>
      <c r="G977" s="46">
        <f t="shared" si="74"/>
        <v>-9.2403581637757345E-2</v>
      </c>
      <c r="H977" s="17"/>
    </row>
    <row r="979" spans="1:8" x14ac:dyDescent="0.25">
      <c r="A979" s="4" t="s">
        <v>1592</v>
      </c>
      <c r="B979" s="37">
        <f>SUM($B$955:$B$977)</f>
        <v>-0.39400000000000002</v>
      </c>
      <c r="C979" s="46">
        <f>SUM($C$955:$C$977)</f>
        <v>41.59</v>
      </c>
      <c r="D979" s="37">
        <f>SUM($D$955:$D$977)</f>
        <v>9.6000000000000002E-2</v>
      </c>
      <c r="E979" s="42">
        <f>SUM($E$955:$E$977)</f>
        <v>-1563670.118783799</v>
      </c>
      <c r="F979" s="37">
        <f>SUM($F$955:$F$977)</f>
        <v>-0.38349605760956051</v>
      </c>
      <c r="G979" s="46">
        <f>SUM($G$955:$G$977)</f>
        <v>-6185.4223016239121</v>
      </c>
    </row>
    <row r="981" spans="1:8" ht="21" customHeight="1" x14ac:dyDescent="0.3">
      <c r="A981" s="1" t="s">
        <v>210</v>
      </c>
    </row>
    <row r="983" spans="1:8" x14ac:dyDescent="0.25">
      <c r="B983" s="15" t="s">
        <v>239</v>
      </c>
      <c r="C983" s="15" t="s">
        <v>242</v>
      </c>
      <c r="D983" s="15" t="s">
        <v>1573</v>
      </c>
      <c r="E983" s="15" t="s">
        <v>1574</v>
      </c>
    </row>
    <row r="984" spans="1:8" x14ac:dyDescent="0.25">
      <c r="A984" s="4" t="s">
        <v>210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1381</v>
      </c>
      <c r="C986" s="15" t="s">
        <v>1384</v>
      </c>
      <c r="D986" s="15" t="s">
        <v>1575</v>
      </c>
      <c r="E986" s="15" t="s">
        <v>1542</v>
      </c>
      <c r="F986" s="15" t="s">
        <v>1576</v>
      </c>
    </row>
    <row r="987" spans="1:8" x14ac:dyDescent="0.25">
      <c r="A987" s="4" t="s">
        <v>481</v>
      </c>
      <c r="B987" s="38">
        <f>Yard!$C$53</f>
        <v>-0.14275147545055752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482</v>
      </c>
      <c r="B988" s="38">
        <f>Yard!$D$53</f>
        <v>-7.2652912241179387E-3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483</v>
      </c>
      <c r="B989" s="38">
        <f>Yard!$E$53</f>
        <v>-1.6214272303593284E-2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484</v>
      </c>
      <c r="B990" s="38">
        <f>Yard!$F$53</f>
        <v>0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485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486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487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488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1577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1578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1579</v>
      </c>
      <c r="B997" s="38">
        <f>Yard!$K$53</f>
        <v>-4.4366439610384056E-2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1580</v>
      </c>
      <c r="B998" s="38">
        <f>Yard!$L$53</f>
        <v>-9.967110580590631E-2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1581</v>
      </c>
      <c r="B999" s="38">
        <f>Yard!$M$53</f>
        <v>-1.5371907355480975E-2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1582</v>
      </c>
      <c r="B1000" s="38">
        <f>Yard!$N$53</f>
        <v>-3.4306166676427649E-2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1583</v>
      </c>
      <c r="B1001" s="38">
        <f>Yard!$O$53</f>
        <v>-3.4048453898278715E-2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1584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1585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1586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1587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1588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1589</v>
      </c>
      <c r="B1007" s="10"/>
      <c r="C1007" s="48">
        <f>Otex!$C$151</f>
        <v>41.588307092770108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1590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1591</v>
      </c>
      <c r="B1009" s="38">
        <f>Adjust!$B$108</f>
        <v>-4.8876752535287338E-6</v>
      </c>
      <c r="C1009" s="48">
        <f>Adjust!$E$108</f>
        <v>1.6929072298950132E-3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1592</v>
      </c>
      <c r="B1011" s="37">
        <f>SUM($B$987:$B$1009)</f>
        <v>-0.39400000000000002</v>
      </c>
      <c r="C1011" s="46">
        <f>SUM($C$987:$C$1009)</f>
        <v>41.59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211</v>
      </c>
    </row>
    <row r="1015" spans="1:11" ht="30" x14ac:dyDescent="0.25">
      <c r="B1015" s="15" t="s">
        <v>239</v>
      </c>
      <c r="C1015" s="15" t="s">
        <v>240</v>
      </c>
      <c r="D1015" s="15" t="s">
        <v>241</v>
      </c>
      <c r="E1015" s="15" t="s">
        <v>242</v>
      </c>
      <c r="F1015" s="15" t="s">
        <v>245</v>
      </c>
      <c r="G1015" s="15" t="s">
        <v>1573</v>
      </c>
      <c r="H1015" s="15" t="s">
        <v>1574</v>
      </c>
    </row>
    <row r="1016" spans="1:11" x14ac:dyDescent="0.25">
      <c r="A1016" s="4" t="s">
        <v>211</v>
      </c>
      <c r="B1016" s="44">
        <f>Loads!B$365</f>
        <v>17033.184496419741</v>
      </c>
      <c r="C1016" s="44">
        <f>Loads!C$365</f>
        <v>85342.783700691623</v>
      </c>
      <c r="D1016" s="44">
        <f>Loads!D$365</f>
        <v>115388.90048412733</v>
      </c>
      <c r="E1016" s="44">
        <f>Loads!E$365</f>
        <v>68.906400614754091</v>
      </c>
      <c r="F1016" s="44">
        <f>Loads!H$365</f>
        <v>3896.8972119000005</v>
      </c>
      <c r="G1016" s="44">
        <f>Multi!B$159</f>
        <v>217764.86868123867</v>
      </c>
      <c r="H1016" s="37">
        <f>IF(E1016,G1016/E1016,"")</f>
        <v>3160.2995765042374</v>
      </c>
      <c r="I1016" s="17"/>
    </row>
    <row r="1018" spans="1:11" ht="30" x14ac:dyDescent="0.25">
      <c r="B1018" s="15" t="s">
        <v>1381</v>
      </c>
      <c r="C1018" s="15" t="s">
        <v>1382</v>
      </c>
      <c r="D1018" s="15" t="s">
        <v>1383</v>
      </c>
      <c r="E1018" s="15" t="s">
        <v>1384</v>
      </c>
      <c r="F1018" s="15" t="s">
        <v>1138</v>
      </c>
      <c r="G1018" s="15" t="s">
        <v>1593</v>
      </c>
      <c r="H1018" s="15" t="s">
        <v>1575</v>
      </c>
      <c r="I1018" s="15" t="s">
        <v>1542</v>
      </c>
      <c r="J1018" s="15" t="s">
        <v>1576</v>
      </c>
    </row>
    <row r="1019" spans="1:11" x14ac:dyDescent="0.25">
      <c r="A1019" s="4" t="s">
        <v>481</v>
      </c>
      <c r="B1019" s="38">
        <f>Yard!$C$90</f>
        <v>-2.1253852797564523</v>
      </c>
      <c r="C1019" s="38">
        <f>Yard!$C$118</f>
        <v>-2.8255926558250512E-2</v>
      </c>
      <c r="D1019" s="38">
        <f>Yard!$C$141</f>
        <v>-8.8623213114076508E-3</v>
      </c>
      <c r="E1019" s="10"/>
      <c r="F1019" s="38">
        <f>Reactive!$C$82</f>
        <v>2.6105341788506094E-2</v>
      </c>
      <c r="G1019" s="37">
        <f t="shared" ref="G1019:G1041" si="77">IF(G$1016&lt;&gt;0,(($B1019*B$1016+$C1019*C$1016+$D1019*D$1016+$F1019*F$1016))/G$1016,0)</f>
        <v>-0.18154628403669981</v>
      </c>
      <c r="H1019" s="42">
        <f>0.01*Input!$F$60*(E1019*$E$1016)+10*(B1019*$B$1016+C1019*$C$1016+D1019*$D$1016+F1019*$F$1016)</f>
        <v>-395344.02702818793</v>
      </c>
      <c r="I1019" s="37">
        <f t="shared" ref="I1019:I1041" si="78">IF($G$1016&lt;&gt;0,0.1*H1019/$G$1016,"")</f>
        <v>-0.18154628403669984</v>
      </c>
      <c r="J1019" s="46">
        <f t="shared" ref="J1019:J1041" si="79">IF($E$1016&lt;&gt;0,H1019/$E$1016,"")</f>
        <v>-5737.406445571004</v>
      </c>
      <c r="K1019" s="17"/>
    </row>
    <row r="1020" spans="1:11" x14ac:dyDescent="0.25">
      <c r="A1020" s="4" t="s">
        <v>482</v>
      </c>
      <c r="B1020" s="38">
        <f>Yard!$D$90</f>
        <v>-0.10817081205043121</v>
      </c>
      <c r="C1020" s="38">
        <f>Yard!$D$118</f>
        <v>-1.4380764514345106E-3</v>
      </c>
      <c r="D1020" s="38">
        <f>Yard!$D$141</f>
        <v>-4.5104504206251907E-4</v>
      </c>
      <c r="E1020" s="10"/>
      <c r="F1020" s="38">
        <f>Reactive!$D$82</f>
        <v>1.3286231193058533E-3</v>
      </c>
      <c r="G1020" s="37">
        <f t="shared" si="77"/>
        <v>-9.2397407453759968E-3</v>
      </c>
      <c r="H1020" s="42">
        <f>0.01*Input!$F$60*(E1020*$E$1016)+10*(B1020*$B$1016+C1020*$C$1016+D1020*$D$1016+F1020*$F$1016)</f>
        <v>-20120.909300654941</v>
      </c>
      <c r="I1020" s="37">
        <f t="shared" si="78"/>
        <v>-9.2397407453759968E-3</v>
      </c>
      <c r="J1020" s="46">
        <f t="shared" si="79"/>
        <v>-292.00348764620708</v>
      </c>
      <c r="K1020" s="17"/>
    </row>
    <row r="1021" spans="1:11" x14ac:dyDescent="0.25">
      <c r="A1021" s="4" t="s">
        <v>483</v>
      </c>
      <c r="B1021" s="38">
        <f>Yard!$E$90</f>
        <v>-0.17163147923988639</v>
      </c>
      <c r="C1021" s="38">
        <f>Yard!$E$118</f>
        <v>-1.2189894826584948E-2</v>
      </c>
      <c r="D1021" s="38">
        <f>Yard!$E$141</f>
        <v>-2.1571599234773906E-3</v>
      </c>
      <c r="E1021" s="10"/>
      <c r="F1021" s="38">
        <f>Reactive!$E$82</f>
        <v>2.9651470781737383E-3</v>
      </c>
      <c r="G1021" s="37">
        <f t="shared" si="77"/>
        <v>-1.9291943978861144E-2</v>
      </c>
      <c r="H1021" s="42">
        <f>0.01*Input!$F$60*(E1021*$E$1016)+10*(B1021*$B$1016+C1021*$C$1016+D1021*$D$1016+F1021*$F$1016)</f>
        <v>-42011.0764716251</v>
      </c>
      <c r="I1021" s="37">
        <f t="shared" si="78"/>
        <v>-1.9291943978861144E-2</v>
      </c>
      <c r="J1021" s="46">
        <f t="shared" si="79"/>
        <v>-609.68322386338343</v>
      </c>
      <c r="K1021" s="17"/>
    </row>
    <row r="1022" spans="1:11" x14ac:dyDescent="0.25">
      <c r="A1022" s="4" t="s">
        <v>484</v>
      </c>
      <c r="B1022" s="38">
        <f>Yard!$F$90</f>
        <v>0</v>
      </c>
      <c r="C1022" s="38">
        <f>Yard!$F$118</f>
        <v>0</v>
      </c>
      <c r="D1022" s="38">
        <f>Yard!$F$141</f>
        <v>0</v>
      </c>
      <c r="E1022" s="10"/>
      <c r="F1022" s="38">
        <f>Reactive!$F$82</f>
        <v>0</v>
      </c>
      <c r="G1022" s="37">
        <f t="shared" si="77"/>
        <v>0</v>
      </c>
      <c r="H1022" s="42">
        <f>0.01*Input!$F$60*(E1022*$E$1016)+10*(B1022*$B$1016+C1022*$C$1016+D1022*$D$1016+F1022*$F$1016)</f>
        <v>0</v>
      </c>
      <c r="I1022" s="37">
        <f t="shared" si="78"/>
        <v>0</v>
      </c>
      <c r="J1022" s="46">
        <f t="shared" si="79"/>
        <v>0</v>
      </c>
      <c r="K1022" s="17"/>
    </row>
    <row r="1023" spans="1:11" x14ac:dyDescent="0.25">
      <c r="A1023" s="4" t="s">
        <v>485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486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0</v>
      </c>
      <c r="G1024" s="37">
        <f t="shared" si="77"/>
        <v>0</v>
      </c>
      <c r="H1024" s="42">
        <f>0.01*Input!$F$60*(E1024*$E$1016)+10*(B1024*$B$1016+C1024*$C$1016+D1024*$D$1016+F1024*$F$1016)</f>
        <v>0</v>
      </c>
      <c r="I1024" s="37">
        <f t="shared" si="78"/>
        <v>0</v>
      </c>
      <c r="J1024" s="46">
        <f t="shared" si="79"/>
        <v>0</v>
      </c>
      <c r="K1024" s="17"/>
    </row>
    <row r="1025" spans="1:11" x14ac:dyDescent="0.25">
      <c r="A1025" s="4" t="s">
        <v>487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488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1577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1578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1579</v>
      </c>
      <c r="B1029" s="38">
        <f>Yard!$K$90</f>
        <v>-0.74373054491910984</v>
      </c>
      <c r="C1029" s="38">
        <f>Yard!$K$118</f>
        <v>0</v>
      </c>
      <c r="D1029" s="38">
        <f>Yard!$K$141</f>
        <v>0</v>
      </c>
      <c r="E1029" s="10"/>
      <c r="F1029" s="38">
        <f>Reactive!$K$82</f>
        <v>8.1134087498054477E-3</v>
      </c>
      <c r="G1029" s="37">
        <f t="shared" si="77"/>
        <v>-5.8028104091440859E-2</v>
      </c>
      <c r="H1029" s="42">
        <f>0.01*Input!$F$60*(E1029*$E$1016)+10*(B1029*$B$1016+C1029*$C$1016+D1029*$D$1016+F1029*$F$1016)</f>
        <v>-126364.82467293867</v>
      </c>
      <c r="I1029" s="37">
        <f t="shared" si="78"/>
        <v>-5.8028104091440866E-2</v>
      </c>
      <c r="J1029" s="46">
        <f t="shared" si="79"/>
        <v>-1833.8619278552435</v>
      </c>
      <c r="K1029" s="17"/>
    </row>
    <row r="1030" spans="1:11" x14ac:dyDescent="0.25">
      <c r="A1030" s="4" t="s">
        <v>1580</v>
      </c>
      <c r="B1030" s="38">
        <f>Yard!$L$90</f>
        <v>-1.4839741615861093</v>
      </c>
      <c r="C1030" s="38">
        <f>Yard!$L$118</f>
        <v>-1.9728688875140489E-2</v>
      </c>
      <c r="D1030" s="38">
        <f>Yard!$L$141</f>
        <v>-6.1877984961436708E-3</v>
      </c>
      <c r="E1030" s="10"/>
      <c r="F1030" s="38">
        <f>Reactive!$L$82</f>
        <v>1.8227120072063511E-2</v>
      </c>
      <c r="G1030" s="37">
        <f t="shared" si="77"/>
        <v>-0.12675819165987021</v>
      </c>
      <c r="H1030" s="42">
        <f>0.01*Input!$F$60*(E1030*$E$1016)+10*(B1030*$B$1016+C1030*$C$1016+D1030*$D$1016+F1030*$F$1016)</f>
        <v>-276034.80961082916</v>
      </c>
      <c r="I1030" s="37">
        <f t="shared" si="78"/>
        <v>-0.12675819165987021</v>
      </c>
      <c r="J1030" s="46">
        <f t="shared" si="79"/>
        <v>-4005.9385942113072</v>
      </c>
      <c r="K1030" s="17"/>
    </row>
    <row r="1031" spans="1:11" x14ac:dyDescent="0.25">
      <c r="A1031" s="4" t="s">
        <v>1581</v>
      </c>
      <c r="B1031" s="38">
        <f>Yard!$M$90</f>
        <v>-0.22886786642310392</v>
      </c>
      <c r="C1031" s="38">
        <f>Yard!$M$118</f>
        <v>-3.0426829840167857E-3</v>
      </c>
      <c r="D1031" s="38">
        <f>Yard!$M$141</f>
        <v>-9.5432135971615253E-4</v>
      </c>
      <c r="E1031" s="10"/>
      <c r="F1031" s="38">
        <f>Reactive!$M$82</f>
        <v>2.8111015608736703E-3</v>
      </c>
      <c r="G1031" s="37">
        <f t="shared" si="77"/>
        <v>-1.9549448789484194E-2</v>
      </c>
      <c r="H1031" s="42">
        <f>0.01*Input!$F$60*(E1031*$E$1016)+10*(B1031*$B$1016+C1031*$C$1016+D1031*$D$1016+F1031*$F$1016)</f>
        <v>-42571.831484326256</v>
      </c>
      <c r="I1031" s="37">
        <f t="shared" si="78"/>
        <v>-1.9549448789484194E-2</v>
      </c>
      <c r="J1031" s="46">
        <f t="shared" si="79"/>
        <v>-617.82114730298167</v>
      </c>
      <c r="K1031" s="17"/>
    </row>
    <row r="1032" spans="1:11" x14ac:dyDescent="0.25">
      <c r="A1032" s="4" t="s">
        <v>1582</v>
      </c>
      <c r="B1032" s="38">
        <f>Yard!$N$90</f>
        <v>-0.36313798260440694</v>
      </c>
      <c r="C1032" s="38">
        <f>Yard!$N$118</f>
        <v>-2.5791386493260664E-2</v>
      </c>
      <c r="D1032" s="38">
        <f>Yard!$N$141</f>
        <v>-4.5641202082269882E-3</v>
      </c>
      <c r="E1032" s="10"/>
      <c r="F1032" s="38">
        <f>Reactive!$N$82</f>
        <v>6.2736598953878221E-3</v>
      </c>
      <c r="G1032" s="37">
        <f t="shared" si="77"/>
        <v>-4.0817906179141009E-2</v>
      </c>
      <c r="H1032" s="42">
        <f>0.01*Input!$F$60*(E1032*$E$1016)+10*(B1032*$B$1016+C1032*$C$1016+D1032*$D$1016+F1032*$F$1016)</f>
        <v>-88887.059789437626</v>
      </c>
      <c r="I1032" s="37">
        <f t="shared" si="78"/>
        <v>-4.0817906179141009E-2</v>
      </c>
      <c r="J1032" s="46">
        <f t="shared" si="79"/>
        <v>-1289.9681161172903</v>
      </c>
      <c r="K1032" s="17"/>
    </row>
    <row r="1033" spans="1:11" x14ac:dyDescent="0.25">
      <c r="A1033" s="4" t="s">
        <v>1583</v>
      </c>
      <c r="B1033" s="38">
        <f>Yard!$O$90</f>
        <v>-0.36041003869767235</v>
      </c>
      <c r="C1033" s="38">
        <f>Yard!$O$118</f>
        <v>-2.5597637948627773E-2</v>
      </c>
      <c r="D1033" s="38">
        <f>Yard!$O$141</f>
        <v>-4.5298338914326348E-3</v>
      </c>
      <c r="E1033" s="10"/>
      <c r="F1033" s="38">
        <f>Reactive!$O$82</f>
        <v>6.226531274575957E-3</v>
      </c>
      <c r="G1033" s="37">
        <f t="shared" si="77"/>
        <v>-4.0511276292483432E-2</v>
      </c>
      <c r="H1033" s="42">
        <f>0.01*Input!$F$60*(E1033*$E$1016)+10*(B1033*$B$1016+C1033*$C$1016+D1033*$D$1016+F1033*$F$1016)</f>
        <v>-88219.327619420335</v>
      </c>
      <c r="I1033" s="37">
        <f t="shared" si="78"/>
        <v>-4.0511276292483446E-2</v>
      </c>
      <c r="J1033" s="46">
        <f t="shared" si="79"/>
        <v>-1280.2776931078156</v>
      </c>
      <c r="K1033" s="17"/>
    </row>
    <row r="1034" spans="1:11" x14ac:dyDescent="0.25">
      <c r="A1034" s="4" t="s">
        <v>1584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1585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2.4059394912381443E-2</v>
      </c>
      <c r="G1035" s="37">
        <f t="shared" si="77"/>
        <v>4.3054230703897672E-4</v>
      </c>
      <c r="H1035" s="42">
        <f>0.01*Input!$F$60*(E1035*$E$1016)+10*(B1035*$B$1016+C1035*$C$1016+D1035*$D$1016+F1035*$F$1016)</f>
        <v>937.56988954060307</v>
      </c>
      <c r="I1035" s="37">
        <f t="shared" si="78"/>
        <v>4.3054230703897678E-4</v>
      </c>
      <c r="J1035" s="46">
        <f t="shared" si="79"/>
        <v>13.606426706024354</v>
      </c>
      <c r="K1035" s="17"/>
    </row>
    <row r="1036" spans="1:11" x14ac:dyDescent="0.25">
      <c r="A1036" s="4" t="s">
        <v>1586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1587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1588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1589</v>
      </c>
      <c r="B1039" s="10"/>
      <c r="C1039" s="10"/>
      <c r="D1039" s="10"/>
      <c r="E1039" s="48">
        <f>Otex!$C$152</f>
        <v>41.588307092770108</v>
      </c>
      <c r="F1039" s="10"/>
      <c r="G1039" s="37">
        <f t="shared" si="77"/>
        <v>0</v>
      </c>
      <c r="H1039" s="42">
        <f>0.01*Input!$F$60*(E1039*$E$1016)+10*(B1039*$B$1016+C1039*$C$1016+D1039*$D$1016+F1039*$F$1016)</f>
        <v>10488.464010891241</v>
      </c>
      <c r="I1039" s="37">
        <f t="shared" si="78"/>
        <v>4.8164169337360455E-3</v>
      </c>
      <c r="J1039" s="46">
        <f t="shared" si="79"/>
        <v>152.21320395953862</v>
      </c>
      <c r="K1039" s="17"/>
    </row>
    <row r="1040" spans="1:11" x14ac:dyDescent="0.25">
      <c r="A1040" s="4" t="s">
        <v>1590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1591</v>
      </c>
      <c r="B1041" s="38">
        <f>Adjust!$B$109</f>
        <v>3.0816527717192344E-4</v>
      </c>
      <c r="C1041" s="38">
        <f>Adjust!$C$109</f>
        <v>4.4294137315672999E-5</v>
      </c>
      <c r="D1041" s="38">
        <f>Adjust!$D$109</f>
        <v>-2.9339976753299177E-4</v>
      </c>
      <c r="E1041" s="48">
        <f>Adjust!$E$109</f>
        <v>1.6929072298950132E-3</v>
      </c>
      <c r="F1041" s="38">
        <f>Adjust!$H$109</f>
        <v>-1.1032845107354639E-4</v>
      </c>
      <c r="G1041" s="37">
        <f t="shared" si="77"/>
        <v>-1.1597735834369782E-4</v>
      </c>
      <c r="H1041" s="42">
        <f>0.01*Input!$F$60*(E1041*$E$1016)+10*(B1041*$B$1016+C1041*$C$1016+D1041*$D$1016+F1041*$F$1016)</f>
        <v>-252.13099525086363</v>
      </c>
      <c r="I1041" s="37">
        <f t="shared" si="78"/>
        <v>-1.1578129970079318E-4</v>
      </c>
      <c r="J1041" s="46">
        <f t="shared" si="79"/>
        <v>-3.6590359241152686</v>
      </c>
      <c r="K1041" s="17"/>
    </row>
    <row r="1043" spans="1:11" x14ac:dyDescent="0.25">
      <c r="A1043" s="4" t="s">
        <v>1592</v>
      </c>
      <c r="B1043" s="37">
        <f>SUM($B$1019:$B$1041)</f>
        <v>-5.585</v>
      </c>
      <c r="C1043" s="37">
        <f>SUM($C$1019:$C$1041)</f>
        <v>-0.11600000000000001</v>
      </c>
      <c r="D1043" s="37">
        <f>SUM($D$1019:$D$1041)</f>
        <v>-2.8000000000000001E-2</v>
      </c>
      <c r="E1043" s="46">
        <f>SUM($E$1019:$E$1041)</f>
        <v>41.59</v>
      </c>
      <c r="F1043" s="37">
        <f>SUM($F$1019:$F$1041)</f>
        <v>9.6000000000000002E-2</v>
      </c>
      <c r="G1043" s="37">
        <f>SUM(G$1019:G$1041)</f>
        <v>-0.49542833082466126</v>
      </c>
      <c r="H1043" s="42">
        <f>SUM($H$1019:$H$1041)</f>
        <v>-1068379.9630722392</v>
      </c>
      <c r="I1043" s="37">
        <f>SUM($I$1019:$I$1041)</f>
        <v>-0.49061171783228252</v>
      </c>
      <c r="J1043" s="46">
        <f>SUM($J$1019:$J$1041)</f>
        <v>-15504.800040933786</v>
      </c>
    </row>
    <row r="1045" spans="1:11" ht="21" customHeight="1" x14ac:dyDescent="0.3">
      <c r="A1045" s="1" t="s">
        <v>212</v>
      </c>
    </row>
    <row r="1047" spans="1:11" x14ac:dyDescent="0.25">
      <c r="B1047" s="15" t="s">
        <v>239</v>
      </c>
      <c r="C1047" s="15" t="s">
        <v>240</v>
      </c>
      <c r="D1047" s="15" t="s">
        <v>241</v>
      </c>
      <c r="E1047" s="15" t="s">
        <v>242</v>
      </c>
      <c r="F1047" s="15" t="s">
        <v>1573</v>
      </c>
      <c r="G1047" s="15" t="s">
        <v>1574</v>
      </c>
    </row>
    <row r="1048" spans="1:11" ht="30" x14ac:dyDescent="0.25">
      <c r="A1048" s="4" t="s">
        <v>212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1381</v>
      </c>
      <c r="C1050" s="15" t="s">
        <v>1382</v>
      </c>
      <c r="D1050" s="15" t="s">
        <v>1383</v>
      </c>
      <c r="E1050" s="15" t="s">
        <v>1384</v>
      </c>
      <c r="F1050" s="15" t="s">
        <v>1593</v>
      </c>
      <c r="G1050" s="15" t="s">
        <v>1575</v>
      </c>
      <c r="H1050" s="15" t="s">
        <v>1542</v>
      </c>
      <c r="I1050" s="15" t="s">
        <v>1576</v>
      </c>
    </row>
    <row r="1051" spans="1:11" x14ac:dyDescent="0.25">
      <c r="A1051" s="4" t="s">
        <v>481</v>
      </c>
      <c r="B1051" s="38">
        <f>Yard!$C$91</f>
        <v>-2.1253852797564523</v>
      </c>
      <c r="C1051" s="38">
        <f>Yard!$C$119</f>
        <v>-2.8255926558250512E-2</v>
      </c>
      <c r="D1051" s="38">
        <f>Yard!$C$142</f>
        <v>-8.8623213114076508E-3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482</v>
      </c>
      <c r="B1052" s="38">
        <f>Yard!$D$91</f>
        <v>-0.10817081205043121</v>
      </c>
      <c r="C1052" s="38">
        <f>Yard!$D$119</f>
        <v>-1.4380764514345106E-3</v>
      </c>
      <c r="D1052" s="38">
        <f>Yard!$D$142</f>
        <v>-4.5104504206251907E-4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483</v>
      </c>
      <c r="B1053" s="38">
        <f>Yard!$E$91</f>
        <v>-0.17163147923988639</v>
      </c>
      <c r="C1053" s="38">
        <f>Yard!$E$119</f>
        <v>-1.2189894826584948E-2</v>
      </c>
      <c r="D1053" s="38">
        <f>Yard!$E$142</f>
        <v>-2.1571599234773906E-3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484</v>
      </c>
      <c r="B1054" s="38">
        <f>Yard!$F$91</f>
        <v>0</v>
      </c>
      <c r="C1054" s="38">
        <f>Yard!$F$119</f>
        <v>0</v>
      </c>
      <c r="D1054" s="38">
        <f>Yard!$F$142</f>
        <v>0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485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486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487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488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1577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1578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1579</v>
      </c>
      <c r="B1061" s="38">
        <f>Yard!$K$91</f>
        <v>-0.74373054491910984</v>
      </c>
      <c r="C1061" s="38">
        <f>Yard!$K$119</f>
        <v>0</v>
      </c>
      <c r="D1061" s="38">
        <f>Yard!$K$142</f>
        <v>0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1580</v>
      </c>
      <c r="B1062" s="38">
        <f>Yard!$L$91</f>
        <v>-1.4839741615861093</v>
      </c>
      <c r="C1062" s="38">
        <f>Yard!$L$119</f>
        <v>-1.9728688875140489E-2</v>
      </c>
      <c r="D1062" s="38">
        <f>Yard!$L$142</f>
        <v>-6.1877984961436708E-3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1581</v>
      </c>
      <c r="B1063" s="38">
        <f>Yard!$M$91</f>
        <v>-0.22886786642310392</v>
      </c>
      <c r="C1063" s="38">
        <f>Yard!$M$119</f>
        <v>-3.0426829840167857E-3</v>
      </c>
      <c r="D1063" s="38">
        <f>Yard!$M$142</f>
        <v>-9.5432135971615253E-4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1582</v>
      </c>
      <c r="B1064" s="38">
        <f>Yard!$N$91</f>
        <v>-0.36313798260440694</v>
      </c>
      <c r="C1064" s="38">
        <f>Yard!$N$119</f>
        <v>-2.5791386493260664E-2</v>
      </c>
      <c r="D1064" s="38">
        <f>Yard!$N$142</f>
        <v>-4.5641202082269882E-3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1583</v>
      </c>
      <c r="B1065" s="38">
        <f>Yard!$O$91</f>
        <v>-0.36041003869767235</v>
      </c>
      <c r="C1065" s="38">
        <f>Yard!$O$119</f>
        <v>-2.5597637948627773E-2</v>
      </c>
      <c r="D1065" s="38">
        <f>Yard!$O$142</f>
        <v>-4.5298338914326348E-3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1584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1585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1586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1587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1588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1589</v>
      </c>
      <c r="B1071" s="10"/>
      <c r="C1071" s="10"/>
      <c r="D1071" s="10"/>
      <c r="E1071" s="48">
        <f>Otex!$C$153</f>
        <v>41.588307092770108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1590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1591</v>
      </c>
      <c r="B1073" s="38">
        <f>Adjust!$B$110</f>
        <v>3.0816527717192344E-4</v>
      </c>
      <c r="C1073" s="38">
        <f>Adjust!$C$110</f>
        <v>4.4294137315672999E-5</v>
      </c>
      <c r="D1073" s="38">
        <f>Adjust!$D$110</f>
        <v>-2.9339976753299177E-4</v>
      </c>
      <c r="E1073" s="48">
        <f>Adjust!$E$110</f>
        <v>1.6929072298950132E-3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1592</v>
      </c>
      <c r="B1075" s="37">
        <f>SUM($B$1051:$B$1073)</f>
        <v>-5.585</v>
      </c>
      <c r="C1075" s="37">
        <f>SUM($C$1051:$C$1073)</f>
        <v>-0.11600000000000001</v>
      </c>
      <c r="D1075" s="37">
        <f>SUM($D$1051:$D$1073)</f>
        <v>-2.8000000000000001E-2</v>
      </c>
      <c r="E1075" s="46">
        <f>SUM($E$1051:$E$1073)</f>
        <v>41.59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South West in April 19 (no data version)</v>
      </c>
    </row>
    <row r="2" spans="1:26" x14ac:dyDescent="0.25">
      <c r="A2" s="2" t="s">
        <v>1482</v>
      </c>
    </row>
    <row r="4" spans="1:26" ht="21" customHeight="1" x14ac:dyDescent="0.3">
      <c r="A4" s="1" t="s">
        <v>1596</v>
      </c>
    </row>
    <row r="6" spans="1:26" x14ac:dyDescent="0.25">
      <c r="B6" s="35" t="s">
        <v>1597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335</v>
      </c>
      <c r="C7" s="15" t="s">
        <v>336</v>
      </c>
      <c r="D7" s="15" t="s">
        <v>337</v>
      </c>
      <c r="E7" s="15" t="s">
        <v>338</v>
      </c>
      <c r="F7" s="15" t="s">
        <v>339</v>
      </c>
      <c r="G7" s="15" t="s">
        <v>340</v>
      </c>
      <c r="H7" s="15" t="s">
        <v>341</v>
      </c>
      <c r="I7" s="15" t="s">
        <v>342</v>
      </c>
      <c r="J7" s="15" t="s">
        <v>493</v>
      </c>
      <c r="K7" s="15" t="s">
        <v>505</v>
      </c>
      <c r="L7" s="15" t="s">
        <v>323</v>
      </c>
      <c r="M7" s="15" t="s">
        <v>911</v>
      </c>
      <c r="N7" s="15" t="s">
        <v>912</v>
      </c>
      <c r="O7" s="15" t="s">
        <v>913</v>
      </c>
      <c r="P7" s="15" t="s">
        <v>914</v>
      </c>
      <c r="Q7" s="15" t="s">
        <v>915</v>
      </c>
      <c r="R7" s="15" t="s">
        <v>916</v>
      </c>
      <c r="S7" s="15" t="s">
        <v>917</v>
      </c>
      <c r="T7" s="15" t="s">
        <v>918</v>
      </c>
      <c r="U7" s="15" t="s">
        <v>919</v>
      </c>
      <c r="V7" s="15" t="s">
        <v>920</v>
      </c>
      <c r="W7" s="15" t="s">
        <v>1590</v>
      </c>
      <c r="X7" s="15" t="s">
        <v>1591</v>
      </c>
      <c r="Y7" s="15" t="s">
        <v>1598</v>
      </c>
    </row>
    <row r="8" spans="1:26" x14ac:dyDescent="0.25">
      <c r="A8" s="4" t="s">
        <v>182</v>
      </c>
      <c r="B8" s="44">
        <f>'M-ATW'!$D$45</f>
        <v>13598904.867923904</v>
      </c>
      <c r="C8" s="44">
        <f>'M-ATW'!$D$46</f>
        <v>2097308.9851415912</v>
      </c>
      <c r="D8" s="44">
        <f>'M-ATW'!$D$47</f>
        <v>4375725.3394479267</v>
      </c>
      <c r="E8" s="44">
        <f>'M-ATW'!$D$48</f>
        <v>825142.31159722793</v>
      </c>
      <c r="F8" s="44">
        <f>'M-ATW'!$D$49</f>
        <v>0</v>
      </c>
      <c r="G8" s="44">
        <f>'M-ATW'!$D$50</f>
        <v>3188360.2375361095</v>
      </c>
      <c r="H8" s="44">
        <f>'M-ATW'!$D$51</f>
        <v>349454.87958696473</v>
      </c>
      <c r="I8" s="44">
        <f>'M-ATW'!$D$52</f>
        <v>908360.63853570772</v>
      </c>
      <c r="J8" s="44">
        <f>'M-ATW'!$D$53</f>
        <v>0</v>
      </c>
      <c r="K8" s="44">
        <f>'M-ATW'!$D$54</f>
        <v>0</v>
      </c>
      <c r="L8" s="44">
        <f>'M-ATW'!$D$55</f>
        <v>4363920.1864560582</v>
      </c>
      <c r="M8" s="44">
        <f>'M-ATW'!$D$56</f>
        <v>9494948.3475198932</v>
      </c>
      <c r="N8" s="44">
        <f>'M-ATW'!$D$57</f>
        <v>1464370.8942828239</v>
      </c>
      <c r="O8" s="44">
        <f>'M-ATW'!$D$58</f>
        <v>3055193.5236337082</v>
      </c>
      <c r="P8" s="44">
        <f>'M-ATW'!$D$59</f>
        <v>3032242.477596283</v>
      </c>
      <c r="Q8" s="44">
        <f>'M-ATW'!$D$60</f>
        <v>0</v>
      </c>
      <c r="R8" s="44">
        <f>'M-ATW'!$D$61</f>
        <v>11716622.951284422</v>
      </c>
      <c r="S8" s="44">
        <f>'M-ATW'!$D$62</f>
        <v>4879887.1139887106</v>
      </c>
      <c r="T8" s="44">
        <f>'M-ATW'!$D$63</f>
        <v>12684605.749629674</v>
      </c>
      <c r="U8" s="44">
        <f>'M-ATW'!$D$64</f>
        <v>9961284.1917033624</v>
      </c>
      <c r="V8" s="44">
        <f>'M-ATW'!$D$65</f>
        <v>0</v>
      </c>
      <c r="W8" s="44">
        <f>'M-ATW'!$D$66</f>
        <v>57578727.507873699</v>
      </c>
      <c r="X8" s="44">
        <f>'M-ATW'!$D$67</f>
        <v>-880.34351541686556</v>
      </c>
      <c r="Y8" s="42">
        <f t="shared" ref="Y8:Y40" si="0">SUM($B8:$X8)</f>
        <v>143574179.86022267</v>
      </c>
      <c r="Z8" s="17"/>
    </row>
    <row r="9" spans="1:26" x14ac:dyDescent="0.25">
      <c r="A9" s="4" t="s">
        <v>183</v>
      </c>
      <c r="B9" s="44">
        <f>'M-ATW'!$F$77</f>
        <v>2440040.1340716761</v>
      </c>
      <c r="C9" s="44">
        <f>'M-ATW'!$F$78</f>
        <v>376318.39820906776</v>
      </c>
      <c r="D9" s="44">
        <f>'M-ATW'!$F$79</f>
        <v>811926.49913750531</v>
      </c>
      <c r="E9" s="44">
        <f>'M-ATW'!$F$80</f>
        <v>153107.16655490367</v>
      </c>
      <c r="F9" s="44">
        <f>'M-ATW'!$F$81</f>
        <v>0</v>
      </c>
      <c r="G9" s="44">
        <f>'M-ATW'!$F$82</f>
        <v>591608.01120541303</v>
      </c>
      <c r="H9" s="44">
        <f>'M-ATW'!$F$83</f>
        <v>64842.204429896963</v>
      </c>
      <c r="I9" s="44">
        <f>'M-ATW'!$F$84</f>
        <v>145265.55210801249</v>
      </c>
      <c r="J9" s="44">
        <f>'M-ATW'!$F$85</f>
        <v>0</v>
      </c>
      <c r="K9" s="44">
        <f>'M-ATW'!$F$86</f>
        <v>0</v>
      </c>
      <c r="L9" s="44">
        <f>'M-ATW'!$F$87</f>
        <v>762579.6961475797</v>
      </c>
      <c r="M9" s="44">
        <f>'M-ATW'!$F$88</f>
        <v>1703670.6458277521</v>
      </c>
      <c r="N9" s="44">
        <f>'M-ATW'!$F$89</f>
        <v>262750.84559526131</v>
      </c>
      <c r="O9" s="44">
        <f>'M-ATW'!$F$90</f>
        <v>566898.60295126867</v>
      </c>
      <c r="P9" s="44">
        <f>'M-ATW'!$F$91</f>
        <v>562639.98043382785</v>
      </c>
      <c r="Q9" s="44">
        <f>'M-ATW'!$F$92</f>
        <v>0</v>
      </c>
      <c r="R9" s="44">
        <f>'M-ATW'!$F$93</f>
        <v>2174047.9387014587</v>
      </c>
      <c r="S9" s="44">
        <f>'M-ATW'!$F$94</f>
        <v>905474.94490295544</v>
      </c>
      <c r="T9" s="44">
        <f>'M-ATW'!$F$95</f>
        <v>2028529.3960587992</v>
      </c>
      <c r="U9" s="44">
        <f>'M-ATW'!$F$96</f>
        <v>1593014.257140473</v>
      </c>
      <c r="V9" s="44">
        <f>'M-ATW'!$F$97</f>
        <v>0</v>
      </c>
      <c r="W9" s="44">
        <f>'M-ATW'!$F$98</f>
        <v>16402754.62775345</v>
      </c>
      <c r="X9" s="44">
        <f>'M-ATW'!$F$99</f>
        <v>514.25617622359505</v>
      </c>
      <c r="Y9" s="42">
        <f t="shared" si="0"/>
        <v>31545983.157405522</v>
      </c>
      <c r="Z9" s="17"/>
    </row>
    <row r="10" spans="1:26" x14ac:dyDescent="0.25">
      <c r="A10" s="4" t="s">
        <v>228</v>
      </c>
      <c r="B10" s="44">
        <f>'M-ATW'!$C$109</f>
        <v>7012.3463288303992</v>
      </c>
      <c r="C10" s="44">
        <f>'M-ATW'!$C$110</f>
        <v>1081.4883334518038</v>
      </c>
      <c r="D10" s="44">
        <f>'M-ATW'!$C$111</f>
        <v>5346.2544613749878</v>
      </c>
      <c r="E10" s="44">
        <f>'M-ATW'!$C$112</f>
        <v>1008.1576018668775</v>
      </c>
      <c r="F10" s="44">
        <f>'M-ATW'!$C$113</f>
        <v>0</v>
      </c>
      <c r="G10" s="44">
        <f>'M-ATW'!$C$114</f>
        <v>3895.5336137593722</v>
      </c>
      <c r="H10" s="44">
        <f>'M-ATW'!$C$115</f>
        <v>426.96343214192331</v>
      </c>
      <c r="I10" s="44">
        <f>'M-ATW'!$C$116</f>
        <v>0</v>
      </c>
      <c r="J10" s="10"/>
      <c r="K10" s="10"/>
      <c r="L10" s="44">
        <f>'M-ATW'!$C$117</f>
        <v>507.77822922879204</v>
      </c>
      <c r="M10" s="44">
        <f>'M-ATW'!$C$118</f>
        <v>4896.1197121257755</v>
      </c>
      <c r="N10" s="44">
        <f>'M-ATW'!$C$119</f>
        <v>755.11050075739888</v>
      </c>
      <c r="O10" s="44">
        <f>'M-ATW'!$C$120</f>
        <v>3732.8307283910731</v>
      </c>
      <c r="P10" s="44">
        <f>'M-ATW'!$C$121</f>
        <v>3704.7891757907255</v>
      </c>
      <c r="Q10" s="44">
        <f>'M-ATW'!$C$122</f>
        <v>0</v>
      </c>
      <c r="R10" s="44">
        <f>'M-ATW'!$C$123</f>
        <v>14315.351825408685</v>
      </c>
      <c r="S10" s="44">
        <f>'M-ATW'!$C$124</f>
        <v>5962.2385388247512</v>
      </c>
      <c r="T10" s="44">
        <f>'M-ATW'!$C$125</f>
        <v>0</v>
      </c>
      <c r="U10" s="10"/>
      <c r="V10" s="10"/>
      <c r="W10" s="44">
        <f>'M-ATW'!$C$126</f>
        <v>654292.22486334865</v>
      </c>
      <c r="X10" s="44">
        <f>'M-ATW'!$C$127</f>
        <v>144.18006708546301</v>
      </c>
      <c r="Y10" s="42">
        <f t="shared" si="0"/>
        <v>707081.36741238669</v>
      </c>
      <c r="Z10" s="17"/>
    </row>
    <row r="11" spans="1:26" x14ac:dyDescent="0.25">
      <c r="A11" s="4" t="s">
        <v>184</v>
      </c>
      <c r="B11" s="44">
        <f>'M-ATW'!$D$137</f>
        <v>2951171.8927875259</v>
      </c>
      <c r="C11" s="44">
        <f>'M-ATW'!$D$138</f>
        <v>455148.36580995406</v>
      </c>
      <c r="D11" s="44">
        <f>'M-ATW'!$D$139</f>
        <v>1081270.6480487788</v>
      </c>
      <c r="E11" s="44">
        <f>'M-ATW'!$D$140</f>
        <v>203898.11809023848</v>
      </c>
      <c r="F11" s="44">
        <f>'M-ATW'!$D$141</f>
        <v>0</v>
      </c>
      <c r="G11" s="44">
        <f>'M-ATW'!$D$142</f>
        <v>787864.88474813337</v>
      </c>
      <c r="H11" s="44">
        <f>'M-ATW'!$D$143</f>
        <v>86352.610093776661</v>
      </c>
      <c r="I11" s="44">
        <f>'M-ATW'!$D$144</f>
        <v>78020.764325865763</v>
      </c>
      <c r="J11" s="44">
        <f>'M-ATW'!$D$145</f>
        <v>0</v>
      </c>
      <c r="K11" s="44">
        <f>'M-ATW'!$D$146</f>
        <v>0</v>
      </c>
      <c r="L11" s="44">
        <f>'M-ATW'!$D$147</f>
        <v>902415.85271236824</v>
      </c>
      <c r="M11" s="44">
        <f>'M-ATW'!$D$148</f>
        <v>2060550.0927331639</v>
      </c>
      <c r="N11" s="44">
        <f>'M-ATW'!$D$149</f>
        <v>317791.04757303651</v>
      </c>
      <c r="O11" s="44">
        <f>'M-ATW'!$D$150</f>
        <v>754958.50972004654</v>
      </c>
      <c r="P11" s="44">
        <f>'M-ATW'!$D$151</f>
        <v>749287.15457383543</v>
      </c>
      <c r="Q11" s="44">
        <f>'M-ATW'!$D$152</f>
        <v>0</v>
      </c>
      <c r="R11" s="44">
        <f>'M-ATW'!$D$153</f>
        <v>2895254.9597358629</v>
      </c>
      <c r="S11" s="44">
        <f>'M-ATW'!$D$154</f>
        <v>1205852.3542552094</v>
      </c>
      <c r="T11" s="44">
        <f>'M-ATW'!$D$155</f>
        <v>1089504.0953708992</v>
      </c>
      <c r="U11" s="44">
        <f>'M-ATW'!$D$156</f>
        <v>2608928.4402999897</v>
      </c>
      <c r="V11" s="44">
        <f>'M-ATW'!$D$157</f>
        <v>0</v>
      </c>
      <c r="W11" s="44">
        <f>'M-ATW'!$D$158</f>
        <v>15750697.615005061</v>
      </c>
      <c r="X11" s="44">
        <f>'M-ATW'!$D$159</f>
        <v>-2744.6994370690195</v>
      </c>
      <c r="Y11" s="42">
        <f t="shared" si="0"/>
        <v>33976222.706446677</v>
      </c>
      <c r="Z11" s="17"/>
    </row>
    <row r="12" spans="1:26" x14ac:dyDescent="0.25">
      <c r="A12" s="4" t="s">
        <v>185</v>
      </c>
      <c r="B12" s="44">
        <f>'M-ATW'!$F$169</f>
        <v>1209486.4211179784</v>
      </c>
      <c r="C12" s="44">
        <f>'M-ATW'!$F$170</f>
        <v>186534.63371162966</v>
      </c>
      <c r="D12" s="44">
        <f>'M-ATW'!$F$171</f>
        <v>430986.5394790381</v>
      </c>
      <c r="E12" s="44">
        <f>'M-ATW'!$F$172</f>
        <v>81272.292446465959</v>
      </c>
      <c r="F12" s="44">
        <f>'M-ATW'!$F$173</f>
        <v>0</v>
      </c>
      <c r="G12" s="44">
        <f>'M-ATW'!$F$174</f>
        <v>314037.15699432429</v>
      </c>
      <c r="H12" s="44">
        <f>'M-ATW'!$F$175</f>
        <v>34419.516211283037</v>
      </c>
      <c r="I12" s="44">
        <f>'M-ATW'!$F$176</f>
        <v>21414.28526043077</v>
      </c>
      <c r="J12" s="44">
        <f>'M-ATW'!$F$177</f>
        <v>0</v>
      </c>
      <c r="K12" s="44">
        <f>'M-ATW'!$F$178</f>
        <v>0</v>
      </c>
      <c r="L12" s="44">
        <f>'M-ATW'!$F$179</f>
        <v>371736.7549277714</v>
      </c>
      <c r="M12" s="44">
        <f>'M-ATW'!$F$180</f>
        <v>844480.58186137769</v>
      </c>
      <c r="N12" s="44">
        <f>'M-ATW'!$F$181</f>
        <v>130241.1281876891</v>
      </c>
      <c r="O12" s="44">
        <f>'M-ATW'!$F$182</f>
        <v>300920.91757198609</v>
      </c>
      <c r="P12" s="44">
        <f>'M-ATW'!$F$183</f>
        <v>298660.35706104193</v>
      </c>
      <c r="Q12" s="44">
        <f>'M-ATW'!$F$184</f>
        <v>0</v>
      </c>
      <c r="R12" s="44">
        <f>'M-ATW'!$F$185</f>
        <v>1154027.3642476506</v>
      </c>
      <c r="S12" s="44">
        <f>'M-ATW'!$F$186</f>
        <v>480643.89264699473</v>
      </c>
      <c r="T12" s="44">
        <f>'M-ATW'!$F$187</f>
        <v>299035.15675948374</v>
      </c>
      <c r="U12" s="44">
        <f>'M-ATW'!$F$188</f>
        <v>716070.11706898909</v>
      </c>
      <c r="V12" s="44">
        <f>'M-ATW'!$F$189</f>
        <v>0</v>
      </c>
      <c r="W12" s="44">
        <f>'M-ATW'!$F$190</f>
        <v>7656074.1575167794</v>
      </c>
      <c r="X12" s="44">
        <f>'M-ATW'!$F$191</f>
        <v>501.10116295678597</v>
      </c>
      <c r="Y12" s="42">
        <f t="shared" si="0"/>
        <v>14530542.37423387</v>
      </c>
      <c r="Z12" s="17"/>
    </row>
    <row r="13" spans="1:26" x14ac:dyDescent="0.25">
      <c r="A13" s="4" t="s">
        <v>229</v>
      </c>
      <c r="B13" s="44">
        <f>'M-ATW'!$C$201</f>
        <v>2975.0424175240191</v>
      </c>
      <c r="C13" s="44">
        <f>'M-ATW'!$C$202</f>
        <v>458.8298288759969</v>
      </c>
      <c r="D13" s="44">
        <f>'M-ATW'!$C$203</f>
        <v>2128.3339226780113</v>
      </c>
      <c r="E13" s="44">
        <f>'M-ATW'!$C$204</f>
        <v>401.34565965031578</v>
      </c>
      <c r="F13" s="44">
        <f>'M-ATW'!$C$205</f>
        <v>0</v>
      </c>
      <c r="G13" s="44">
        <f>'M-ATW'!$C$206</f>
        <v>1550.8046609072544</v>
      </c>
      <c r="H13" s="44">
        <f>'M-ATW'!$C$207</f>
        <v>169.97334543948651</v>
      </c>
      <c r="I13" s="44">
        <f>'M-ATW'!$C$208</f>
        <v>0</v>
      </c>
      <c r="J13" s="10"/>
      <c r="K13" s="10"/>
      <c r="L13" s="44">
        <f>'M-ATW'!$C$209</f>
        <v>304.43346658022188</v>
      </c>
      <c r="M13" s="44">
        <f>'M-ATW'!$C$210</f>
        <v>2077.216831827413</v>
      </c>
      <c r="N13" s="44">
        <f>'M-ATW'!$C$211</f>
        <v>320.36149732578303</v>
      </c>
      <c r="O13" s="44">
        <f>'M-ATW'!$C$212</f>
        <v>1486.0329459152442</v>
      </c>
      <c r="P13" s="44">
        <f>'M-ATW'!$C$213</f>
        <v>1474.8696561625652</v>
      </c>
      <c r="Q13" s="44">
        <f>'M-ATW'!$C$214</f>
        <v>0</v>
      </c>
      <c r="R13" s="44">
        <f>'M-ATW'!$C$215</f>
        <v>5698.9148431314961</v>
      </c>
      <c r="S13" s="44">
        <f>'M-ATW'!$C$216</f>
        <v>2373.5560342212543</v>
      </c>
      <c r="T13" s="44">
        <f>'M-ATW'!$C$217</f>
        <v>0</v>
      </c>
      <c r="U13" s="10"/>
      <c r="V13" s="10"/>
      <c r="W13" s="44">
        <f>'M-ATW'!$C$218</f>
        <v>246704.39403837171</v>
      </c>
      <c r="X13" s="44">
        <f>'M-ATW'!$C$219</f>
        <v>-19.583993544425972</v>
      </c>
      <c r="Y13" s="42">
        <f t="shared" si="0"/>
        <v>268104.52515506634</v>
      </c>
      <c r="Z13" s="17"/>
    </row>
    <row r="14" spans="1:26" x14ac:dyDescent="0.25">
      <c r="A14" s="4" t="s">
        <v>186</v>
      </c>
      <c r="B14" s="44">
        <f>'M-ATW'!$F$229</f>
        <v>161493.532151463</v>
      </c>
      <c r="C14" s="44">
        <f>'M-ATW'!$F$230</f>
        <v>24906.552352051578</v>
      </c>
      <c r="D14" s="44">
        <f>'M-ATW'!$F$231</f>
        <v>56599.045292411436</v>
      </c>
      <c r="E14" s="44">
        <f>'M-ATW'!$F$232</f>
        <v>10673.034398605303</v>
      </c>
      <c r="F14" s="44">
        <f>'M-ATW'!$F$233</f>
        <v>0</v>
      </c>
      <c r="G14" s="44">
        <f>'M-ATW'!$F$234</f>
        <v>41240.738733294871</v>
      </c>
      <c r="H14" s="44">
        <f>'M-ATW'!$F$235</f>
        <v>4520.1220421874659</v>
      </c>
      <c r="I14" s="44">
        <f>'M-ATW'!$F$236</f>
        <v>7162.553335490933</v>
      </c>
      <c r="J14" s="44">
        <f>'M-ATW'!$F$237</f>
        <v>0</v>
      </c>
      <c r="K14" s="44">
        <f>'M-ATW'!$F$238</f>
        <v>0</v>
      </c>
      <c r="L14" s="44">
        <f>'M-ATW'!$F$239</f>
        <v>50145.711244038604</v>
      </c>
      <c r="M14" s="44">
        <f>'M-ATW'!$F$240</f>
        <v>112757.07574464257</v>
      </c>
      <c r="N14" s="44">
        <f>'M-ATW'!$F$241</f>
        <v>17390.10827668459</v>
      </c>
      <c r="O14" s="44">
        <f>'M-ATW'!$F$242</f>
        <v>39518.256564760377</v>
      </c>
      <c r="P14" s="44">
        <f>'M-ATW'!$F$243</f>
        <v>39221.389829897096</v>
      </c>
      <c r="Q14" s="44">
        <f>'M-ATW'!$F$244</f>
        <v>0</v>
      </c>
      <c r="R14" s="44">
        <f>'M-ATW'!$F$245</f>
        <v>151551.94205528498</v>
      </c>
      <c r="S14" s="44">
        <f>'M-ATW'!$F$246</f>
        <v>63120.267009571719</v>
      </c>
      <c r="T14" s="44">
        <f>'M-ATW'!$F$247</f>
        <v>100019.92751233243</v>
      </c>
      <c r="U14" s="44">
        <f>'M-ATW'!$F$248</f>
        <v>50288.80060465385</v>
      </c>
      <c r="V14" s="44">
        <f>'M-ATW'!$F$249</f>
        <v>0</v>
      </c>
      <c r="W14" s="44">
        <f>'M-ATW'!$F$250</f>
        <v>1007865.7362876303</v>
      </c>
      <c r="X14" s="44">
        <f>'M-ATW'!$F$251</f>
        <v>-41.356394783245122</v>
      </c>
      <c r="Y14" s="42">
        <f t="shared" si="0"/>
        <v>1938433.4370402179</v>
      </c>
      <c r="Z14" s="17"/>
    </row>
    <row r="15" spans="1:26" x14ac:dyDescent="0.25">
      <c r="A15" s="4" t="s">
        <v>187</v>
      </c>
      <c r="B15" s="44">
        <f>'M-ATW'!$F$261</f>
        <v>28046.305873898847</v>
      </c>
      <c r="C15" s="44">
        <f>'M-ATW'!$F$262</f>
        <v>4325.4784029044777</v>
      </c>
      <c r="D15" s="44">
        <f>'M-ATW'!$F$263</f>
        <v>9849.4472976774214</v>
      </c>
      <c r="E15" s="44">
        <f>'M-ATW'!$F$264</f>
        <v>1857.3368026307619</v>
      </c>
      <c r="F15" s="44">
        <f>'M-ATW'!$F$265</f>
        <v>0</v>
      </c>
      <c r="G15" s="44">
        <f>'M-ATW'!$F$266</f>
        <v>7176.7726924067574</v>
      </c>
      <c r="H15" s="44">
        <f>'M-ATW'!$F$267</f>
        <v>591.44349850984338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8698.5284745820936</v>
      </c>
      <c r="M15" s="44">
        <f>'M-ATW'!$F$272</f>
        <v>19582.328738804394</v>
      </c>
      <c r="N15" s="44">
        <f>'M-ATW'!$F$273</f>
        <v>3020.1103995340241</v>
      </c>
      <c r="O15" s="44">
        <f>'M-ATW'!$F$274</f>
        <v>6877.0238670949584</v>
      </c>
      <c r="P15" s="44">
        <f>'M-ATW'!$F$275</f>
        <v>6825.3626907559701</v>
      </c>
      <c r="Q15" s="44">
        <f>'M-ATW'!$F$276</f>
        <v>0</v>
      </c>
      <c r="R15" s="44">
        <f>'M-ATW'!$F$277</f>
        <v>26373.287012569566</v>
      </c>
      <c r="S15" s="44">
        <f>'M-ATW'!$F$278</f>
        <v>8259.0848650958251</v>
      </c>
      <c r="T15" s="44">
        <f>'M-ATW'!$F$279</f>
        <v>0</v>
      </c>
      <c r="U15" s="44">
        <f>'M-ATW'!$F$280</f>
        <v>3014.1627779284349</v>
      </c>
      <c r="V15" s="44">
        <f>'M-ATW'!$F$281</f>
        <v>0</v>
      </c>
      <c r="W15" s="44">
        <f>'M-ATW'!$F$282</f>
        <v>183268.34762534124</v>
      </c>
      <c r="X15" s="44">
        <f>'M-ATW'!$F$283</f>
        <v>-29.353456270214487</v>
      </c>
      <c r="Y15" s="42">
        <f t="shared" si="0"/>
        <v>317735.66756346438</v>
      </c>
      <c r="Z15" s="17"/>
    </row>
    <row r="16" spans="1:26" x14ac:dyDescent="0.25">
      <c r="A16" s="4" t="s">
        <v>207</v>
      </c>
      <c r="B16" s="44">
        <f>'M-ATW'!$F$293</f>
        <v>1393.4740740306952</v>
      </c>
      <c r="C16" s="44">
        <f>'M-ATW'!$F$294</f>
        <v>70.920422567524085</v>
      </c>
      <c r="D16" s="44">
        <f>'M-ATW'!$F$295</f>
        <v>173.74774713732972</v>
      </c>
      <c r="E16" s="44">
        <f>'M-ATW'!$F$296</f>
        <v>0</v>
      </c>
      <c r="F16" s="44">
        <f>'M-ATW'!$F$297</f>
        <v>0</v>
      </c>
      <c r="G16" s="44">
        <f>'M-ATW'!$F$298</f>
        <v>0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427.12786685535013</v>
      </c>
      <c r="M16" s="44">
        <f>'M-ATW'!$F$304</f>
        <v>972.94337191355669</v>
      </c>
      <c r="N16" s="44">
        <f>'M-ATW'!$F$305</f>
        <v>150.05347090568949</v>
      </c>
      <c r="O16" s="44">
        <f>'M-ATW'!$F$306</f>
        <v>367.61558344040458</v>
      </c>
      <c r="P16" s="44">
        <f>'M-ATW'!$F$307</f>
        <v>436.33954461186482</v>
      </c>
      <c r="Q16" s="44">
        <f>'M-ATW'!$F$308</f>
        <v>0</v>
      </c>
      <c r="R16" s="44">
        <f>'M-ATW'!$F$309</f>
        <v>1230.6726066768972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4286.4790553166786</v>
      </c>
      <c r="W16" s="44">
        <f>'M-ATW'!$F$314</f>
        <v>8713.4686198620439</v>
      </c>
      <c r="X16" s="44">
        <f>'M-ATW'!$F$315</f>
        <v>-0.23643696770435024</v>
      </c>
      <c r="Y16" s="42">
        <f t="shared" si="0"/>
        <v>18222.60592635033</v>
      </c>
      <c r="Z16" s="17"/>
    </row>
    <row r="17" spans="1:26" x14ac:dyDescent="0.25">
      <c r="A17" s="4" t="s">
        <v>188</v>
      </c>
      <c r="B17" s="44">
        <f>'M-ATW'!$G$325</f>
        <v>658.87081985359214</v>
      </c>
      <c r="C17" s="44">
        <f>'M-ATW'!$G$326</f>
        <v>101.61521857439891</v>
      </c>
      <c r="D17" s="44">
        <f>'M-ATW'!$G$327</f>
        <v>237.69614541533048</v>
      </c>
      <c r="E17" s="44">
        <f>'M-ATW'!$G$328</f>
        <v>44.823002284348632</v>
      </c>
      <c r="F17" s="44">
        <f>'M-ATW'!$G$329</f>
        <v>0</v>
      </c>
      <c r="G17" s="44">
        <f>'M-ATW'!$G$330</f>
        <v>173.19664281155679</v>
      </c>
      <c r="H17" s="44">
        <f>'M-ATW'!$G$331</f>
        <v>18.982927727561609</v>
      </c>
      <c r="I17" s="44">
        <f>'M-ATW'!$G$332</f>
        <v>64.0139488725153</v>
      </c>
      <c r="J17" s="44">
        <f>'M-ATW'!$G$333</f>
        <v>0</v>
      </c>
      <c r="K17" s="44">
        <f>'M-ATW'!$G$334</f>
        <v>0</v>
      </c>
      <c r="L17" s="44">
        <f>'M-ATW'!$G$335</f>
        <v>202.05745252036604</v>
      </c>
      <c r="M17" s="44">
        <f>'M-ATW'!$G$336</f>
        <v>460.03295581205225</v>
      </c>
      <c r="N17" s="44">
        <f>'M-ATW'!$G$337</f>
        <v>70.949187530654385</v>
      </c>
      <c r="O17" s="44">
        <f>'M-ATW'!$G$338</f>
        <v>165.96282164209998</v>
      </c>
      <c r="P17" s="44">
        <f>'M-ATW'!$G$339</f>
        <v>164.71608544338005</v>
      </c>
      <c r="Q17" s="44">
        <f>'M-ATW'!$G$340</f>
        <v>0</v>
      </c>
      <c r="R17" s="44">
        <f>'M-ATW'!$G$341</f>
        <v>636.46501934156493</v>
      </c>
      <c r="S17" s="44">
        <f>'M-ATW'!$G$342</f>
        <v>265.08299015024625</v>
      </c>
      <c r="T17" s="44">
        <f>'M-ATW'!$G$343</f>
        <v>893.90894924041561</v>
      </c>
      <c r="U17" s="44">
        <f>'M-ATW'!$G$344</f>
        <v>701.99115846786822</v>
      </c>
      <c r="V17" s="44">
        <f>'M-ATW'!$G$345</f>
        <v>0</v>
      </c>
      <c r="W17" s="44">
        <f>'M-ATW'!$G$346</f>
        <v>3945.0288310122987</v>
      </c>
      <c r="X17" s="44">
        <f>'M-ATW'!$G$347</f>
        <v>-1.0128039134444746</v>
      </c>
      <c r="Y17" s="42">
        <f t="shared" si="0"/>
        <v>8804.381352786806</v>
      </c>
      <c r="Z17" s="17"/>
    </row>
    <row r="18" spans="1:26" x14ac:dyDescent="0.25">
      <c r="A18" s="4" t="s">
        <v>189</v>
      </c>
      <c r="B18" s="44">
        <f>'M-ATW'!$G$357</f>
        <v>947246.69259916735</v>
      </c>
      <c r="C18" s="44">
        <f>'M-ATW'!$G$358</f>
        <v>146090.36674856787</v>
      </c>
      <c r="D18" s="44">
        <f>'M-ATW'!$G$359</f>
        <v>329070.14957273641</v>
      </c>
      <c r="E18" s="44">
        <f>'M-ATW'!$G$360</f>
        <v>62053.644329136849</v>
      </c>
      <c r="F18" s="44">
        <f>'M-ATW'!$G$361</f>
        <v>0</v>
      </c>
      <c r="G18" s="44">
        <f>'M-ATW'!$G$362</f>
        <v>239776.05970811387</v>
      </c>
      <c r="H18" s="44">
        <f>'M-ATW'!$G$363</f>
        <v>26280.253117786797</v>
      </c>
      <c r="I18" s="44">
        <f>'M-ATW'!$G$364</f>
        <v>3570.0727486776818</v>
      </c>
      <c r="J18" s="44">
        <f>'M-ATW'!$G$365</f>
        <v>0</v>
      </c>
      <c r="K18" s="44">
        <f>'M-ATW'!$G$366</f>
        <v>0</v>
      </c>
      <c r="L18" s="44">
        <f>'M-ATW'!$G$367</f>
        <v>295226.01379708655</v>
      </c>
      <c r="M18" s="44">
        <f>'M-ATW'!$G$368</f>
        <v>661381.08222248615</v>
      </c>
      <c r="N18" s="44">
        <f>'M-ATW'!$G$369</f>
        <v>102002.36708911225</v>
      </c>
      <c r="O18" s="44">
        <f>'M-ATW'!$G$370</f>
        <v>229761.44794376998</v>
      </c>
      <c r="P18" s="44">
        <f>'M-ATW'!$G$371</f>
        <v>228035.44743722549</v>
      </c>
      <c r="Q18" s="44">
        <f>'M-ATW'!$G$372</f>
        <v>0</v>
      </c>
      <c r="R18" s="44">
        <f>'M-ATW'!$G$373</f>
        <v>881131.82797551248</v>
      </c>
      <c r="S18" s="44">
        <f>'M-ATW'!$G$374</f>
        <v>366984.91288325156</v>
      </c>
      <c r="T18" s="44">
        <f>'M-ATW'!$G$375</f>
        <v>49853.509050626897</v>
      </c>
      <c r="U18" s="44">
        <f>'M-ATW'!$G$376</f>
        <v>119379.30124682622</v>
      </c>
      <c r="V18" s="44">
        <f>'M-ATW'!$G$377</f>
        <v>0</v>
      </c>
      <c r="W18" s="44">
        <f>'M-ATW'!$G$378</f>
        <v>4873042.8792279772</v>
      </c>
      <c r="X18" s="44">
        <f>'M-ATW'!$G$379</f>
        <v>367.60192799144693</v>
      </c>
      <c r="Y18" s="42">
        <f t="shared" si="0"/>
        <v>9561253.6296260543</v>
      </c>
      <c r="Z18" s="17"/>
    </row>
    <row r="19" spans="1:26" x14ac:dyDescent="0.25">
      <c r="A19" s="4" t="s">
        <v>190</v>
      </c>
      <c r="B19" s="44">
        <f>'M-ATW'!$J$389</f>
        <v>2593286.4645368927</v>
      </c>
      <c r="C19" s="44">
        <f>'M-ATW'!$J$390</f>
        <v>399953.01503639645</v>
      </c>
      <c r="D19" s="44">
        <f>'M-ATW'!$J$391</f>
        <v>897882.95955912466</v>
      </c>
      <c r="E19" s="44">
        <f>'M-ATW'!$J$392</f>
        <v>169316.20778735884</v>
      </c>
      <c r="F19" s="44">
        <f>'M-ATW'!$J$393</f>
        <v>0</v>
      </c>
      <c r="G19" s="44">
        <f>'M-ATW'!$J$394</f>
        <v>848570.26362350094</v>
      </c>
      <c r="H19" s="44">
        <f>'M-ATW'!$J$395</f>
        <v>264609.24044141237</v>
      </c>
      <c r="I19" s="44">
        <f>'M-ATW'!$J$396</f>
        <v>569342.93137317372</v>
      </c>
      <c r="J19" s="44">
        <f>'M-ATW'!$J$397</f>
        <v>0</v>
      </c>
      <c r="K19" s="44">
        <f>'M-ATW'!$J$398</f>
        <v>0</v>
      </c>
      <c r="L19" s="44">
        <f>'M-ATW'!$J$399</f>
        <v>809648.71043311292</v>
      </c>
      <c r="M19" s="44">
        <f>'M-ATW'!$J$400</f>
        <v>1810669.4083270985</v>
      </c>
      <c r="N19" s="44">
        <f>'M-ATW'!$J$401</f>
        <v>279252.87043979351</v>
      </c>
      <c r="O19" s="44">
        <f>'M-ATW'!$J$402</f>
        <v>626914.6233415571</v>
      </c>
      <c r="P19" s="44">
        <f>'M-ATW'!$J$403</f>
        <v>622205.15198710945</v>
      </c>
      <c r="Q19" s="44">
        <f>'M-ATW'!$J$404</f>
        <v>0</v>
      </c>
      <c r="R19" s="44">
        <f>'M-ATW'!$J$405</f>
        <v>2950720.793505339</v>
      </c>
      <c r="S19" s="44">
        <f>'M-ATW'!$J$406</f>
        <v>2139426.8222377785</v>
      </c>
      <c r="T19" s="44">
        <f>'M-ATW'!$J$407</f>
        <v>4603269.0936994907</v>
      </c>
      <c r="U19" s="44">
        <f>'M-ATW'!$J$408</f>
        <v>326758.75979983486</v>
      </c>
      <c r="V19" s="44">
        <f>'M-ATW'!$J$409</f>
        <v>0</v>
      </c>
      <c r="W19" s="44">
        <f>'M-ATW'!$J$410</f>
        <v>16963035.3135003</v>
      </c>
      <c r="X19" s="44">
        <f>'M-ATW'!$J$411</f>
        <v>12885.856676415893</v>
      </c>
      <c r="Y19" s="42">
        <f t="shared" si="0"/>
        <v>36887748.486305684</v>
      </c>
      <c r="Z19" s="17"/>
    </row>
    <row r="20" spans="1:26" x14ac:dyDescent="0.25">
      <c r="A20" s="4" t="s">
        <v>191</v>
      </c>
      <c r="B20" s="44">
        <f>'M-ATW'!$J$421</f>
        <v>1366695.0326921253</v>
      </c>
      <c r="C20" s="44">
        <f>'M-ATW'!$J$422</f>
        <v>210780.33855318642</v>
      </c>
      <c r="D20" s="44">
        <f>'M-ATW'!$J$423</f>
        <v>477479.82745162852</v>
      </c>
      <c r="E20" s="44">
        <f>'M-ATW'!$J$424</f>
        <v>90039.656971292148</v>
      </c>
      <c r="F20" s="44">
        <f>'M-ATW'!$J$425</f>
        <v>0</v>
      </c>
      <c r="G20" s="44">
        <f>'M-ATW'!$J$426</f>
        <v>748363.38351916254</v>
      </c>
      <c r="H20" s="44">
        <f>'M-ATW'!$J$427</f>
        <v>100555.99171876417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424705.26171373314</v>
      </c>
      <c r="M20" s="44">
        <f>'M-ATW'!$J$432</f>
        <v>954245.86525582848</v>
      </c>
      <c r="N20" s="44">
        <f>'M-ATW'!$J$433</f>
        <v>147169.82335510667</v>
      </c>
      <c r="O20" s="44">
        <f>'M-ATW'!$J$434</f>
        <v>333383.19097514643</v>
      </c>
      <c r="P20" s="44">
        <f>'M-ATW'!$J$435</f>
        <v>330878.76927321963</v>
      </c>
      <c r="Q20" s="44">
        <f>'M-ATW'!$J$436</f>
        <v>0</v>
      </c>
      <c r="R20" s="44">
        <f>'M-ATW'!$J$437</f>
        <v>2570339.3018704085</v>
      </c>
      <c r="S20" s="44">
        <f>'M-ATW'!$J$438</f>
        <v>1070527.3772082194</v>
      </c>
      <c r="T20" s="44">
        <f>'M-ATW'!$J$439</f>
        <v>0</v>
      </c>
      <c r="U20" s="44">
        <f>'M-ATW'!$J$440</f>
        <v>60702.626458213643</v>
      </c>
      <c r="V20" s="44">
        <f>'M-ATW'!$J$441</f>
        <v>0</v>
      </c>
      <c r="W20" s="44">
        <f>'M-ATW'!$J$442</f>
        <v>9813600.4520798363</v>
      </c>
      <c r="X20" s="44">
        <f>'M-ATW'!$J$443</f>
        <v>3865.5308225501435</v>
      </c>
      <c r="Y20" s="42">
        <f t="shared" si="0"/>
        <v>18703332.42991842</v>
      </c>
      <c r="Z20" s="17"/>
    </row>
    <row r="21" spans="1:26" x14ac:dyDescent="0.25">
      <c r="A21" s="4" t="s">
        <v>208</v>
      </c>
      <c r="B21" s="44">
        <f>'M-ATW'!$J$453</f>
        <v>4076884.6176728583</v>
      </c>
      <c r="C21" s="44">
        <f>'M-ATW'!$J$454</f>
        <v>207491.75405040866</v>
      </c>
      <c r="D21" s="44">
        <f>'M-ATW'!$J$455</f>
        <v>598220.49291234568</v>
      </c>
      <c r="E21" s="44">
        <f>'M-ATW'!$J$456</f>
        <v>46459.304472449105</v>
      </c>
      <c r="F21" s="44">
        <f>'M-ATW'!$J$457</f>
        <v>0</v>
      </c>
      <c r="G21" s="44">
        <f>'M-ATW'!$J$458</f>
        <v>131036.01093585099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1266976.3015822282</v>
      </c>
      <c r="M21" s="44">
        <f>'M-ATW'!$J$464</f>
        <v>2846538.6911344626</v>
      </c>
      <c r="N21" s="44">
        <f>'M-ATW'!$J$465</f>
        <v>439011.17269753508</v>
      </c>
      <c r="O21" s="44">
        <f>'M-ATW'!$J$466</f>
        <v>1252443.5488706874</v>
      </c>
      <c r="P21" s="44">
        <f>'M-ATW'!$J$467</f>
        <v>2292136.975976483</v>
      </c>
      <c r="Q21" s="44">
        <f>'M-ATW'!$J$468</f>
        <v>0</v>
      </c>
      <c r="R21" s="44">
        <f>'M-ATW'!$J$469</f>
        <v>6464851.1048768573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463088.48305440892</v>
      </c>
      <c r="W21" s="44">
        <f>'M-ATW'!$J$474</f>
        <v>33251695.733402118</v>
      </c>
      <c r="X21" s="44">
        <f>'M-ATW'!$J$475</f>
        <v>-238.19299240953205</v>
      </c>
      <c r="Y21" s="42">
        <f t="shared" si="0"/>
        <v>53336595.998646282</v>
      </c>
      <c r="Z21" s="17"/>
    </row>
    <row r="22" spans="1:26" x14ac:dyDescent="0.25">
      <c r="A22" s="4" t="s">
        <v>230</v>
      </c>
      <c r="B22" s="44">
        <f>'M-ATW'!$C$485</f>
        <v>6645.7041796330941</v>
      </c>
      <c r="C22" s="44">
        <f>'M-ATW'!$C$486</f>
        <v>1024.942465875592</v>
      </c>
      <c r="D22" s="44">
        <f>'M-ATW'!$C$487</f>
        <v>2288.7464079615852</v>
      </c>
      <c r="E22" s="44">
        <f>'M-ATW'!$C$488</f>
        <v>431.59507400972905</v>
      </c>
      <c r="F22" s="44">
        <f>'M-ATW'!$C$489</f>
        <v>0</v>
      </c>
      <c r="G22" s="44">
        <f>'M-ATW'!$C$490</f>
        <v>1667.688777255157</v>
      </c>
      <c r="H22" s="44">
        <f>'M-ATW'!$C$491</f>
        <v>182.78423309362108</v>
      </c>
      <c r="I22" s="44">
        <f>'M-ATW'!$C$492</f>
        <v>428.45984109981589</v>
      </c>
      <c r="J22" s="44">
        <f>'M-ATW'!$C$493</f>
        <v>0</v>
      </c>
      <c r="K22" s="10"/>
      <c r="L22" s="44">
        <f>'M-ATW'!$C$494</f>
        <v>2065.0656181724885</v>
      </c>
      <c r="M22" s="44">
        <f>'M-ATW'!$C$495</f>
        <v>4640.1249608966955</v>
      </c>
      <c r="N22" s="44">
        <f>'M-ATW'!$C$496</f>
        <v>715.62937362868183</v>
      </c>
      <c r="O22" s="44">
        <f>'M-ATW'!$C$497</f>
        <v>1598.0352193966498</v>
      </c>
      <c r="P22" s="44">
        <f>'M-ATW'!$C$498</f>
        <v>1586.0305527180635</v>
      </c>
      <c r="Q22" s="44">
        <f>'M-ATW'!$C$499</f>
        <v>0</v>
      </c>
      <c r="R22" s="44">
        <f>'M-ATW'!$C$500</f>
        <v>6128.4419411424569</v>
      </c>
      <c r="S22" s="44">
        <f>'M-ATW'!$C$501</f>
        <v>2552.4509051586929</v>
      </c>
      <c r="T22" s="44">
        <f>'M-ATW'!$C$502</f>
        <v>5983.1348181942349</v>
      </c>
      <c r="U22" s="44">
        <f>'M-ATW'!$C$503</f>
        <v>37982.396906480462</v>
      </c>
      <c r="V22" s="10"/>
      <c r="W22" s="44">
        <f>'M-ATW'!$C$504</f>
        <v>54737.318974498594</v>
      </c>
      <c r="X22" s="44">
        <f>'M-ATW'!$C$505</f>
        <v>10.334316414489614</v>
      </c>
      <c r="Y22" s="42">
        <f t="shared" si="0"/>
        <v>130668.88456563011</v>
      </c>
      <c r="Z22" s="17"/>
    </row>
    <row r="23" spans="1:26" x14ac:dyDescent="0.25">
      <c r="A23" s="4" t="s">
        <v>231</v>
      </c>
      <c r="B23" s="44">
        <f>'M-ATW'!$C$515</f>
        <v>13210.527220777796</v>
      </c>
      <c r="C23" s="44">
        <f>'M-ATW'!$C$516</f>
        <v>2037.4109318131218</v>
      </c>
      <c r="D23" s="44">
        <f>'M-ATW'!$C$517</f>
        <v>3524.3889733701899</v>
      </c>
      <c r="E23" s="44">
        <f>'M-ATW'!$C$518</f>
        <v>664.60352029804721</v>
      </c>
      <c r="F23" s="44">
        <f>'M-ATW'!$C$519</f>
        <v>0</v>
      </c>
      <c r="G23" s="44">
        <f>'M-ATW'!$C$520</f>
        <v>2568.0363351420879</v>
      </c>
      <c r="H23" s="44">
        <f>'M-ATW'!$C$521</f>
        <v>281.46531803618535</v>
      </c>
      <c r="I23" s="44">
        <f>'M-ATW'!$C$522</f>
        <v>659.77564585192783</v>
      </c>
      <c r="J23" s="44">
        <f>'M-ATW'!$C$523</f>
        <v>0</v>
      </c>
      <c r="K23" s="10"/>
      <c r="L23" s="44">
        <f>'M-ATW'!$C$524</f>
        <v>4300.9057927424074</v>
      </c>
      <c r="M23" s="44">
        <f>'M-ATW'!$C$525</f>
        <v>9223.7775631958029</v>
      </c>
      <c r="N23" s="44">
        <f>'M-ATW'!$C$526</f>
        <v>1422.5492234942972</v>
      </c>
      <c r="O23" s="44">
        <f>'M-ATW'!$C$527</f>
        <v>2460.7783923579591</v>
      </c>
      <c r="P23" s="44">
        <f>'M-ATW'!$C$528</f>
        <v>2442.2926768921393</v>
      </c>
      <c r="Q23" s="44">
        <f>'M-ATW'!$C$529</f>
        <v>0</v>
      </c>
      <c r="R23" s="44">
        <f>'M-ATW'!$C$530</f>
        <v>9437.0495246515729</v>
      </c>
      <c r="S23" s="44">
        <f>'M-ATW'!$C$531</f>
        <v>3930.4615810285268</v>
      </c>
      <c r="T23" s="44">
        <f>'M-ATW'!$C$532</f>
        <v>9213.2943632717834</v>
      </c>
      <c r="U23" s="44">
        <f>'M-ATW'!$C$533</f>
        <v>47770.638962473669</v>
      </c>
      <c r="V23" s="10"/>
      <c r="W23" s="44">
        <f>'M-ATW'!$C$534</f>
        <v>68843.383132000148</v>
      </c>
      <c r="X23" s="44">
        <f>'M-ATW'!$C$535</f>
        <v>-14.218603468952871</v>
      </c>
      <c r="Y23" s="42">
        <f t="shared" si="0"/>
        <v>181977.12055392872</v>
      </c>
      <c r="Z23" s="17"/>
    </row>
    <row r="24" spans="1:26" x14ac:dyDescent="0.25">
      <c r="A24" s="4" t="s">
        <v>232</v>
      </c>
      <c r="B24" s="44">
        <f>'M-ATW'!$C$545</f>
        <v>2645.2632772221618</v>
      </c>
      <c r="C24" s="44">
        <f>'M-ATW'!$C$546</f>
        <v>407.96920731971511</v>
      </c>
      <c r="D24" s="44">
        <f>'M-ATW'!$C$547</f>
        <v>680.97478400349905</v>
      </c>
      <c r="E24" s="44">
        <f>'M-ATW'!$C$548</f>
        <v>128.41324896387661</v>
      </c>
      <c r="F24" s="44">
        <f>'M-ATW'!$C$549</f>
        <v>0</v>
      </c>
      <c r="G24" s="44">
        <f>'M-ATW'!$C$550</f>
        <v>496.19040402463429</v>
      </c>
      <c r="H24" s="44">
        <f>'M-ATW'!$C$551</f>
        <v>54.384117531409323</v>
      </c>
      <c r="I24" s="44">
        <f>'M-ATW'!$C$552</f>
        <v>127.48041754742873</v>
      </c>
      <c r="J24" s="44">
        <f>'M-ATW'!$C$553</f>
        <v>0</v>
      </c>
      <c r="K24" s="10"/>
      <c r="L24" s="44">
        <f>'M-ATW'!$C$554</f>
        <v>876.68597409417271</v>
      </c>
      <c r="M24" s="44">
        <f>'M-ATW'!$C$555</f>
        <v>1846.9603564959777</v>
      </c>
      <c r="N24" s="44">
        <f>'M-ATW'!$C$556</f>
        <v>284.84988964193747</v>
      </c>
      <c r="O24" s="44">
        <f>'M-ATW'!$C$557</f>
        <v>475.46625723721615</v>
      </c>
      <c r="P24" s="44">
        <f>'M-ATW'!$C$558</f>
        <v>471.89448743779781</v>
      </c>
      <c r="Q24" s="44">
        <f>'M-ATW'!$C$559</f>
        <v>0</v>
      </c>
      <c r="R24" s="44">
        <f>'M-ATW'!$C$560</f>
        <v>1823.4062160098927</v>
      </c>
      <c r="S24" s="44">
        <f>'M-ATW'!$C$561</f>
        <v>759.43525144317755</v>
      </c>
      <c r="T24" s="44">
        <f>'M-ATW'!$C$562</f>
        <v>1780.1727296264175</v>
      </c>
      <c r="U24" s="44">
        <f>'M-ATW'!$C$563</f>
        <v>5450.9117119069178</v>
      </c>
      <c r="V24" s="10"/>
      <c r="W24" s="44">
        <f>'M-ATW'!$C$564</f>
        <v>7855.4361329832827</v>
      </c>
      <c r="X24" s="44">
        <f>'M-ATW'!$C$565</f>
        <v>-1.7047457156799293</v>
      </c>
      <c r="Y24" s="42">
        <f t="shared" si="0"/>
        <v>26164.189717773836</v>
      </c>
      <c r="Z24" s="17"/>
    </row>
    <row r="25" spans="1:26" x14ac:dyDescent="0.25">
      <c r="A25" s="4" t="s">
        <v>233</v>
      </c>
      <c r="B25" s="44">
        <f>'M-ATW'!$C$575</f>
        <v>0</v>
      </c>
      <c r="C25" s="44">
        <f>'M-ATW'!$C$576</f>
        <v>0</v>
      </c>
      <c r="D25" s="44">
        <f>'M-ATW'!$C$577</f>
        <v>0</v>
      </c>
      <c r="E25" s="44">
        <f>'M-ATW'!$C$578</f>
        <v>0</v>
      </c>
      <c r="F25" s="44">
        <f>'M-ATW'!$C$579</f>
        <v>0</v>
      </c>
      <c r="G25" s="44">
        <f>'M-ATW'!$C$580</f>
        <v>0</v>
      </c>
      <c r="H25" s="44">
        <f>'M-ATW'!$C$581</f>
        <v>0</v>
      </c>
      <c r="I25" s="44">
        <f>'M-ATW'!$C$582</f>
        <v>0</v>
      </c>
      <c r="J25" s="44">
        <f>'M-ATW'!$C$583</f>
        <v>0</v>
      </c>
      <c r="K25" s="10"/>
      <c r="L25" s="44">
        <f>'M-ATW'!$C$584</f>
        <v>0</v>
      </c>
      <c r="M25" s="44">
        <f>'M-ATW'!$C$585</f>
        <v>0</v>
      </c>
      <c r="N25" s="44">
        <f>'M-ATW'!$C$586</f>
        <v>0</v>
      </c>
      <c r="O25" s="44">
        <f>'M-ATW'!$C$587</f>
        <v>0</v>
      </c>
      <c r="P25" s="44">
        <f>'M-ATW'!$C$588</f>
        <v>0</v>
      </c>
      <c r="Q25" s="44">
        <f>'M-ATW'!$C$589</f>
        <v>0</v>
      </c>
      <c r="R25" s="44">
        <f>'M-ATW'!$C$590</f>
        <v>0</v>
      </c>
      <c r="S25" s="44">
        <f>'M-ATW'!$C$591</f>
        <v>0</v>
      </c>
      <c r="T25" s="44">
        <f>'M-ATW'!$C$592</f>
        <v>0</v>
      </c>
      <c r="U25" s="44">
        <f>'M-ATW'!$C$593</f>
        <v>0</v>
      </c>
      <c r="V25" s="10"/>
      <c r="W25" s="44">
        <f>'M-ATW'!$C$594</f>
        <v>0</v>
      </c>
      <c r="X25" s="44">
        <f>'M-ATW'!$C$595</f>
        <v>0</v>
      </c>
      <c r="Y25" s="42">
        <f t="shared" si="0"/>
        <v>0</v>
      </c>
      <c r="Z25" s="17"/>
    </row>
    <row r="26" spans="1:26" x14ac:dyDescent="0.25">
      <c r="A26" s="4" t="s">
        <v>234</v>
      </c>
      <c r="B26" s="44">
        <f>'M-ATW'!$F$605</f>
        <v>318267.1462050124</v>
      </c>
      <c r="C26" s="44">
        <f>'M-ATW'!$F$606</f>
        <v>49085.169128994021</v>
      </c>
      <c r="D26" s="44">
        <f>'M-ATW'!$F$607</f>
        <v>88261.510203190031</v>
      </c>
      <c r="E26" s="44">
        <f>'M-ATW'!$F$608</f>
        <v>16643.710677533312</v>
      </c>
      <c r="F26" s="44">
        <f>'M-ATW'!$F$609</f>
        <v>0</v>
      </c>
      <c r="G26" s="44">
        <f>'M-ATW'!$F$610</f>
        <v>64311.506734616778</v>
      </c>
      <c r="H26" s="44">
        <f>'M-ATW'!$F$611</f>
        <v>7048.754898338947</v>
      </c>
      <c r="I26" s="44">
        <f>'M-ATW'!$F$612</f>
        <v>16522.805892929355</v>
      </c>
      <c r="J26" s="44">
        <f>'M-ATW'!$F$613</f>
        <v>0</v>
      </c>
      <c r="K26" s="10"/>
      <c r="L26" s="44">
        <f>'M-ATW'!$F$614</f>
        <v>103367.7143098535</v>
      </c>
      <c r="M26" s="44">
        <f>'M-ATW'!$F$615</f>
        <v>222218.63769758848</v>
      </c>
      <c r="N26" s="44">
        <f>'M-ATW'!$F$616</f>
        <v>34271.961605407429</v>
      </c>
      <c r="O26" s="44">
        <f>'M-ATW'!$F$617</f>
        <v>61625.438856484172</v>
      </c>
      <c r="P26" s="44">
        <f>'M-ATW'!$F$618</f>
        <v>61162.499840238299</v>
      </c>
      <c r="Q26" s="44">
        <f>'M-ATW'!$F$619</f>
        <v>0</v>
      </c>
      <c r="R26" s="44">
        <f>'M-ATW'!$F$620</f>
        <v>236332.66622995888</v>
      </c>
      <c r="S26" s="44">
        <f>'M-ATW'!$F$621</f>
        <v>98430.813839899522</v>
      </c>
      <c r="T26" s="44">
        <f>'M-ATW'!$F$622</f>
        <v>230729.1506678687</v>
      </c>
      <c r="U26" s="44">
        <f>'M-ATW'!$F$623</f>
        <v>1116189.3586933885</v>
      </c>
      <c r="V26" s="10"/>
      <c r="W26" s="44">
        <f>'M-ATW'!$F$624</f>
        <v>1608566.5450017131</v>
      </c>
      <c r="X26" s="44">
        <f>'M-ATW'!$F$625</f>
        <v>-23.314545932242076</v>
      </c>
      <c r="Y26" s="42">
        <f t="shared" si="0"/>
        <v>4333012.0759370839</v>
      </c>
      <c r="Z26" s="17"/>
    </row>
    <row r="27" spans="1:26" x14ac:dyDescent="0.25">
      <c r="A27" s="4" t="s">
        <v>192</v>
      </c>
      <c r="B27" s="44">
        <f>'M-ATW'!$D$635</f>
        <v>-5787.1234220131373</v>
      </c>
      <c r="C27" s="44">
        <f>'M-ATW'!$D$636</f>
        <v>-892.52671954050356</v>
      </c>
      <c r="D27" s="44">
        <f>'M-ATW'!$D$637</f>
        <v>-1991.8914221665659</v>
      </c>
      <c r="E27" s="44">
        <f>'M-ATW'!$D$638</f>
        <v>-375.61632987334127</v>
      </c>
      <c r="F27" s="44">
        <f>'M-ATW'!$D$639</f>
        <v>0</v>
      </c>
      <c r="G27" s="44">
        <f>'M-ATW'!$D$640</f>
        <v>-1451.3862080581146</v>
      </c>
      <c r="H27" s="44">
        <f>'M-ATW'!$D$641</f>
        <v>-159.07675255763363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-1798.6088130452472</v>
      </c>
      <c r="M27" s="44">
        <f>'M-ATW'!$D$646</f>
        <v>-4040.6516926481077</v>
      </c>
      <c r="N27" s="44">
        <f>'M-ATW'!$D$647</f>
        <v>-623.17482055540142</v>
      </c>
      <c r="O27" s="44">
        <f>'M-ATW'!$D$648</f>
        <v>-1390.7668559363083</v>
      </c>
      <c r="P27" s="44">
        <f>'M-ATW'!$D$649</f>
        <v>-1380.3192185310172</v>
      </c>
      <c r="Q27" s="44">
        <f>'M-ATW'!$D$650</f>
        <v>0</v>
      </c>
      <c r="R27" s="44">
        <f>'M-ATW'!$D$651</f>
        <v>-5333.5707666623966</v>
      </c>
      <c r="S27" s="44">
        <f>'M-ATW'!$D$652</f>
        <v>-2221.3929187615886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-13.114926434394686</v>
      </c>
      <c r="Y27" s="42">
        <f t="shared" si="0"/>
        <v>-27459.220866783759</v>
      </c>
      <c r="Z27" s="17"/>
    </row>
    <row r="28" spans="1:26" x14ac:dyDescent="0.25">
      <c r="A28" s="4" t="s">
        <v>193</v>
      </c>
      <c r="B28" s="44">
        <f>'M-ATW'!$D$667</f>
        <v>0</v>
      </c>
      <c r="C28" s="44">
        <f>'M-ATW'!$D$668</f>
        <v>0</v>
      </c>
      <c r="D28" s="44">
        <f>'M-ATW'!$D$669</f>
        <v>0</v>
      </c>
      <c r="E28" s="44">
        <f>'M-ATW'!$D$670</f>
        <v>0</v>
      </c>
      <c r="F28" s="44">
        <f>'M-ATW'!$D$671</f>
        <v>0</v>
      </c>
      <c r="G28" s="44">
        <f>'M-ATW'!$D$672</f>
        <v>0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0</v>
      </c>
      <c r="M28" s="44">
        <f>'M-ATW'!$D$678</f>
        <v>0</v>
      </c>
      <c r="N28" s="44">
        <f>'M-ATW'!$D$679</f>
        <v>0</v>
      </c>
      <c r="O28" s="44">
        <f>'M-ATW'!$D$680</f>
        <v>0</v>
      </c>
      <c r="P28" s="44">
        <f>'M-ATW'!$D$681</f>
        <v>0</v>
      </c>
      <c r="Q28" s="44">
        <f>'M-ATW'!$D$682</f>
        <v>0</v>
      </c>
      <c r="R28" s="44">
        <f>'M-ATW'!$D$683</f>
        <v>0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</v>
      </c>
      <c r="Y28" s="42">
        <f t="shared" si="0"/>
        <v>0</v>
      </c>
      <c r="Z28" s="17"/>
    </row>
    <row r="29" spans="1:26" x14ac:dyDescent="0.25">
      <c r="A29" s="4" t="s">
        <v>194</v>
      </c>
      <c r="B29" s="44">
        <f>'M-ATW'!$E$699</f>
        <v>-102974.65434261131</v>
      </c>
      <c r="C29" s="44">
        <f>'M-ATW'!$E$700</f>
        <v>-15881.401472556929</v>
      </c>
      <c r="D29" s="44">
        <f>'M-ATW'!$E$701</f>
        <v>-35443.227269941744</v>
      </c>
      <c r="E29" s="44">
        <f>'M-ATW'!$E$702</f>
        <v>-6683.6248190284014</v>
      </c>
      <c r="F29" s="44">
        <f>'M-ATW'!$E$703</f>
        <v>0</v>
      </c>
      <c r="G29" s="44">
        <f>'M-ATW'!$E$704</f>
        <v>-25825.610099123682</v>
      </c>
      <c r="H29" s="44">
        <f>'M-ATW'!$E$705</f>
        <v>-2830.5727066849222</v>
      </c>
      <c r="I29" s="44">
        <f>'M-ATW'!$E$706</f>
        <v>114.50030340465922</v>
      </c>
      <c r="J29" s="44">
        <f>'M-ATW'!$E$707</f>
        <v>0</v>
      </c>
      <c r="K29" s="44">
        <f>'M-ATW'!$E$708</f>
        <v>0</v>
      </c>
      <c r="L29" s="44">
        <f>'M-ATW'!$E$709</f>
        <v>-32004.003943721022</v>
      </c>
      <c r="M29" s="44">
        <f>'M-ATW'!$E$710</f>
        <v>-71898.364874441351</v>
      </c>
      <c r="N29" s="44">
        <f>'M-ATW'!$E$711</f>
        <v>-11088.619865547706</v>
      </c>
      <c r="O29" s="44">
        <f>'M-ATW'!$E$712</f>
        <v>-24746.96421998593</v>
      </c>
      <c r="P29" s="44">
        <f>'M-ATW'!$E$713</f>
        <v>-24561.061523248118</v>
      </c>
      <c r="Q29" s="44">
        <f>'M-ATW'!$E$714</f>
        <v>0</v>
      </c>
      <c r="R29" s="44">
        <f>'M-ATW'!$E$715</f>
        <v>-94904.249669149343</v>
      </c>
      <c r="S29" s="44">
        <f>'M-ATW'!$E$716</f>
        <v>-39526.920593828625</v>
      </c>
      <c r="T29" s="44">
        <f>'M-ATW'!$E$717</f>
        <v>1598.9147319751341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-265.54916421567395</v>
      </c>
      <c r="Y29" s="42">
        <f t="shared" si="0"/>
        <v>-486921.40952870494</v>
      </c>
      <c r="Z29" s="17"/>
    </row>
    <row r="30" spans="1:26" x14ac:dyDescent="0.25">
      <c r="A30" s="4" t="s">
        <v>195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196</v>
      </c>
      <c r="B31" s="44">
        <f>'M-ATW'!$H$763</f>
        <v>-5382.5098328947934</v>
      </c>
      <c r="C31" s="44">
        <f>'M-ATW'!$H$764</f>
        <v>-830.12465671190716</v>
      </c>
      <c r="D31" s="44">
        <f>'M-ATW'!$H$765</f>
        <v>-1833.6169353279356</v>
      </c>
      <c r="E31" s="44">
        <f>'M-ATW'!$H$766</f>
        <v>-345.77008363856953</v>
      </c>
      <c r="F31" s="44">
        <f>'M-ATW'!$H$767</f>
        <v>0</v>
      </c>
      <c r="G31" s="44">
        <f>'M-ATW'!$H$768</f>
        <v>-1336.059938398696</v>
      </c>
      <c r="H31" s="44">
        <f>'M-ATW'!$H$769</f>
        <v>-146.43661007856738</v>
      </c>
      <c r="I31" s="44">
        <f>'M-ATW'!$H$770</f>
        <v>11.11866499710019</v>
      </c>
      <c r="J31" s="44">
        <f>'M-ATW'!$H$771</f>
        <v>0</v>
      </c>
      <c r="K31" s="44">
        <f>'M-ATW'!$H$772</f>
        <v>0</v>
      </c>
      <c r="L31" s="44">
        <f>'M-ATW'!$H$773</f>
        <v>-1680.4284300079644</v>
      </c>
      <c r="M31" s="44">
        <f>'M-ATW'!$H$774</f>
        <v>-3758.144743250657</v>
      </c>
      <c r="N31" s="44">
        <f>'M-ATW'!$H$775</f>
        <v>-579.60481480194051</v>
      </c>
      <c r="O31" s="44">
        <f>'M-ATW'!$H$776</f>
        <v>-1280.2573633074039</v>
      </c>
      <c r="P31" s="44">
        <f>'M-ATW'!$H$777</f>
        <v>-1270.6398888470383</v>
      </c>
      <c r="Q31" s="44">
        <f>'M-ATW'!$H$778</f>
        <v>0</v>
      </c>
      <c r="R31" s="44">
        <f>'M-ATW'!$H$779</f>
        <v>-4909.7684616186725</v>
      </c>
      <c r="S31" s="44">
        <f>'M-ATW'!$H$780</f>
        <v>-2044.8823819063532</v>
      </c>
      <c r="T31" s="44">
        <f>'M-ATW'!$H$781</f>
        <v>155.26419350113568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-4.7003934253905717</v>
      </c>
      <c r="Y31" s="42">
        <f t="shared" si="0"/>
        <v>-25236.561675717658</v>
      </c>
      <c r="Z31" s="17"/>
    </row>
    <row r="32" spans="1:26" x14ac:dyDescent="0.25">
      <c r="A32" s="4" t="s">
        <v>197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198</v>
      </c>
      <c r="B33" s="44">
        <f>'M-ATW'!$E$827</f>
        <v>-16253.49909281609</v>
      </c>
      <c r="C33" s="44">
        <f>'M-ATW'!$E$828</f>
        <v>-2506.7172701354493</v>
      </c>
      <c r="D33" s="44">
        <f>'M-ATW'!$E$829</f>
        <v>-5594.3519884202215</v>
      </c>
      <c r="E33" s="44">
        <f>'M-ATW'!$E$830</f>
        <v>-1054.9420206973082</v>
      </c>
      <c r="F33" s="44">
        <f>'M-ATW'!$E$831</f>
        <v>0</v>
      </c>
      <c r="G33" s="44">
        <f>'M-ATW'!$E$832</f>
        <v>-4076.3091946969694</v>
      </c>
      <c r="H33" s="44">
        <f>'M-ATW'!$E$833</f>
        <v>10.521082069663681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-5051.5056582277903</v>
      </c>
      <c r="M33" s="44">
        <f>'M-ATW'!$E$838</f>
        <v>-11348.423704085417</v>
      </c>
      <c r="N33" s="44">
        <f>'M-ATW'!$E$839</f>
        <v>-1750.2255683773892</v>
      </c>
      <c r="O33" s="44">
        <f>'M-ATW'!$E$840</f>
        <v>-3906.055942282987</v>
      </c>
      <c r="P33" s="44">
        <f>'M-ATW'!$E$841</f>
        <v>-3876.7130973657618</v>
      </c>
      <c r="Q33" s="44">
        <f>'M-ATW'!$E$842</f>
        <v>0</v>
      </c>
      <c r="R33" s="44">
        <f>'M-ATW'!$E$843</f>
        <v>-14979.668013933862</v>
      </c>
      <c r="S33" s="44">
        <f>'M-ATW'!$E$844</f>
        <v>146.91937590813541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-19.206928969790809</v>
      </c>
      <c r="Y33" s="42">
        <f t="shared" si="0"/>
        <v>-70260.178022031236</v>
      </c>
      <c r="Z33" s="17"/>
    </row>
    <row r="34" spans="1:26" x14ac:dyDescent="0.25">
      <c r="A34" s="4" t="s">
        <v>199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200</v>
      </c>
      <c r="B35" s="44">
        <f>'M-ATW'!$H$891</f>
        <v>-6145.0865408012723</v>
      </c>
      <c r="C35" s="44">
        <f>'M-ATW'!$H$892</f>
        <v>-947.73405223936618</v>
      </c>
      <c r="D35" s="44">
        <f>'M-ATW'!$H$893</f>
        <v>-2040.9783306229972</v>
      </c>
      <c r="E35" s="44">
        <f>'M-ATW'!$H$894</f>
        <v>-384.8727803977269</v>
      </c>
      <c r="F35" s="44">
        <f>'M-ATW'!$H$895</f>
        <v>0</v>
      </c>
      <c r="G35" s="44">
        <f>'M-ATW'!$H$896</f>
        <v>-1487.1532489404851</v>
      </c>
      <c r="H35" s="44">
        <f>'M-ATW'!$H$897</f>
        <v>4.5795026285170346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-1934.1139546768161</v>
      </c>
      <c r="M35" s="44">
        <f>'M-ATW'!$H$902</f>
        <v>-4290.5866216898876</v>
      </c>
      <c r="N35" s="44">
        <f>'M-ATW'!$H$903</f>
        <v>-661.72136363891627</v>
      </c>
      <c r="O35" s="44">
        <f>'M-ATW'!$H$904</f>
        <v>-1425.0400319648134</v>
      </c>
      <c r="P35" s="44">
        <f>'M-ATW'!$H$905</f>
        <v>-1414.3349296117881</v>
      </c>
      <c r="Q35" s="44">
        <f>'M-ATW'!$H$906</f>
        <v>0</v>
      </c>
      <c r="R35" s="44">
        <f>'M-ATW'!$H$907</f>
        <v>-5465.007900762952</v>
      </c>
      <c r="S35" s="44">
        <f>'M-ATW'!$H$908</f>
        <v>63.94947436931227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8.2767914417181103</v>
      </c>
      <c r="Y35" s="42">
        <f t="shared" si="0"/>
        <v>-26119.823986907471</v>
      </c>
      <c r="Z35" s="17"/>
    </row>
    <row r="36" spans="1:26" x14ac:dyDescent="0.25">
      <c r="A36" s="4" t="s">
        <v>201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209</v>
      </c>
      <c r="B37" s="44">
        <f>'M-ATW'!$E$955</f>
        <v>-580873.7607021312</v>
      </c>
      <c r="C37" s="44">
        <f>'M-ATW'!$E$956</f>
        <v>-29563.386456284046</v>
      </c>
      <c r="D37" s="44">
        <f>'M-ATW'!$E$957</f>
        <v>-65977.919319641282</v>
      </c>
      <c r="E37" s="44">
        <f>'M-ATW'!$E$958</f>
        <v>0</v>
      </c>
      <c r="F37" s="44">
        <f>'M-ATW'!$E$959</f>
        <v>0</v>
      </c>
      <c r="G37" s="44">
        <f>'M-ATW'!$E$960</f>
        <v>0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-180532.639288718</v>
      </c>
      <c r="M37" s="44">
        <f>'M-ATW'!$E$966</f>
        <v>-405574.30233265384</v>
      </c>
      <c r="N37" s="44">
        <f>'M-ATW'!$E$967</f>
        <v>-62550.230087363438</v>
      </c>
      <c r="O37" s="44">
        <f>'M-ATW'!$E$968</f>
        <v>-139596.11968783216</v>
      </c>
      <c r="P37" s="44">
        <f>'M-ATW'!$E$969</f>
        <v>-138547.45388489121</v>
      </c>
      <c r="Q37" s="44">
        <f>'M-ATW'!$E$970</f>
        <v>0</v>
      </c>
      <c r="R37" s="44">
        <f>'M-ATW'!$E$971</f>
        <v>1089.6687307829457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38479.383801068398</v>
      </c>
      <c r="W37" s="44">
        <f>'M-ATW'!$E$976</f>
        <v>0</v>
      </c>
      <c r="X37" s="44">
        <f>'M-ATW'!$E$977</f>
        <v>-23.359556135338835</v>
      </c>
      <c r="Y37" s="42">
        <f t="shared" si="0"/>
        <v>-1563670.118783799</v>
      </c>
      <c r="Z37" s="17"/>
    </row>
    <row r="38" spans="1:26" x14ac:dyDescent="0.25">
      <c r="A38" s="4" t="s">
        <v>210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211</v>
      </c>
      <c r="B39" s="44">
        <f>'M-ATW'!$H$1019</f>
        <v>-395344.02702818793</v>
      </c>
      <c r="C39" s="44">
        <f>'M-ATW'!$H$1020</f>
        <v>-20120.909300654941</v>
      </c>
      <c r="D39" s="44">
        <f>'M-ATW'!$H$1021</f>
        <v>-42011.0764716251</v>
      </c>
      <c r="E39" s="44">
        <f>'M-ATW'!$H$1022</f>
        <v>0</v>
      </c>
      <c r="F39" s="44">
        <f>'M-ATW'!$H$1023</f>
        <v>0</v>
      </c>
      <c r="G39" s="44">
        <f>'M-ATW'!$H$1024</f>
        <v>0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-126364.82467293867</v>
      </c>
      <c r="M39" s="44">
        <f>'M-ATW'!$H$1030</f>
        <v>-276034.80961082916</v>
      </c>
      <c r="N39" s="44">
        <f>'M-ATW'!$H$1031</f>
        <v>-42571.831484326256</v>
      </c>
      <c r="O39" s="44">
        <f>'M-ATW'!$H$1032</f>
        <v>-88887.059789437626</v>
      </c>
      <c r="P39" s="44">
        <f>'M-ATW'!$H$1033</f>
        <v>-88219.327619420335</v>
      </c>
      <c r="Q39" s="44">
        <f>'M-ATW'!$H$1034</f>
        <v>0</v>
      </c>
      <c r="R39" s="44">
        <f>'M-ATW'!$H$1035</f>
        <v>937.56988954060307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10488.464010891241</v>
      </c>
      <c r="W39" s="44">
        <f>'M-ATW'!$H$1040</f>
        <v>0</v>
      </c>
      <c r="X39" s="44">
        <f>'M-ATW'!$H$1041</f>
        <v>-252.13099525086363</v>
      </c>
      <c r="Y39" s="42">
        <f t="shared" si="0"/>
        <v>-1068379.9630722392</v>
      </c>
      <c r="Z39" s="17"/>
    </row>
    <row r="40" spans="1:26" x14ac:dyDescent="0.25">
      <c r="A40" s="4" t="s">
        <v>212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1599</v>
      </c>
    </row>
    <row r="44" spans="1:26" x14ac:dyDescent="0.25">
      <c r="B44" s="35" t="s">
        <v>1600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335</v>
      </c>
      <c r="C45" s="15" t="s">
        <v>336</v>
      </c>
      <c r="D45" s="15" t="s">
        <v>337</v>
      </c>
      <c r="E45" s="15" t="s">
        <v>338</v>
      </c>
      <c r="F45" s="15" t="s">
        <v>339</v>
      </c>
      <c r="G45" s="15" t="s">
        <v>340</v>
      </c>
      <c r="H45" s="15" t="s">
        <v>341</v>
      </c>
      <c r="I45" s="15" t="s">
        <v>342</v>
      </c>
      <c r="J45" s="15" t="s">
        <v>493</v>
      </c>
      <c r="K45" s="15" t="s">
        <v>505</v>
      </c>
      <c r="L45" s="15" t="s">
        <v>323</v>
      </c>
      <c r="M45" s="15" t="s">
        <v>911</v>
      </c>
      <c r="N45" s="15" t="s">
        <v>912</v>
      </c>
      <c r="O45" s="15" t="s">
        <v>913</v>
      </c>
      <c r="P45" s="15" t="s">
        <v>914</v>
      </c>
      <c r="Q45" s="15" t="s">
        <v>915</v>
      </c>
      <c r="R45" s="15" t="s">
        <v>916</v>
      </c>
      <c r="S45" s="15" t="s">
        <v>917</v>
      </c>
      <c r="T45" s="15" t="s">
        <v>918</v>
      </c>
      <c r="U45" s="15" t="s">
        <v>919</v>
      </c>
      <c r="V45" s="15" t="s">
        <v>920</v>
      </c>
      <c r="W45" s="15" t="s">
        <v>1590</v>
      </c>
      <c r="X45" s="15" t="s">
        <v>1591</v>
      </c>
      <c r="Y45" s="15" t="s">
        <v>1601</v>
      </c>
    </row>
    <row r="46" spans="1:26" x14ac:dyDescent="0.25">
      <c r="A46" s="4" t="s">
        <v>1602</v>
      </c>
      <c r="B46" s="42">
        <f t="shared" ref="B46:X46" si="1">SUM(B$8:B$40)</f>
        <v>28613303.674988925</v>
      </c>
      <c r="C46" s="42">
        <f t="shared" si="1"/>
        <v>4092383.4336251076</v>
      </c>
      <c r="D46" s="42">
        <f t="shared" si="1"/>
        <v>9016759.5391065571</v>
      </c>
      <c r="E46" s="42">
        <f t="shared" si="1"/>
        <v>1654296.8962012802</v>
      </c>
      <c r="F46" s="42">
        <f t="shared" si="1"/>
        <v>0</v>
      </c>
      <c r="G46" s="42">
        <f t="shared" si="1"/>
        <v>6938519.958175608</v>
      </c>
      <c r="H46" s="42">
        <f t="shared" si="1"/>
        <v>936688.58392826817</v>
      </c>
      <c r="I46" s="42">
        <f t="shared" si="1"/>
        <v>1751064.9524020618</v>
      </c>
      <c r="J46" s="42">
        <f t="shared" si="1"/>
        <v>0</v>
      </c>
      <c r="K46" s="42">
        <f t="shared" si="1"/>
        <v>0</v>
      </c>
      <c r="L46" s="42">
        <f t="shared" si="1"/>
        <v>9018738.6614372693</v>
      </c>
      <c r="M46" s="42">
        <f t="shared" si="1"/>
        <v>19978214.64923577</v>
      </c>
      <c r="N46" s="42">
        <f t="shared" si="1"/>
        <v>3081166.4246406578</v>
      </c>
      <c r="O46" s="42">
        <f t="shared" si="1"/>
        <v>6977549.5423541423</v>
      </c>
      <c r="P46" s="42">
        <f t="shared" si="1"/>
        <v>7974306.6487170579</v>
      </c>
      <c r="Q46" s="42">
        <f t="shared" si="1"/>
        <v>0</v>
      </c>
      <c r="R46" s="42">
        <f t="shared" si="1"/>
        <v>31136959.413279887</v>
      </c>
      <c r="S46" s="42">
        <f t="shared" si="1"/>
        <v>11190868.482094297</v>
      </c>
      <c r="T46" s="42">
        <f t="shared" si="1"/>
        <v>21105170.768534984</v>
      </c>
      <c r="U46" s="42">
        <f t="shared" si="1"/>
        <v>16647535.954532988</v>
      </c>
      <c r="V46" s="42">
        <f t="shared" si="1"/>
        <v>516342.8099216852</v>
      </c>
      <c r="W46" s="42">
        <f t="shared" si="1"/>
        <v>166134420.169866</v>
      </c>
      <c r="X46" s="42">
        <f t="shared" si="1"/>
        <v>13725.059051156757</v>
      </c>
      <c r="Y46" s="42">
        <f>SUM($B$8:$X$40)</f>
        <v>346778015.62209332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South West in April 19 (no data version)</v>
      </c>
    </row>
    <row r="2" spans="1:1" x14ac:dyDescent="0.25">
      <c r="A2" s="2" t="s">
        <v>1482</v>
      </c>
    </row>
    <row r="4" spans="1:1" ht="21" customHeight="1" x14ac:dyDescent="0.3">
      <c r="A4" s="1" t="s">
        <v>1603</v>
      </c>
    </row>
    <row r="5" spans="1:1" x14ac:dyDescent="0.25">
      <c r="A5" s="2" t="s">
        <v>381</v>
      </c>
    </row>
    <row r="6" spans="1:1" x14ac:dyDescent="0.25">
      <c r="A6" s="32" t="s">
        <v>1604</v>
      </c>
    </row>
    <row r="7" spans="1:1" x14ac:dyDescent="0.25">
      <c r="A7" s="32" t="s">
        <v>576</v>
      </c>
    </row>
    <row r="8" spans="1:1" x14ac:dyDescent="0.25">
      <c r="A8" s="32" t="s">
        <v>1605</v>
      </c>
    </row>
    <row r="9" spans="1:1" x14ac:dyDescent="0.25">
      <c r="A9" s="32" t="s">
        <v>1494</v>
      </c>
    </row>
    <row r="10" spans="1:1" x14ac:dyDescent="0.25">
      <c r="A10" s="32" t="s">
        <v>1606</v>
      </c>
    </row>
    <row r="11" spans="1:1" x14ac:dyDescent="0.25">
      <c r="A11" s="32" t="s">
        <v>1607</v>
      </c>
    </row>
    <row r="12" spans="1:1" x14ac:dyDescent="0.25">
      <c r="A12" s="32" t="s">
        <v>1608</v>
      </c>
    </row>
    <row r="13" spans="1:1" x14ac:dyDescent="0.25">
      <c r="A13" s="32" t="s">
        <v>1609</v>
      </c>
    </row>
    <row r="14" spans="1:1" x14ac:dyDescent="0.25">
      <c r="A14" s="32" t="s">
        <v>1610</v>
      </c>
    </row>
    <row r="15" spans="1:1" x14ac:dyDescent="0.25">
      <c r="A15" s="32" t="s">
        <v>1611</v>
      </c>
    </row>
    <row r="16" spans="1:1" x14ac:dyDescent="0.25">
      <c r="A16" s="32" t="s">
        <v>1612</v>
      </c>
    </row>
    <row r="17" spans="1:3" x14ac:dyDescent="0.25">
      <c r="A17" s="32" t="s">
        <v>1613</v>
      </c>
    </row>
    <row r="18" spans="1:3" x14ac:dyDescent="0.25">
      <c r="A18" s="32" t="s">
        <v>1614</v>
      </c>
    </row>
    <row r="19" spans="1:3" x14ac:dyDescent="0.25">
      <c r="A19" s="32" t="s">
        <v>1615</v>
      </c>
    </row>
    <row r="20" spans="1:3" x14ac:dyDescent="0.25">
      <c r="A20" s="32" t="s">
        <v>1616</v>
      </c>
    </row>
    <row r="21" spans="1:3" x14ac:dyDescent="0.25">
      <c r="A21" s="32" t="s">
        <v>1617</v>
      </c>
    </row>
    <row r="22" spans="1:3" x14ac:dyDescent="0.25">
      <c r="A22" s="2" t="s">
        <v>1618</v>
      </c>
    </row>
    <row r="24" spans="1:3" ht="30" x14ac:dyDescent="0.25">
      <c r="B24" s="15" t="s">
        <v>1619</v>
      </c>
    </row>
    <row r="25" spans="1:3" x14ac:dyDescent="0.25">
      <c r="A25" s="4" t="s">
        <v>182</v>
      </c>
      <c r="B25" s="42">
        <f>IF(Input!B395,Input!B395,0.01*Input!F$60*(Input!F395*Input!E$195+Input!G395*Input!F$195+Input!H395*Input!G$195)+10*(Input!C395*Input!B$195+Input!D395*Input!C$195+Input!E395*Input!D$195+Input!I395*Input!H$195))</f>
        <v>140559001.57583761</v>
      </c>
      <c r="C25" s="17"/>
    </row>
    <row r="26" spans="1:3" x14ac:dyDescent="0.25">
      <c r="A26" s="4" t="s">
        <v>183</v>
      </c>
      <c r="B26" s="42">
        <f>IF(Input!B396,Input!B396,0.01*Input!F$60*(Input!F396*Input!E$199+Input!G396*Input!F$199+Input!H396*Input!G$199)+10*(Input!C396*Input!B$199+Input!D396*Input!C$199+Input!E396*Input!D$199+Input!I396*Input!H$199))</f>
        <v>31769342.138109766</v>
      </c>
      <c r="C26" s="17"/>
    </row>
    <row r="27" spans="1:3" x14ac:dyDescent="0.25">
      <c r="A27" s="4" t="s">
        <v>228</v>
      </c>
      <c r="B27" s="42">
        <f>IF(Input!B397,Input!B397,0.01*Input!F$60*(Input!F397*Input!E$203+Input!G397*Input!F$203+Input!H397*Input!G$203)+10*(Input!C397*Input!B$203+Input!D397*Input!C$203+Input!E397*Input!D$203+Input!I397*Input!H$203))</f>
        <v>702122.87254974712</v>
      </c>
      <c r="C27" s="17"/>
    </row>
    <row r="28" spans="1:3" x14ac:dyDescent="0.25">
      <c r="A28" s="4" t="s">
        <v>184</v>
      </c>
      <c r="B28" s="42">
        <f>IF(Input!B398,Input!B398,0.01*Input!F$60*(Input!F398*Input!E$207+Input!G398*Input!F$207+Input!H398*Input!G$207)+10*(Input!C398*Input!B$207+Input!D398*Input!C$207+Input!E398*Input!D$207+Input!I398*Input!H$207))</f>
        <v>32585503.124362931</v>
      </c>
      <c r="C28" s="17"/>
    </row>
    <row r="29" spans="1:3" x14ac:dyDescent="0.25">
      <c r="A29" s="4" t="s">
        <v>185</v>
      </c>
      <c r="B29" s="42">
        <f>IF(Input!B399,Input!B399,0.01*Input!F$60*(Input!F399*Input!E$211+Input!G399*Input!F$211+Input!H399*Input!G$211)+10*(Input!C399*Input!B$211+Input!D399*Input!C$211+Input!E399*Input!D$211+Input!I399*Input!H$211))</f>
        <v>14239296.295418566</v>
      </c>
      <c r="C29" s="17"/>
    </row>
    <row r="30" spans="1:3" x14ac:dyDescent="0.25">
      <c r="A30" s="4" t="s">
        <v>229</v>
      </c>
      <c r="B30" s="42">
        <f>IF(Input!B400,Input!B400,0.01*Input!F$60*(Input!F400*Input!E$215+Input!G400*Input!F$215+Input!H400*Input!G$215)+10*(Input!C400*Input!B$215+Input!D400*Input!C$215+Input!E400*Input!D$215+Input!I400*Input!H$215))</f>
        <v>266234.89806193486</v>
      </c>
      <c r="C30" s="17"/>
    </row>
    <row r="31" spans="1:3" x14ac:dyDescent="0.25">
      <c r="A31" s="4" t="s">
        <v>186</v>
      </c>
      <c r="B31" s="42">
        <f>IF(Input!B401,Input!B401,0.01*Input!F$60*(Input!F401*Input!E$219+Input!G401*Input!F$219+Input!H401*Input!G$219)+10*(Input!C401*Input!B$219+Input!D401*Input!C$219+Input!E401*Input!D$219+Input!I401*Input!H$219))</f>
        <v>2001247.9544505531</v>
      </c>
      <c r="C31" s="17"/>
    </row>
    <row r="32" spans="1:3" x14ac:dyDescent="0.25">
      <c r="A32" s="4" t="s">
        <v>187</v>
      </c>
      <c r="B32" s="42">
        <f>IF(Input!B402,Input!B402,0.01*Input!F$60*(Input!F402*Input!E$223+Input!G402*Input!F$223+Input!H402*Input!G$223)+10*(Input!C402*Input!B$223+Input!D402*Input!C$223+Input!E402*Input!D$223+Input!I402*Input!H$223))</f>
        <v>317451.74478902493</v>
      </c>
      <c r="C32" s="17"/>
    </row>
    <row r="33" spans="1:3" x14ac:dyDescent="0.25">
      <c r="A33" s="4" t="s">
        <v>207</v>
      </c>
      <c r="B33" s="42">
        <f>IF(Input!B403,Input!B403,0.01*Input!F$60*(Input!F403*Input!E$225+Input!G403*Input!F$225+Input!H403*Input!G$225)+10*(Input!C403*Input!B$225+Input!D403*Input!C$225+Input!E403*Input!D$225+Input!I403*Input!H$225))</f>
        <v>18991.443775656095</v>
      </c>
      <c r="C33" s="17"/>
    </row>
    <row r="34" spans="1:3" x14ac:dyDescent="0.25">
      <c r="A34" s="4" t="s">
        <v>188</v>
      </c>
      <c r="B34" s="42">
        <f>IF(Input!B404,Input!B404,0.01*Input!F$60*(Input!F404*Input!E$227+Input!G404*Input!F$227+Input!H404*Input!G$227)+10*(Input!C404*Input!B$227+Input!D404*Input!C$227+Input!E404*Input!D$227+Input!I404*Input!H$227))</f>
        <v>8762.5946868588544</v>
      </c>
      <c r="C34" s="17"/>
    </row>
    <row r="35" spans="1:3" x14ac:dyDescent="0.25">
      <c r="A35" s="4" t="s">
        <v>189</v>
      </c>
      <c r="B35" s="42">
        <f>IF(Input!B405,Input!B405,0.01*Input!F$60*(Input!F405*Input!E$231+Input!G405*Input!F$231+Input!H405*Input!G$231)+10*(Input!C405*Input!B$231+Input!D405*Input!C$231+Input!E405*Input!D$231+Input!I405*Input!H$231))</f>
        <v>9308633.7851551976</v>
      </c>
      <c r="C35" s="17"/>
    </row>
    <row r="36" spans="1:3" x14ac:dyDescent="0.25">
      <c r="A36" s="4" t="s">
        <v>190</v>
      </c>
      <c r="B36" s="42">
        <f>IF(Input!B406,Input!B406,0.01*Input!F$60*(Input!F406*Input!E$235+Input!G406*Input!F$235+Input!H406*Input!G$235)+10*(Input!C406*Input!B$235+Input!D406*Input!C$235+Input!E406*Input!D$235+Input!I406*Input!H$235))</f>
        <v>35502283.074240185</v>
      </c>
      <c r="C36" s="17"/>
    </row>
    <row r="37" spans="1:3" x14ac:dyDescent="0.25">
      <c r="A37" s="4" t="s">
        <v>191</v>
      </c>
      <c r="B37" s="42">
        <f>IF(Input!B407,Input!B407,0.01*Input!F$60*(Input!F407*Input!E$239+Input!G407*Input!F$239+Input!H407*Input!G$239)+10*(Input!C407*Input!B$239+Input!D407*Input!C$239+Input!E407*Input!D$239+Input!I407*Input!H$239))</f>
        <v>18344519.005893264</v>
      </c>
      <c r="C37" s="17"/>
    </row>
    <row r="38" spans="1:3" x14ac:dyDescent="0.25">
      <c r="A38" s="4" t="s">
        <v>208</v>
      </c>
      <c r="B38" s="42">
        <f>IF(Input!B408,Input!B408,0.01*Input!F$60*(Input!F408*Input!E$242+Input!G408*Input!F$242+Input!H408*Input!G$242)+10*(Input!C408*Input!B$242+Input!D408*Input!C$242+Input!E408*Input!D$242+Input!I408*Input!H$242))</f>
        <v>51840444.135366783</v>
      </c>
      <c r="C38" s="17"/>
    </row>
    <row r="39" spans="1:3" x14ac:dyDescent="0.25">
      <c r="A39" s="4" t="s">
        <v>230</v>
      </c>
      <c r="B39" s="42">
        <f>IF(Input!B409,Input!B409,0.01*Input!F$60*(Input!F409*Input!E$245+Input!G409*Input!F$245+Input!H409*Input!G$245)+10*(Input!C409*Input!B$245+Input!D409*Input!C$245+Input!E409*Input!D$245+Input!I409*Input!H$245))</f>
        <v>121076.45665610697</v>
      </c>
      <c r="C39" s="17"/>
    </row>
    <row r="40" spans="1:3" x14ac:dyDescent="0.25">
      <c r="A40" s="4" t="s">
        <v>231</v>
      </c>
      <c r="B40" s="42">
        <f>IF(Input!B410,Input!B410,0.01*Input!F$60*(Input!F410*Input!E$249+Input!G410*Input!F$249+Input!H410*Input!G$249)+10*(Input!C410*Input!B$249+Input!D410*Input!C$249+Input!E410*Input!D$249+Input!I410*Input!H$249))</f>
        <v>166022.35788127844</v>
      </c>
      <c r="C40" s="17"/>
    </row>
    <row r="41" spans="1:3" x14ac:dyDescent="0.25">
      <c r="A41" s="4" t="s">
        <v>232</v>
      </c>
      <c r="B41" s="42">
        <f>IF(Input!B411,Input!B411,0.01*Input!F$60*(Input!F411*Input!E$253+Input!G411*Input!F$253+Input!H411*Input!G$253)+10*(Input!C411*Input!B$253+Input!D411*Input!C$253+Input!E411*Input!D$253+Input!I411*Input!H$253))</f>
        <v>25075.496798066582</v>
      </c>
      <c r="C41" s="17"/>
    </row>
    <row r="42" spans="1:3" x14ac:dyDescent="0.25">
      <c r="A42" s="4" t="s">
        <v>233</v>
      </c>
      <c r="B42" s="42">
        <f>IF(Input!B412,Input!B412,0.01*Input!F$60*(Input!F412*Input!E$257+Input!G412*Input!F$257+Input!H412*Input!G$257)+10*(Input!C412*Input!B$257+Input!D412*Input!C$257+Input!E412*Input!D$257+Input!I412*Input!H$257))</f>
        <v>0</v>
      </c>
      <c r="C42" s="17"/>
    </row>
    <row r="43" spans="1:3" x14ac:dyDescent="0.25">
      <c r="A43" s="4" t="s">
        <v>234</v>
      </c>
      <c r="B43" s="42">
        <f>IF(Input!B413,Input!B413,0.01*Input!F$60*(Input!F413*Input!E$261+Input!G413*Input!F$261+Input!H413*Input!G$261)+10*(Input!C413*Input!B$261+Input!D413*Input!C$261+Input!E413*Input!D$261+Input!I413*Input!H$261))</f>
        <v>4137397.8422116446</v>
      </c>
      <c r="C43" s="17"/>
    </row>
    <row r="45" spans="1:3" ht="21" customHeight="1" x14ac:dyDescent="0.3">
      <c r="A45" s="1" t="s">
        <v>1620</v>
      </c>
    </row>
    <row r="46" spans="1:3" x14ac:dyDescent="0.25">
      <c r="A46" s="2" t="s">
        <v>381</v>
      </c>
    </row>
    <row r="47" spans="1:3" x14ac:dyDescent="0.25">
      <c r="A47" s="32" t="s">
        <v>1491</v>
      </c>
    </row>
    <row r="48" spans="1:3" x14ac:dyDescent="0.25">
      <c r="A48" s="32" t="s">
        <v>1492</v>
      </c>
    </row>
    <row r="49" spans="1:10" x14ac:dyDescent="0.25">
      <c r="A49" s="32" t="s">
        <v>1493</v>
      </c>
    </row>
    <row r="50" spans="1:10" x14ac:dyDescent="0.25">
      <c r="A50" s="32" t="s">
        <v>1494</v>
      </c>
    </row>
    <row r="51" spans="1:10" x14ac:dyDescent="0.25">
      <c r="A51" s="32" t="s">
        <v>1621</v>
      </c>
    </row>
    <row r="52" spans="1:10" x14ac:dyDescent="0.25">
      <c r="A52" s="32" t="s">
        <v>1622</v>
      </c>
    </row>
    <row r="53" spans="1:10" x14ac:dyDescent="0.25">
      <c r="A53" s="32" t="s">
        <v>1623</v>
      </c>
    </row>
    <row r="54" spans="1:10" x14ac:dyDescent="0.25">
      <c r="A54" s="32" t="s">
        <v>1624</v>
      </c>
    </row>
    <row r="55" spans="1:10" x14ac:dyDescent="0.25">
      <c r="A55" s="33" t="s">
        <v>384</v>
      </c>
      <c r="B55" s="33" t="s">
        <v>443</v>
      </c>
      <c r="C55" s="33" t="s">
        <v>443</v>
      </c>
      <c r="D55" s="33" t="s">
        <v>443</v>
      </c>
      <c r="E55" s="33" t="s">
        <v>443</v>
      </c>
      <c r="F55" s="33" t="s">
        <v>443</v>
      </c>
      <c r="G55" s="33" t="s">
        <v>443</v>
      </c>
      <c r="H55" s="33" t="s">
        <v>443</v>
      </c>
      <c r="I55" s="33" t="s">
        <v>443</v>
      </c>
    </row>
    <row r="56" spans="1:10" x14ac:dyDescent="0.25">
      <c r="A56" s="33" t="s">
        <v>387</v>
      </c>
      <c r="B56" s="33" t="s">
        <v>1473</v>
      </c>
      <c r="C56" s="33" t="s">
        <v>446</v>
      </c>
      <c r="D56" s="33" t="s">
        <v>1474</v>
      </c>
      <c r="E56" s="33" t="s">
        <v>1050</v>
      </c>
      <c r="F56" s="33" t="s">
        <v>941</v>
      </c>
      <c r="G56" s="33" t="s">
        <v>1475</v>
      </c>
      <c r="H56" s="33" t="s">
        <v>1476</v>
      </c>
      <c r="I56" s="33" t="s">
        <v>1625</v>
      </c>
    </row>
    <row r="58" spans="1:10" ht="30" x14ac:dyDescent="0.25">
      <c r="B58" s="15" t="s">
        <v>239</v>
      </c>
      <c r="C58" s="15" t="s">
        <v>240</v>
      </c>
      <c r="D58" s="15" t="s">
        <v>241</v>
      </c>
      <c r="E58" s="15" t="s">
        <v>242</v>
      </c>
      <c r="F58" s="15" t="s">
        <v>243</v>
      </c>
      <c r="G58" s="15" t="s">
        <v>244</v>
      </c>
      <c r="H58" s="15" t="s">
        <v>245</v>
      </c>
      <c r="I58" s="15" t="s">
        <v>606</v>
      </c>
    </row>
    <row r="59" spans="1:10" x14ac:dyDescent="0.25">
      <c r="A59" s="4" t="s">
        <v>182</v>
      </c>
      <c r="B59" s="38">
        <f>Input!B$195</f>
        <v>4325611.9207158107</v>
      </c>
      <c r="C59" s="38">
        <f>Input!C$195</f>
        <v>0</v>
      </c>
      <c r="D59" s="38">
        <f>Input!D$195</f>
        <v>0</v>
      </c>
      <c r="E59" s="44">
        <f>Input!E$195</f>
        <v>1265207.2271374017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4325611.9207158107</v>
      </c>
      <c r="J59" s="17"/>
    </row>
    <row r="60" spans="1:10" x14ac:dyDescent="0.25">
      <c r="A60" s="4" t="s">
        <v>183</v>
      </c>
      <c r="B60" s="38">
        <f>Input!B$199</f>
        <v>631896.20650682866</v>
      </c>
      <c r="C60" s="38">
        <f>Input!C$199</f>
        <v>608756.1368600768</v>
      </c>
      <c r="D60" s="38">
        <f>Input!D$199</f>
        <v>0</v>
      </c>
      <c r="E60" s="44">
        <f>Input!E$199</f>
        <v>204084.58149972049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1240652.3433669056</v>
      </c>
      <c r="J60" s="17"/>
    </row>
    <row r="61" spans="1:10" x14ac:dyDescent="0.25">
      <c r="A61" s="4" t="s">
        <v>228</v>
      </c>
      <c r="B61" s="38">
        <f>Input!B$203</f>
        <v>49584.948626394573</v>
      </c>
      <c r="C61" s="38">
        <f>Input!C$203</f>
        <v>0</v>
      </c>
      <c r="D61" s="38">
        <f>Input!D$203</f>
        <v>0</v>
      </c>
      <c r="E61" s="44">
        <f>Input!E$203</f>
        <v>14616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49584.948626394573</v>
      </c>
      <c r="J61" s="17"/>
    </row>
    <row r="62" spans="1:10" x14ac:dyDescent="0.25">
      <c r="A62" s="4" t="s">
        <v>184</v>
      </c>
      <c r="B62" s="38">
        <f>Input!B$207</f>
        <v>1188673.8633673929</v>
      </c>
      <c r="C62" s="38">
        <f>Input!C$207</f>
        <v>0</v>
      </c>
      <c r="D62" s="38">
        <f>Input!D$207</f>
        <v>0</v>
      </c>
      <c r="E62" s="44">
        <f>Input!E$207</f>
        <v>109551.18214801565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1188673.8633673929</v>
      </c>
      <c r="J62" s="17"/>
    </row>
    <row r="63" spans="1:10" x14ac:dyDescent="0.25">
      <c r="A63" s="4" t="s">
        <v>185</v>
      </c>
      <c r="B63" s="38">
        <f>Input!B$211</f>
        <v>408779.30805433629</v>
      </c>
      <c r="C63" s="38">
        <f>Input!C$211</f>
        <v>170833.89818291247</v>
      </c>
      <c r="D63" s="38">
        <f>Input!D$211</f>
        <v>0</v>
      </c>
      <c r="E63" s="44">
        <f>Input!E$211</f>
        <v>30180.331007155499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579613.20623724873</v>
      </c>
      <c r="J63" s="17"/>
    </row>
    <row r="64" spans="1:10" x14ac:dyDescent="0.25">
      <c r="A64" s="4" t="s">
        <v>229</v>
      </c>
      <c r="B64" s="38">
        <f>Input!B$215</f>
        <v>18696.270931315648</v>
      </c>
      <c r="C64" s="38">
        <f>Input!C$215</f>
        <v>0</v>
      </c>
      <c r="D64" s="38">
        <f>Input!D$215</f>
        <v>0</v>
      </c>
      <c r="E64" s="44">
        <f>Input!E$215</f>
        <v>3163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18696.270931315648</v>
      </c>
      <c r="J64" s="17"/>
    </row>
    <row r="65" spans="1:10" x14ac:dyDescent="0.25">
      <c r="A65" s="4" t="s">
        <v>186</v>
      </c>
      <c r="B65" s="38">
        <f>Input!B$219</f>
        <v>61016.900719428624</v>
      </c>
      <c r="C65" s="38">
        <f>Input!C$219</f>
        <v>15363.298917763981</v>
      </c>
      <c r="D65" s="38">
        <f>Input!D$219</f>
        <v>0</v>
      </c>
      <c r="E65" s="44">
        <f>Input!E$219</f>
        <v>1833.471677508197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76380.199637192607</v>
      </c>
      <c r="J65" s="17"/>
    </row>
    <row r="66" spans="1:10" x14ac:dyDescent="0.25">
      <c r="A66" s="4" t="s">
        <v>187</v>
      </c>
      <c r="B66" s="38">
        <f>Input!B$223</f>
        <v>11011.490224251203</v>
      </c>
      <c r="C66" s="38">
        <f>Input!C$223</f>
        <v>2877.3369030231497</v>
      </c>
      <c r="D66" s="38">
        <f>Input!D$223</f>
        <v>0</v>
      </c>
      <c r="E66" s="44">
        <f>Input!E$223</f>
        <v>151.42512767842624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13888.827127274353</v>
      </c>
      <c r="J66" s="17"/>
    </row>
    <row r="67" spans="1:10" x14ac:dyDescent="0.25">
      <c r="A67" s="4" t="s">
        <v>207</v>
      </c>
      <c r="B67" s="38">
        <f>Input!B$225</f>
        <v>475.14555881688426</v>
      </c>
      <c r="C67" s="38">
        <f>Input!C$225</f>
        <v>185.19683477307066</v>
      </c>
      <c r="D67" s="38">
        <f>Input!D$225</f>
        <v>0</v>
      </c>
      <c r="E67" s="44">
        <f>Input!E$225</f>
        <v>11.577605311475409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660.3423935899549</v>
      </c>
      <c r="J67" s="17"/>
    </row>
    <row r="68" spans="1:10" x14ac:dyDescent="0.25">
      <c r="A68" s="4" t="s">
        <v>188</v>
      </c>
      <c r="B68" s="38">
        <f>Input!B$227</f>
        <v>17.914500587704929</v>
      </c>
      <c r="C68" s="38">
        <f>Input!C$227</f>
        <v>148.90616151495541</v>
      </c>
      <c r="D68" s="38">
        <f>Input!D$227</f>
        <v>132.14980473460798</v>
      </c>
      <c r="E68" s="44">
        <f>Input!E$227</f>
        <v>90.262264219672147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298.9704668372683</v>
      </c>
      <c r="J68" s="17"/>
    </row>
    <row r="69" spans="1:10" x14ac:dyDescent="0.25">
      <c r="A69" s="4" t="s">
        <v>189</v>
      </c>
      <c r="B69" s="38">
        <f>Input!B$231</f>
        <v>25120.809003475933</v>
      </c>
      <c r="C69" s="38">
        <f>Input!C$231</f>
        <v>181265.33625380608</v>
      </c>
      <c r="D69" s="38">
        <f>Input!D$231</f>
        <v>162228.45888345866</v>
      </c>
      <c r="E69" s="44">
        <f>Input!E$231</f>
        <v>5017.1258968839948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368614.6041407407</v>
      </c>
      <c r="J69" s="17"/>
    </row>
    <row r="70" spans="1:10" x14ac:dyDescent="0.25">
      <c r="A70" s="4" t="s">
        <v>190</v>
      </c>
      <c r="B70" s="38">
        <f>Input!B$235</f>
        <v>88440.190183722385</v>
      </c>
      <c r="C70" s="38">
        <f>Input!C$235</f>
        <v>636664.91641531512</v>
      </c>
      <c r="D70" s="38">
        <f>Input!D$235</f>
        <v>540985.31643077033</v>
      </c>
      <c r="E70" s="44">
        <f>Input!E$235</f>
        <v>7358.8733919028909</v>
      </c>
      <c r="F70" s="44">
        <f>Input!F$235</f>
        <v>669999.84133468312</v>
      </c>
      <c r="G70" s="44">
        <f>Input!G$235</f>
        <v>26935.335739672133</v>
      </c>
      <c r="H70" s="38">
        <f>Input!H$235</f>
        <v>103729.98517731513</v>
      </c>
      <c r="I70" s="44">
        <f>Summary!B$89</f>
        <v>1266090.4230298079</v>
      </c>
      <c r="J70" s="17"/>
    </row>
    <row r="71" spans="1:10" x14ac:dyDescent="0.25">
      <c r="A71" s="4" t="s">
        <v>191</v>
      </c>
      <c r="B71" s="38">
        <f>Input!B$239</f>
        <v>48977.516398784363</v>
      </c>
      <c r="C71" s="38">
        <f>Input!C$239</f>
        <v>361536.83277795935</v>
      </c>
      <c r="D71" s="38">
        <f>Input!D$239</f>
        <v>330106.10018419294</v>
      </c>
      <c r="E71" s="44">
        <f>Input!E$239</f>
        <v>1767.9314622358031</v>
      </c>
      <c r="F71" s="44">
        <f>Input!F$239</f>
        <v>352078.74316939892</v>
      </c>
      <c r="G71" s="44">
        <f>Input!G$239</f>
        <v>5897.3699357838677</v>
      </c>
      <c r="H71" s="38">
        <f>Input!H$239</f>
        <v>68974.534841827452</v>
      </c>
      <c r="I71" s="44">
        <f>Summary!B$93</f>
        <v>740620.44936093665</v>
      </c>
      <c r="J71" s="17"/>
    </row>
    <row r="72" spans="1:10" x14ac:dyDescent="0.25">
      <c r="A72" s="4" t="s">
        <v>208</v>
      </c>
      <c r="B72" s="38">
        <f>Input!B$242</f>
        <v>158180.58004964184</v>
      </c>
      <c r="C72" s="38">
        <f>Input!C$242</f>
        <v>1114577.6735039044</v>
      </c>
      <c r="D72" s="38">
        <f>Input!D$242</f>
        <v>1231512.8474357603</v>
      </c>
      <c r="E72" s="44">
        <f>Input!E$242</f>
        <v>1242.4271059445377</v>
      </c>
      <c r="F72" s="44">
        <f>Input!F$242</f>
        <v>888545.72431230394</v>
      </c>
      <c r="G72" s="44">
        <f>Input!G$242</f>
        <v>12932.011190754718</v>
      </c>
      <c r="H72" s="38">
        <f>Input!H$242</f>
        <v>171554.1733979971</v>
      </c>
      <c r="I72" s="44">
        <f>Summary!B$96</f>
        <v>2504271.1009893063</v>
      </c>
      <c r="J72" s="17"/>
    </row>
    <row r="73" spans="1:10" x14ac:dyDescent="0.25">
      <c r="A73" s="4" t="s">
        <v>230</v>
      </c>
      <c r="B73" s="38">
        <f>Input!B$245</f>
        <v>4068.4293231218739</v>
      </c>
      <c r="C73" s="38">
        <f>Input!C$245</f>
        <v>0</v>
      </c>
      <c r="D73" s="38">
        <f>Input!D$245</f>
        <v>0</v>
      </c>
      <c r="E73" s="44">
        <f>Input!E$245</f>
        <v>818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4068.4293231218739</v>
      </c>
      <c r="J73" s="17"/>
    </row>
    <row r="74" spans="1:10" x14ac:dyDescent="0.25">
      <c r="A74" s="4" t="s">
        <v>231</v>
      </c>
      <c r="B74" s="38">
        <f>Input!B$249</f>
        <v>4958.8517885686515</v>
      </c>
      <c r="C74" s="38">
        <f>Input!C$249</f>
        <v>0</v>
      </c>
      <c r="D74" s="38">
        <f>Input!D$249</f>
        <v>0</v>
      </c>
      <c r="E74" s="44">
        <f>Input!E$249</f>
        <v>759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4958.8517885686515</v>
      </c>
      <c r="J74" s="17"/>
    </row>
    <row r="75" spans="1:10" x14ac:dyDescent="0.25">
      <c r="A75" s="4" t="s">
        <v>232</v>
      </c>
      <c r="B75" s="38">
        <f>Input!B$253</f>
        <v>593.78396396084736</v>
      </c>
      <c r="C75" s="38">
        <f>Input!C$253</f>
        <v>0</v>
      </c>
      <c r="D75" s="38">
        <f>Input!D$253</f>
        <v>0</v>
      </c>
      <c r="E75" s="44">
        <f>Input!E$253</f>
        <v>191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593.78396396084736</v>
      </c>
      <c r="J75" s="17"/>
    </row>
    <row r="76" spans="1:10" x14ac:dyDescent="0.25">
      <c r="A76" s="4" t="s">
        <v>233</v>
      </c>
      <c r="B76" s="38">
        <f>Input!B$257</f>
        <v>0</v>
      </c>
      <c r="C76" s="38">
        <f>Input!C$257</f>
        <v>0</v>
      </c>
      <c r="D76" s="38">
        <f>Input!D$257</f>
        <v>0</v>
      </c>
      <c r="E76" s="44">
        <f>Input!E$257</f>
        <v>0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0</v>
      </c>
      <c r="J76" s="17"/>
    </row>
    <row r="77" spans="1:10" x14ac:dyDescent="0.25">
      <c r="A77" s="4" t="s">
        <v>234</v>
      </c>
      <c r="B77" s="38">
        <f>Input!B$261</f>
        <v>4025.4263653814442</v>
      </c>
      <c r="C77" s="38">
        <f>Input!C$261</f>
        <v>30461.379965672324</v>
      </c>
      <c r="D77" s="38">
        <f>Input!D$261</f>
        <v>87397.559442457263</v>
      </c>
      <c r="E77" s="44">
        <f>Input!E$261</f>
        <v>22.330601092896174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121884.36577351103</v>
      </c>
      <c r="J77" s="17"/>
    </row>
    <row r="78" spans="1:10" x14ac:dyDescent="0.25">
      <c r="A78" s="4" t="s">
        <v>192</v>
      </c>
      <c r="B78" s="38">
        <f>Input!B$265</f>
        <v>3884.1452388750013</v>
      </c>
      <c r="C78" s="38">
        <f>Input!C$265</f>
        <v>0</v>
      </c>
      <c r="D78" s="38">
        <f>Input!D$265</f>
        <v>0</v>
      </c>
      <c r="E78" s="44">
        <f>Input!E$265</f>
        <v>332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3884.1452388750013</v>
      </c>
      <c r="J78" s="17"/>
    </row>
    <row r="79" spans="1:10" x14ac:dyDescent="0.25">
      <c r="A79" s="4" t="s">
        <v>193</v>
      </c>
      <c r="B79" s="38">
        <f>Input!B$269</f>
        <v>0</v>
      </c>
      <c r="C79" s="38">
        <f>Input!C$269</f>
        <v>0</v>
      </c>
      <c r="D79" s="38">
        <f>Input!D$269</f>
        <v>0</v>
      </c>
      <c r="E79" s="44">
        <f>Input!E$269</f>
        <v>0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0</v>
      </c>
      <c r="J79" s="17"/>
    </row>
    <row r="80" spans="1:10" x14ac:dyDescent="0.25">
      <c r="A80" s="4" t="s">
        <v>194</v>
      </c>
      <c r="B80" s="38">
        <f>Input!B$272</f>
        <v>70648.168057500021</v>
      </c>
      <c r="C80" s="38">
        <f>Input!C$272</f>
        <v>0</v>
      </c>
      <c r="D80" s="38">
        <f>Input!D$272</f>
        <v>0</v>
      </c>
      <c r="E80" s="44">
        <f>Input!E$272</f>
        <v>949.89529234972701</v>
      </c>
      <c r="F80" s="44">
        <f>Input!F$272</f>
        <v>0</v>
      </c>
      <c r="G80" s="44">
        <f>Input!G$272</f>
        <v>0</v>
      </c>
      <c r="H80" s="38">
        <f>Input!H$272</f>
        <v>6652.6217298750016</v>
      </c>
      <c r="I80" s="44">
        <f>Summary!B$126</f>
        <v>70648.168057500021</v>
      </c>
      <c r="J80" s="17"/>
    </row>
    <row r="81" spans="1:10" x14ac:dyDescent="0.25">
      <c r="A81" s="4" t="s">
        <v>195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196</v>
      </c>
      <c r="B82" s="38">
        <f>Input!B$278</f>
        <v>227.88778782102625</v>
      </c>
      <c r="C82" s="38">
        <f>Input!C$278</f>
        <v>1445.7893020327999</v>
      </c>
      <c r="D82" s="38">
        <f>Input!D$278</f>
        <v>2003.0391402098578</v>
      </c>
      <c r="E82" s="44">
        <f>Input!E$278</f>
        <v>18.34156352459016</v>
      </c>
      <c r="F82" s="44">
        <f>Input!F$278</f>
        <v>0</v>
      </c>
      <c r="G82" s="44">
        <f>Input!G$278</f>
        <v>0</v>
      </c>
      <c r="H82" s="38">
        <f>Input!H$278</f>
        <v>646.0717252500001</v>
      </c>
      <c r="I82" s="44">
        <f>Summary!B$132</f>
        <v>3676.7162300636837</v>
      </c>
      <c r="J82" s="17"/>
    </row>
    <row r="83" spans="1:10" x14ac:dyDescent="0.25">
      <c r="A83" s="4" t="s">
        <v>197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198</v>
      </c>
      <c r="B84" s="38">
        <f>Input!B$284</f>
        <v>11531.789399625</v>
      </c>
      <c r="C84" s="38">
        <f>Input!C$284</f>
        <v>0</v>
      </c>
      <c r="D84" s="38">
        <f>Input!D$284</f>
        <v>0</v>
      </c>
      <c r="E84" s="44">
        <f>Input!E$284</f>
        <v>129.04964071038253</v>
      </c>
      <c r="F84" s="44">
        <f>Input!F$284</f>
        <v>0</v>
      </c>
      <c r="G84" s="44">
        <f>Input!G$284</f>
        <v>0</v>
      </c>
      <c r="H84" s="38">
        <f>Input!H$284</f>
        <v>1450.8045805000004</v>
      </c>
      <c r="I84" s="44">
        <f>Summary!B$138</f>
        <v>11531.789399625</v>
      </c>
      <c r="J84" s="17"/>
    </row>
    <row r="85" spans="1:10" x14ac:dyDescent="0.25">
      <c r="A85" s="4" t="s">
        <v>199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200</v>
      </c>
      <c r="B86" s="38">
        <f>Input!B$289</f>
        <v>264.21772129895868</v>
      </c>
      <c r="C86" s="38">
        <f>Input!C$289</f>
        <v>1475.7031393722757</v>
      </c>
      <c r="D86" s="38">
        <f>Input!D$289</f>
        <v>2402.1096696522009</v>
      </c>
      <c r="E86" s="44">
        <f>Input!E$289</f>
        <v>13.129690573770491</v>
      </c>
      <c r="F86" s="44">
        <f>Input!F$289</f>
        <v>0</v>
      </c>
      <c r="G86" s="44">
        <f>Input!G$289</f>
        <v>0</v>
      </c>
      <c r="H86" s="38">
        <f>Input!H$289</f>
        <v>631.49050125000008</v>
      </c>
      <c r="I86" s="44">
        <f>Summary!B$143</f>
        <v>4142.0305303234354</v>
      </c>
      <c r="J86" s="17"/>
    </row>
    <row r="87" spans="1:10" x14ac:dyDescent="0.25">
      <c r="A87" s="4" t="s">
        <v>201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209</v>
      </c>
      <c r="B88" s="38">
        <f>Input!B$294</f>
        <v>407729.87522025005</v>
      </c>
      <c r="C88" s="38">
        <f>Input!C$294</f>
        <v>0</v>
      </c>
      <c r="D88" s="38">
        <f>Input!D$294</f>
        <v>0</v>
      </c>
      <c r="E88" s="44">
        <f>Input!E$294</f>
        <v>252.79925000000006</v>
      </c>
      <c r="F88" s="44">
        <f>Input!F$294</f>
        <v>0</v>
      </c>
      <c r="G88" s="44">
        <f>Input!G$294</f>
        <v>0</v>
      </c>
      <c r="H88" s="38">
        <f>Input!H$294</f>
        <v>4529.0778706250021</v>
      </c>
      <c r="I88" s="44">
        <f>Summary!B$148</f>
        <v>407729.87522025005</v>
      </c>
      <c r="J88" s="17"/>
    </row>
    <row r="89" spans="1:10" x14ac:dyDescent="0.25">
      <c r="A89" s="4" t="s">
        <v>210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211</v>
      </c>
      <c r="B90" s="38">
        <f>Input!B$299</f>
        <v>17033.165909074287</v>
      </c>
      <c r="C90" s="38">
        <f>Input!C$299</f>
        <v>85342.190722432511</v>
      </c>
      <c r="D90" s="38">
        <f>Input!D$299</f>
        <v>115386.59062718594</v>
      </c>
      <c r="E90" s="44">
        <f>Input!E$299</f>
        <v>68.906400614754091</v>
      </c>
      <c r="F90" s="44">
        <f>Input!F$299</f>
        <v>0</v>
      </c>
      <c r="G90" s="44">
        <f>Input!G$299</f>
        <v>0</v>
      </c>
      <c r="H90" s="38">
        <f>Input!H$299</f>
        <v>3896.5228627500005</v>
      </c>
      <c r="I90" s="44">
        <f>Summary!B$153</f>
        <v>217761.94725869276</v>
      </c>
      <c r="J90" s="17"/>
    </row>
    <row r="91" spans="1:10" x14ac:dyDescent="0.25">
      <c r="A91" s="4" t="s">
        <v>212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1626</v>
      </c>
    </row>
    <row r="95" spans="1:10" x14ac:dyDescent="0.25">
      <c r="B95" s="15" t="s">
        <v>1627</v>
      </c>
    </row>
    <row r="96" spans="1:10" x14ac:dyDescent="0.25">
      <c r="A96" s="4" t="s">
        <v>182</v>
      </c>
      <c r="B96" s="27" t="s">
        <v>1628</v>
      </c>
      <c r="C96" s="17"/>
    </row>
    <row r="97" spans="1:3" x14ac:dyDescent="0.25">
      <c r="A97" s="4" t="s">
        <v>183</v>
      </c>
      <c r="B97" s="27" t="s">
        <v>1628</v>
      </c>
      <c r="C97" s="17"/>
    </row>
    <row r="98" spans="1:3" x14ac:dyDescent="0.25">
      <c r="A98" s="4" t="s">
        <v>228</v>
      </c>
      <c r="B98" s="27" t="s">
        <v>1628</v>
      </c>
      <c r="C98" s="17"/>
    </row>
    <row r="99" spans="1:3" x14ac:dyDescent="0.25">
      <c r="A99" s="4" t="s">
        <v>184</v>
      </c>
      <c r="B99" s="27" t="s">
        <v>1628</v>
      </c>
      <c r="C99" s="17"/>
    </row>
    <row r="100" spans="1:3" x14ac:dyDescent="0.25">
      <c r="A100" s="4" t="s">
        <v>185</v>
      </c>
      <c r="B100" s="27" t="s">
        <v>1628</v>
      </c>
      <c r="C100" s="17"/>
    </row>
    <row r="101" spans="1:3" x14ac:dyDescent="0.25">
      <c r="A101" s="4" t="s">
        <v>229</v>
      </c>
      <c r="B101" s="27" t="s">
        <v>1628</v>
      </c>
      <c r="C101" s="17"/>
    </row>
    <row r="102" spans="1:3" x14ac:dyDescent="0.25">
      <c r="A102" s="4" t="s">
        <v>186</v>
      </c>
      <c r="B102" s="27" t="s">
        <v>1628</v>
      </c>
      <c r="C102" s="17"/>
    </row>
    <row r="103" spans="1:3" x14ac:dyDescent="0.25">
      <c r="A103" s="4" t="s">
        <v>187</v>
      </c>
      <c r="B103" s="27" t="s">
        <v>1628</v>
      </c>
      <c r="C103" s="17"/>
    </row>
    <row r="104" spans="1:3" x14ac:dyDescent="0.25">
      <c r="A104" s="4" t="s">
        <v>207</v>
      </c>
      <c r="B104" s="27" t="s">
        <v>1628</v>
      </c>
      <c r="C104" s="17"/>
    </row>
    <row r="105" spans="1:3" x14ac:dyDescent="0.25">
      <c r="A105" s="4" t="s">
        <v>188</v>
      </c>
      <c r="B105" s="27" t="s">
        <v>1628</v>
      </c>
      <c r="C105" s="17"/>
    </row>
    <row r="106" spans="1:3" x14ac:dyDescent="0.25">
      <c r="A106" s="4" t="s">
        <v>189</v>
      </c>
      <c r="B106" s="27" t="s">
        <v>1628</v>
      </c>
      <c r="C106" s="17"/>
    </row>
    <row r="107" spans="1:3" x14ac:dyDescent="0.25">
      <c r="A107" s="4" t="s">
        <v>190</v>
      </c>
      <c r="B107" s="27" t="s">
        <v>1629</v>
      </c>
      <c r="C107" s="17"/>
    </row>
    <row r="108" spans="1:3" x14ac:dyDescent="0.25">
      <c r="A108" s="4" t="s">
        <v>191</v>
      </c>
      <c r="B108" s="27" t="s">
        <v>1629</v>
      </c>
      <c r="C108" s="17"/>
    </row>
    <row r="109" spans="1:3" x14ac:dyDescent="0.25">
      <c r="A109" s="4" t="s">
        <v>208</v>
      </c>
      <c r="B109" s="27" t="s">
        <v>1629</v>
      </c>
      <c r="C109" s="17"/>
    </row>
    <row r="110" spans="1:3" x14ac:dyDescent="0.25">
      <c r="A110" s="4" t="s">
        <v>230</v>
      </c>
      <c r="B110" s="27" t="s">
        <v>1630</v>
      </c>
      <c r="C110" s="17"/>
    </row>
    <row r="111" spans="1:3" x14ac:dyDescent="0.25">
      <c r="A111" s="4" t="s">
        <v>231</v>
      </c>
      <c r="B111" s="27" t="s">
        <v>1630</v>
      </c>
      <c r="C111" s="17"/>
    </row>
    <row r="112" spans="1:3" x14ac:dyDescent="0.25">
      <c r="A112" s="4" t="s">
        <v>232</v>
      </c>
      <c r="B112" s="27" t="s">
        <v>1630</v>
      </c>
      <c r="C112" s="17"/>
    </row>
    <row r="113" spans="1:3" x14ac:dyDescent="0.25">
      <c r="A113" s="4" t="s">
        <v>233</v>
      </c>
      <c r="B113" s="27" t="s">
        <v>1630</v>
      </c>
      <c r="C113" s="17"/>
    </row>
    <row r="114" spans="1:3" x14ac:dyDescent="0.25">
      <c r="A114" s="4" t="s">
        <v>234</v>
      </c>
      <c r="B114" s="27" t="s">
        <v>1630</v>
      </c>
      <c r="C114" s="17"/>
    </row>
    <row r="115" spans="1:3" x14ac:dyDescent="0.25">
      <c r="A115" s="4" t="s">
        <v>192</v>
      </c>
      <c r="B115" s="27" t="s">
        <v>1630</v>
      </c>
      <c r="C115" s="17"/>
    </row>
    <row r="116" spans="1:3" x14ac:dyDescent="0.25">
      <c r="A116" s="4" t="s">
        <v>193</v>
      </c>
      <c r="B116" s="27" t="s">
        <v>1630</v>
      </c>
      <c r="C116" s="17"/>
    </row>
    <row r="117" spans="1:3" x14ac:dyDescent="0.25">
      <c r="A117" s="4" t="s">
        <v>194</v>
      </c>
      <c r="B117" s="27" t="s">
        <v>1630</v>
      </c>
      <c r="C117" s="17"/>
    </row>
    <row r="118" spans="1:3" x14ac:dyDescent="0.25">
      <c r="A118" s="4" t="s">
        <v>195</v>
      </c>
      <c r="B118" s="27" t="s">
        <v>1630</v>
      </c>
      <c r="C118" s="17"/>
    </row>
    <row r="119" spans="1:3" x14ac:dyDescent="0.25">
      <c r="A119" s="4" t="s">
        <v>196</v>
      </c>
      <c r="B119" s="27" t="s">
        <v>1630</v>
      </c>
      <c r="C119" s="17"/>
    </row>
    <row r="120" spans="1:3" x14ac:dyDescent="0.25">
      <c r="A120" s="4" t="s">
        <v>197</v>
      </c>
      <c r="B120" s="27" t="s">
        <v>1630</v>
      </c>
      <c r="C120" s="17"/>
    </row>
    <row r="121" spans="1:3" x14ac:dyDescent="0.25">
      <c r="A121" s="4" t="s">
        <v>198</v>
      </c>
      <c r="B121" s="27" t="s">
        <v>1630</v>
      </c>
      <c r="C121" s="17"/>
    </row>
    <row r="122" spans="1:3" x14ac:dyDescent="0.25">
      <c r="A122" s="4" t="s">
        <v>199</v>
      </c>
      <c r="B122" s="27" t="s">
        <v>1630</v>
      </c>
      <c r="C122" s="17"/>
    </row>
    <row r="123" spans="1:3" x14ac:dyDescent="0.25">
      <c r="A123" s="4" t="s">
        <v>200</v>
      </c>
      <c r="B123" s="27" t="s">
        <v>1630</v>
      </c>
      <c r="C123" s="17"/>
    </row>
    <row r="124" spans="1:3" x14ac:dyDescent="0.25">
      <c r="A124" s="4" t="s">
        <v>201</v>
      </c>
      <c r="B124" s="27" t="s">
        <v>1630</v>
      </c>
      <c r="C124" s="17"/>
    </row>
    <row r="125" spans="1:3" x14ac:dyDescent="0.25">
      <c r="A125" s="4" t="s">
        <v>209</v>
      </c>
      <c r="B125" s="27" t="s">
        <v>1630</v>
      </c>
      <c r="C125" s="17"/>
    </row>
    <row r="126" spans="1:3" x14ac:dyDescent="0.25">
      <c r="A126" s="4" t="s">
        <v>210</v>
      </c>
      <c r="B126" s="27" t="s">
        <v>1630</v>
      </c>
      <c r="C126" s="17"/>
    </row>
    <row r="127" spans="1:3" x14ac:dyDescent="0.25">
      <c r="A127" s="4" t="s">
        <v>211</v>
      </c>
      <c r="B127" s="27" t="s">
        <v>1630</v>
      </c>
      <c r="C127" s="17"/>
    </row>
    <row r="128" spans="1:3" x14ac:dyDescent="0.25">
      <c r="A128" s="4" t="s">
        <v>212</v>
      </c>
      <c r="B128" s="27" t="s">
        <v>1630</v>
      </c>
      <c r="C128" s="17"/>
    </row>
    <row r="130" spans="1:1" ht="21" customHeight="1" x14ac:dyDescent="0.3">
      <c r="A130" s="1" t="s">
        <v>1631</v>
      </c>
    </row>
    <row r="131" spans="1:1" x14ac:dyDescent="0.25">
      <c r="A131" s="2" t="s">
        <v>381</v>
      </c>
    </row>
    <row r="132" spans="1:1" x14ac:dyDescent="0.25">
      <c r="A132" s="32" t="s">
        <v>1632</v>
      </c>
    </row>
    <row r="133" spans="1:1" x14ac:dyDescent="0.25">
      <c r="A133" s="32" t="s">
        <v>1633</v>
      </c>
    </row>
    <row r="134" spans="1:1" x14ac:dyDescent="0.25">
      <c r="A134" s="32" t="s">
        <v>1634</v>
      </c>
    </row>
    <row r="135" spans="1:1" x14ac:dyDescent="0.25">
      <c r="A135" s="32" t="s">
        <v>1635</v>
      </c>
    </row>
    <row r="136" spans="1:1" x14ac:dyDescent="0.25">
      <c r="A136" s="32" t="s">
        <v>1636</v>
      </c>
    </row>
    <row r="137" spans="1:1" x14ac:dyDescent="0.25">
      <c r="A137" s="32" t="s">
        <v>1637</v>
      </c>
    </row>
    <row r="138" spans="1:1" x14ac:dyDescent="0.25">
      <c r="A138" s="32" t="s">
        <v>1638</v>
      </c>
    </row>
    <row r="139" spans="1:1" x14ac:dyDescent="0.25">
      <c r="A139" s="32" t="s">
        <v>1639</v>
      </c>
    </row>
    <row r="140" spans="1:1" x14ac:dyDescent="0.25">
      <c r="A140" s="32" t="s">
        <v>1640</v>
      </c>
    </row>
    <row r="141" spans="1:1" x14ac:dyDescent="0.25">
      <c r="A141" s="32" t="s">
        <v>633</v>
      </c>
    </row>
    <row r="142" spans="1:1" x14ac:dyDescent="0.25">
      <c r="A142" s="32" t="s">
        <v>1641</v>
      </c>
    </row>
    <row r="143" spans="1:1" x14ac:dyDescent="0.25">
      <c r="A143" s="32" t="s">
        <v>1642</v>
      </c>
    </row>
    <row r="144" spans="1:1" x14ac:dyDescent="0.25">
      <c r="A144" s="32" t="s">
        <v>1643</v>
      </c>
    </row>
    <row r="145" spans="1:10" x14ac:dyDescent="0.25">
      <c r="A145" s="32" t="s">
        <v>1644</v>
      </c>
    </row>
    <row r="146" spans="1:10" x14ac:dyDescent="0.25">
      <c r="A146" s="32" t="s">
        <v>1645</v>
      </c>
    </row>
    <row r="147" spans="1:10" x14ac:dyDescent="0.25">
      <c r="A147" s="32" t="s">
        <v>1646</v>
      </c>
    </row>
    <row r="148" spans="1:10" x14ac:dyDescent="0.25">
      <c r="A148" s="32" t="s">
        <v>1647</v>
      </c>
    </row>
    <row r="149" spans="1:10" x14ac:dyDescent="0.25">
      <c r="A149" s="32" t="s">
        <v>1648</v>
      </c>
    </row>
    <row r="150" spans="1:10" x14ac:dyDescent="0.25">
      <c r="A150" s="32" t="s">
        <v>1649</v>
      </c>
    </row>
    <row r="151" spans="1:10" x14ac:dyDescent="0.25">
      <c r="A151" s="32" t="s">
        <v>1650</v>
      </c>
    </row>
    <row r="152" spans="1:10" x14ac:dyDescent="0.25">
      <c r="A152" s="32" t="s">
        <v>1651</v>
      </c>
    </row>
    <row r="153" spans="1:10" x14ac:dyDescent="0.25">
      <c r="A153" s="32" t="s">
        <v>1652</v>
      </c>
    </row>
    <row r="154" spans="1:10" x14ac:dyDescent="0.25">
      <c r="A154" s="32" t="s">
        <v>1653</v>
      </c>
    </row>
    <row r="155" spans="1:10" x14ac:dyDescent="0.25">
      <c r="A155" s="32" t="s">
        <v>1654</v>
      </c>
    </row>
    <row r="156" spans="1:10" x14ac:dyDescent="0.25">
      <c r="A156" s="33" t="s">
        <v>384</v>
      </c>
      <c r="B156" s="33" t="s">
        <v>514</v>
      </c>
      <c r="C156" s="33" t="s">
        <v>514</v>
      </c>
      <c r="D156" s="33" t="s">
        <v>514</v>
      </c>
      <c r="E156" s="33" t="s">
        <v>514</v>
      </c>
      <c r="F156" s="33" t="s">
        <v>514</v>
      </c>
      <c r="G156" s="33" t="s">
        <v>514</v>
      </c>
      <c r="H156" s="33" t="s">
        <v>514</v>
      </c>
      <c r="I156" s="33" t="s">
        <v>514</v>
      </c>
    </row>
    <row r="157" spans="1:10" ht="60" x14ac:dyDescent="0.25">
      <c r="A157" s="33" t="s">
        <v>387</v>
      </c>
      <c r="B157" s="33" t="s">
        <v>1655</v>
      </c>
      <c r="C157" s="33" t="s">
        <v>1656</v>
      </c>
      <c r="D157" s="33" t="s">
        <v>1657</v>
      </c>
      <c r="E157" s="33" t="s">
        <v>1658</v>
      </c>
      <c r="F157" s="33" t="s">
        <v>1659</v>
      </c>
      <c r="G157" s="33" t="s">
        <v>1660</v>
      </c>
      <c r="H157" s="33" t="s">
        <v>1661</v>
      </c>
      <c r="I157" s="33" t="s">
        <v>1662</v>
      </c>
    </row>
    <row r="159" spans="1:10" ht="30" x14ac:dyDescent="0.25">
      <c r="B159" s="15" t="s">
        <v>1663</v>
      </c>
      <c r="C159" s="15" t="s">
        <v>1664</v>
      </c>
      <c r="D159" s="15" t="s">
        <v>1665</v>
      </c>
      <c r="E159" s="15" t="s">
        <v>1666</v>
      </c>
      <c r="F159" s="15" t="s">
        <v>1667</v>
      </c>
      <c r="G159" s="15" t="s">
        <v>1668</v>
      </c>
      <c r="H159" s="15" t="s">
        <v>1669</v>
      </c>
      <c r="I159" s="15" t="s">
        <v>1670</v>
      </c>
    </row>
    <row r="160" spans="1:10" x14ac:dyDescent="0.25">
      <c r="A160" s="28" t="s">
        <v>182</v>
      </c>
      <c r="J160" s="17"/>
    </row>
    <row r="161" spans="1:10" x14ac:dyDescent="0.25">
      <c r="A161" s="4" t="s">
        <v>182</v>
      </c>
      <c r="B161" s="37">
        <f>B$59/IF(B$96="kVA",IF(F$59,F$59,1),IF(B$96="MPAN",IF(E$59,E$59,1),IF(I$59,I$59,1)))</f>
        <v>3.418895994218067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112.42702880093901</v>
      </c>
      <c r="J161" s="17"/>
    </row>
    <row r="162" spans="1:10" x14ac:dyDescent="0.25">
      <c r="A162" s="4" t="s">
        <v>247</v>
      </c>
      <c r="B162" s="37">
        <f>B$59/IF(B$96="kVA",IF(F$59,F$59,1),IF(B$96="MPAN",IF(E$59,E$59,1),IF(I$59,I$59,1)))</f>
        <v>3.418895994218067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70.263222140608576</v>
      </c>
      <c r="J162" s="17"/>
    </row>
    <row r="163" spans="1:10" x14ac:dyDescent="0.25">
      <c r="A163" s="4" t="s">
        <v>248</v>
      </c>
      <c r="B163" s="37">
        <f>B$59/IF(B$96="kVA",IF(F$59,F$59,1),IF(B$96="MPAN",IF(E$59,E$59,1),IF(I$59,I$59,1)))</f>
        <v>3.418895994218067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43.201530658884963</v>
      </c>
      <c r="J163" s="17"/>
    </row>
    <row r="164" spans="1:10" x14ac:dyDescent="0.25">
      <c r="A164" s="28" t="s">
        <v>183</v>
      </c>
      <c r="J164" s="17"/>
    </row>
    <row r="165" spans="1:10" x14ac:dyDescent="0.25">
      <c r="A165" s="4" t="s">
        <v>183</v>
      </c>
      <c r="B165" s="37">
        <f>B$60/IF(B$97="kVA",IF(F$60,F$60,1),IF(B$97="MPAN",IF(E$60,E$60,1),IF(I$60,I$60,1)))</f>
        <v>3.0962466731358345</v>
      </c>
      <c r="C165" s="37">
        <f>C$60/IF(B$97="kVA",IF(F$60,F$60,1),IF(B$97="MPAN",IF(E$60,E$60,1),IF(I$60,I$60,1)))</f>
        <v>2.9828619702018524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154.19985780369043</v>
      </c>
      <c r="J165" s="17"/>
    </row>
    <row r="166" spans="1:10" x14ac:dyDescent="0.25">
      <c r="A166" s="4" t="s">
        <v>250</v>
      </c>
      <c r="B166" s="37">
        <f>B$60/IF(B$97="kVA",IF(F$60,F$60,1),IF(B$97="MPAN",IF(E$60,E$60,1),IF(I$60,I$60,1)))</f>
        <v>3.0962466731358345</v>
      </c>
      <c r="C166" s="37">
        <f>C$60/IF(B$97="kVA",IF(F$60,F$60,1),IF(B$97="MPAN",IF(E$60,E$60,1),IF(I$60,I$60,1)))</f>
        <v>2.9828619702018524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96.342196389944249</v>
      </c>
      <c r="J166" s="17"/>
    </row>
    <row r="167" spans="1:10" x14ac:dyDescent="0.25">
      <c r="A167" s="4" t="s">
        <v>251</v>
      </c>
      <c r="B167" s="37">
        <f>B$60/IF(B$97="kVA",IF(F$60,F$60,1),IF(B$97="MPAN",IF(E$60,E$60,1),IF(I$60,I$60,1)))</f>
        <v>3.0962466731358345</v>
      </c>
      <c r="C167" s="37">
        <f>C$60/IF(B$97="kVA",IF(F$60,F$60,1),IF(B$97="MPAN",IF(E$60,E$60,1),IF(I$60,I$60,1)))</f>
        <v>2.9828619702018524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59.234591451917098</v>
      </c>
      <c r="J167" s="17"/>
    </row>
    <row r="168" spans="1:10" x14ac:dyDescent="0.25">
      <c r="A168" s="28" t="s">
        <v>228</v>
      </c>
      <c r="J168" s="17"/>
    </row>
    <row r="169" spans="1:10" x14ac:dyDescent="0.25">
      <c r="A169" s="4" t="s">
        <v>228</v>
      </c>
      <c r="B169" s="37">
        <f>B$61/IF(B$98="kVA",IF(F$61,F$61,1),IF(B$98="MPAN",IF(E$61,E$61,1),IF(I$61,I$61,1)))</f>
        <v>3.392511537109645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48.377214519183539</v>
      </c>
      <c r="J169" s="17"/>
    </row>
    <row r="170" spans="1:10" x14ac:dyDescent="0.25">
      <c r="A170" s="4" t="s">
        <v>253</v>
      </c>
      <c r="B170" s="37">
        <f>B$61/IF(B$98="kVA",IF(F$61,F$61,1),IF(B$98="MPAN",IF(E$61,E$61,1),IF(I$61,I$61,1)))</f>
        <v>3.392511537109645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30.227277795646938</v>
      </c>
      <c r="J170" s="17"/>
    </row>
    <row r="171" spans="1:10" x14ac:dyDescent="0.25">
      <c r="A171" s="4" t="s">
        <v>254</v>
      </c>
      <c r="B171" s="37">
        <f>B$61/IF(B$98="kVA",IF(F$61,F$61,1),IF(B$98="MPAN",IF(E$61,E$61,1),IF(I$61,I$61,1)))</f>
        <v>3.392511537109645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18.590963223360855</v>
      </c>
      <c r="J171" s="17"/>
    </row>
    <row r="172" spans="1:10" x14ac:dyDescent="0.25">
      <c r="A172" s="28" t="s">
        <v>184</v>
      </c>
      <c r="J172" s="17"/>
    </row>
    <row r="173" spans="1:10" x14ac:dyDescent="0.25">
      <c r="A173" s="4" t="s">
        <v>184</v>
      </c>
      <c r="B173" s="37">
        <f>B$62/IF(B$99="kVA",IF(F$62,F$62,1),IF(B$99="MPAN",IF(E$62,E$62,1),IF(I$62,I$62,1)))</f>
        <v>10.850397412976925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308.8458545483162</v>
      </c>
      <c r="J173" s="17"/>
    </row>
    <row r="174" spans="1:10" x14ac:dyDescent="0.25">
      <c r="A174" s="4" t="s">
        <v>256</v>
      </c>
      <c r="B174" s="37">
        <f>B$62/IF(B$99="kVA",IF(F$62,F$62,1),IF(B$99="MPAN",IF(E$62,E$62,1),IF(I$62,I$62,1)))</f>
        <v>10.850397412976925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192.99238309916515</v>
      </c>
      <c r="J174" s="17"/>
    </row>
    <row r="175" spans="1:10" x14ac:dyDescent="0.25">
      <c r="A175" s="4" t="s">
        <v>257</v>
      </c>
      <c r="B175" s="37">
        <f>B$62/IF(B$99="kVA",IF(F$62,F$62,1),IF(B$99="MPAN",IF(E$62,E$62,1),IF(I$62,I$62,1)))</f>
        <v>10.850397412976925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118.6418628541357</v>
      </c>
      <c r="J175" s="17"/>
    </row>
    <row r="176" spans="1:10" x14ac:dyDescent="0.25">
      <c r="A176" s="28" t="s">
        <v>185</v>
      </c>
      <c r="J176" s="17"/>
    </row>
    <row r="177" spans="1:10" x14ac:dyDescent="0.25">
      <c r="A177" s="4" t="s">
        <v>185</v>
      </c>
      <c r="B177" s="37">
        <f>B$63/IF(B$100="kVA",IF(F$63,F$63,1),IF(B$100="MPAN",IF(E$63,E$63,1),IF(I$63,I$63,1)))</f>
        <v>13.544560129490236</v>
      </c>
      <c r="C177" s="37">
        <f>C$63/IF(B$100="kVA",IF(F$63,F$63,1),IF(B$100="MPAN",IF(E$63,E$63,1),IF(I$63,I$63,1)))</f>
        <v>5.6604381887796134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480.96605888893566</v>
      </c>
      <c r="J177" s="17"/>
    </row>
    <row r="178" spans="1:10" x14ac:dyDescent="0.25">
      <c r="A178" s="4" t="s">
        <v>259</v>
      </c>
      <c r="B178" s="37">
        <f>B$63/IF(B$100="kVA",IF(F$63,F$63,1),IF(B$100="MPAN",IF(E$63,E$63,1),IF(I$63,I$63,1)))</f>
        <v>13.544560129490236</v>
      </c>
      <c r="C178" s="37">
        <f>C$63/IF(B$100="kVA",IF(F$63,F$63,1),IF(B$100="MPAN",IF(E$63,E$63,1),IF(I$63,I$63,1)))</f>
        <v>5.6604381887796134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300.45767486593371</v>
      </c>
      <c r="J178" s="17"/>
    </row>
    <row r="179" spans="1:10" x14ac:dyDescent="0.25">
      <c r="A179" s="4" t="s">
        <v>260</v>
      </c>
      <c r="B179" s="37">
        <f>B$63/IF(B$100="kVA",IF(F$63,F$63,1),IF(B$100="MPAN",IF(E$63,E$63,1),IF(I$63,I$63,1)))</f>
        <v>13.544560129490236</v>
      </c>
      <c r="C179" s="37">
        <f>C$63/IF(B$100="kVA",IF(F$63,F$63,1),IF(B$100="MPAN",IF(E$63,E$63,1),IF(I$63,I$63,1)))</f>
        <v>5.6604381887796134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184.73113103673313</v>
      </c>
      <c r="J179" s="17"/>
    </row>
    <row r="180" spans="1:10" x14ac:dyDescent="0.25">
      <c r="A180" s="28" t="s">
        <v>229</v>
      </c>
      <c r="J180" s="17"/>
    </row>
    <row r="181" spans="1:10" x14ac:dyDescent="0.25">
      <c r="A181" s="4" t="s">
        <v>229</v>
      </c>
      <c r="B181" s="37">
        <f>B$64/IF(B$101="kVA",IF(F$64,F$64,1),IF(B$101="MPAN",IF(E$64,E$64,1),IF(I$64,I$64,1)))</f>
        <v>5.9109297917532873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84.762733213742138</v>
      </c>
      <c r="J181" s="17"/>
    </row>
    <row r="182" spans="1:10" ht="30" x14ac:dyDescent="0.25">
      <c r="A182" s="4" t="s">
        <v>262</v>
      </c>
      <c r="B182" s="37">
        <f>B$64/IF(B$101="kVA",IF(F$64,F$64,1),IF(B$101="MPAN",IF(E$64,E$64,1),IF(I$64,I$64,1)))</f>
        <v>5.9109297917532873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52.961930934109454</v>
      </c>
      <c r="J182" s="17"/>
    </row>
    <row r="183" spans="1:10" ht="30" x14ac:dyDescent="0.25">
      <c r="A183" s="4" t="s">
        <v>263</v>
      </c>
      <c r="B183" s="37">
        <f>B$64/IF(B$101="kVA",IF(F$64,F$64,1),IF(B$101="MPAN",IF(E$64,E$64,1),IF(I$64,I$64,1)))</f>
        <v>5.9109297917532873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32.569223152560618</v>
      </c>
      <c r="J183" s="17"/>
    </row>
    <row r="184" spans="1:10" x14ac:dyDescent="0.25">
      <c r="A184" s="28" t="s">
        <v>186</v>
      </c>
      <c r="J184" s="17"/>
    </row>
    <row r="185" spans="1:10" x14ac:dyDescent="0.25">
      <c r="A185" s="4" t="s">
        <v>186</v>
      </c>
      <c r="B185" s="37">
        <f>B$65/IF(B$102="kVA",IF(F$65,F$65,1),IF(B$102="MPAN",IF(E$65,E$65,1),IF(I$65,I$65,1)))</f>
        <v>33.27943456555294</v>
      </c>
      <c r="C185" s="37">
        <f>C$65/IF(B$102="kVA",IF(F$65,F$65,1),IF(B$102="MPAN",IF(E$65,E$65,1),IF(I$65,I$65,1)))</f>
        <v>8.3793489183556229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1057.2475489093292</v>
      </c>
      <c r="J185" s="17"/>
    </row>
    <row r="186" spans="1:10" x14ac:dyDescent="0.25">
      <c r="A186" s="4" t="s">
        <v>265</v>
      </c>
      <c r="B186" s="37">
        <f>B$65/IF(B$102="kVA",IF(F$65,F$65,1),IF(B$102="MPAN",IF(E$65,E$65,1),IF(I$65,I$65,1)))</f>
        <v>33.27943456555294</v>
      </c>
      <c r="C186" s="37">
        <f>C$65/IF(B$102="kVA",IF(F$65,F$65,1),IF(B$102="MPAN",IF(E$65,E$65,1),IF(I$65,I$65,1)))</f>
        <v>8.3793489183556229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660.36282524332057</v>
      </c>
      <c r="J186" s="17"/>
    </row>
    <row r="187" spans="1:10" x14ac:dyDescent="0.25">
      <c r="A187" s="4" t="s">
        <v>266</v>
      </c>
      <c r="B187" s="37">
        <f>B$65/IF(B$102="kVA",IF(F$65,F$65,1),IF(B$102="MPAN",IF(E$65,E$65,1),IF(I$65,I$65,1)))</f>
        <v>33.27943456555294</v>
      </c>
      <c r="C187" s="37">
        <f>C$65/IF(B$102="kVA",IF(F$65,F$65,1),IF(B$102="MPAN",IF(E$65,E$65,1),IF(I$65,I$65,1)))</f>
        <v>8.3793489183556229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406.06411462981686</v>
      </c>
      <c r="J187" s="17"/>
    </row>
    <row r="188" spans="1:10" x14ac:dyDescent="0.25">
      <c r="A188" s="28" t="s">
        <v>187</v>
      </c>
      <c r="J188" s="17"/>
    </row>
    <row r="189" spans="1:10" x14ac:dyDescent="0.25">
      <c r="A189" s="4" t="s">
        <v>187</v>
      </c>
      <c r="B189" s="37">
        <f>B$66/IF(B$103="kVA",IF(F$66,F$66,1),IF(B$103="MPAN",IF(E$66,E$66,1),IF(I$66,I$66,1)))</f>
        <v>72.71904203135783</v>
      </c>
      <c r="C189" s="37">
        <f>C$66/IF(B$103="kVA",IF(F$66,F$66,1),IF(B$103="MPAN",IF(E$66,E$66,1),IF(I$66,I$66,1)))</f>
        <v>19.001713567206643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2098.3021274924945</v>
      </c>
      <c r="J189" s="17"/>
    </row>
    <row r="190" spans="1:10" x14ac:dyDescent="0.25">
      <c r="A190" s="28" t="s">
        <v>207</v>
      </c>
      <c r="J190" s="17"/>
    </row>
    <row r="191" spans="1:10" x14ac:dyDescent="0.25">
      <c r="A191" s="4" t="s">
        <v>207</v>
      </c>
      <c r="B191" s="37">
        <f>B$67/IF(B$104="kVA",IF(F$67,F$67,1),IF(B$104="MPAN",IF(E$67,E$67,1),IF(I$67,I$67,1)))</f>
        <v>41.040055005669679</v>
      </c>
      <c r="C191" s="37">
        <f>C$67/IF(B$104="kVA",IF(F$67,F$67,1),IF(B$104="MPAN",IF(E$67,E$67,1),IF(I$67,I$67,1)))</f>
        <v>15.996126123725134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1573.9529407077448</v>
      </c>
      <c r="J191" s="17"/>
    </row>
    <row r="192" spans="1:10" x14ac:dyDescent="0.25">
      <c r="A192" s="28" t="s">
        <v>188</v>
      </c>
      <c r="J192" s="17"/>
    </row>
    <row r="193" spans="1:10" x14ac:dyDescent="0.25">
      <c r="A193" s="4" t="s">
        <v>188</v>
      </c>
      <c r="B193" s="37">
        <f>B$68/IF(B$105="kVA",IF(F$68,F$68,1),IF(B$105="MPAN",IF(E$68,E$68,1),IF(I$68,I$68,1)))</f>
        <v>0.1984716508341319</v>
      </c>
      <c r="C193" s="37">
        <f>C$68/IF(B$105="kVA",IF(F$68,F$68,1),IF(B$105="MPAN",IF(E$68,E$68,1),IF(I$68,I$68,1)))</f>
        <v>1.6497055862964067</v>
      </c>
      <c r="D193" s="37">
        <f>D$68/IF(B$105="kVA",IF(F$68,F$68,1),IF(B$105="MPAN",IF(E$68,E$68,1),IF(I$68,I$68,1)))</f>
        <v>1.4640648102178528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97.542216882123611</v>
      </c>
      <c r="J193" s="17"/>
    </row>
    <row r="194" spans="1:10" x14ac:dyDescent="0.25">
      <c r="A194" s="4" t="s">
        <v>270</v>
      </c>
      <c r="B194" s="37">
        <f>B$68/IF(B$105="kVA",IF(F$68,F$68,1),IF(B$105="MPAN",IF(E$68,E$68,1),IF(I$68,I$68,1)))</f>
        <v>0.1984716508341319</v>
      </c>
      <c r="C194" s="37">
        <f>C$68/IF(B$105="kVA",IF(F$68,F$68,1),IF(B$105="MPAN",IF(E$68,E$68,1),IF(I$68,I$68,1)))</f>
        <v>1.6497055862964067</v>
      </c>
      <c r="D194" s="37">
        <f>D$68/IF(B$105="kVA",IF(F$68,F$68,1),IF(B$105="MPAN",IF(E$68,E$68,1),IF(I$68,I$68,1)))</f>
        <v>1.4640648102178528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60.944317757023427</v>
      </c>
      <c r="J194" s="17"/>
    </row>
    <row r="195" spans="1:10" x14ac:dyDescent="0.25">
      <c r="A195" s="4" t="s">
        <v>271</v>
      </c>
      <c r="B195" s="37">
        <f>B$68/IF(B$105="kVA",IF(F$68,F$68,1),IF(B$105="MPAN",IF(E$68,E$68,1),IF(I$68,I$68,1)))</f>
        <v>0.1984716508341319</v>
      </c>
      <c r="C195" s="37">
        <f>C$68/IF(B$105="kVA",IF(F$68,F$68,1),IF(B$105="MPAN",IF(E$68,E$68,1),IF(I$68,I$68,1)))</f>
        <v>1.6497055862964067</v>
      </c>
      <c r="D195" s="37">
        <f>D$68/IF(B$105="kVA",IF(F$68,F$68,1),IF(B$105="MPAN",IF(E$68,E$68,1),IF(I$68,I$68,1)))</f>
        <v>1.4640648102178528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37.476568225709769</v>
      </c>
      <c r="J195" s="17"/>
    </row>
    <row r="196" spans="1:10" x14ac:dyDescent="0.25">
      <c r="A196" s="28" t="s">
        <v>189</v>
      </c>
      <c r="J196" s="17"/>
    </row>
    <row r="197" spans="1:10" x14ac:dyDescent="0.25">
      <c r="A197" s="4" t="s">
        <v>189</v>
      </c>
      <c r="B197" s="37">
        <f>B$69/IF(B$106="kVA",IF(F$69,F$69,1),IF(B$106="MPAN",IF(E$69,E$69,1),IF(I$69,I$69,1)))</f>
        <v>5.0070118868409921</v>
      </c>
      <c r="C197" s="37">
        <f>C$69/IF(B$106="kVA",IF(F$69,F$69,1),IF(B$106="MPAN",IF(E$69,E$69,1),IF(I$69,I$69,1)))</f>
        <v>36.129317856341856</v>
      </c>
      <c r="D197" s="37">
        <f>D$69/IF(B$106="kVA",IF(F$69,F$69,1),IF(B$106="MPAN",IF(E$69,E$69,1),IF(I$69,I$69,1)))</f>
        <v>32.334938811125809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1901.2679773972491</v>
      </c>
      <c r="J197" s="17"/>
    </row>
    <row r="198" spans="1:10" x14ac:dyDescent="0.25">
      <c r="A198" s="4" t="s">
        <v>273</v>
      </c>
      <c r="B198" s="37">
        <f>B$69/IF(B$106="kVA",IF(F$69,F$69,1),IF(B$106="MPAN",IF(E$69,E$69,1),IF(I$69,I$69,1)))</f>
        <v>5.0070118868409921</v>
      </c>
      <c r="C198" s="37">
        <f>C$69/IF(B$106="kVA",IF(F$69,F$69,1),IF(B$106="MPAN",IF(E$69,E$69,1),IF(I$69,I$69,1)))</f>
        <v>36.129317856341856</v>
      </c>
      <c r="D198" s="37">
        <f>D$69/IF(B$106="kVA",IF(F$69,F$69,1),IF(B$106="MPAN",IF(E$69,E$69,1),IF(I$69,I$69,1)))</f>
        <v>32.334938811125809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1187.8105697228325</v>
      </c>
      <c r="J198" s="17"/>
    </row>
    <row r="199" spans="1:10" x14ac:dyDescent="0.25">
      <c r="A199" s="4" t="s">
        <v>274</v>
      </c>
      <c r="B199" s="37">
        <f>B$69/IF(B$106="kVA",IF(F$69,F$69,1),IF(B$106="MPAN",IF(E$69,E$69,1),IF(I$69,I$69,1)))</f>
        <v>5.0070118868409921</v>
      </c>
      <c r="C199" s="37">
        <f>C$69/IF(B$106="kVA",IF(F$69,F$69,1),IF(B$106="MPAN",IF(E$69,E$69,1),IF(I$69,I$69,1)))</f>
        <v>36.129317856341856</v>
      </c>
      <c r="D199" s="37">
        <f>D$69/IF(B$106="kVA",IF(F$69,F$69,1),IF(B$106="MPAN",IF(E$69,E$69,1),IF(I$69,I$69,1)))</f>
        <v>32.334938811125809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730.39376638637634</v>
      </c>
      <c r="J199" s="17"/>
    </row>
    <row r="200" spans="1:10" x14ac:dyDescent="0.25">
      <c r="A200" s="28" t="s">
        <v>190</v>
      </c>
      <c r="J200" s="17"/>
    </row>
    <row r="201" spans="1:10" x14ac:dyDescent="0.25">
      <c r="A201" s="4" t="s">
        <v>190</v>
      </c>
      <c r="B201" s="37">
        <f>B$70/IF(B$107="kVA",IF(F$70,F$70,1),IF(B$107="MPAN",IF(E$70,E$70,1),IF(I$70,I$70,1)))</f>
        <v>0.13200031511581226</v>
      </c>
      <c r="C201" s="37">
        <f>C$70/IF(B$107="kVA",IF(F$70,F$70,1),IF(B$107="MPAN",IF(E$70,E$70,1),IF(I$70,I$70,1)))</f>
        <v>0.95024636893500947</v>
      </c>
      <c r="D201" s="37">
        <f>D$70/IF(B$107="kVA",IF(F$70,F$70,1),IF(B$107="MPAN",IF(E$70,E$70,1),IF(I$70,I$70,1)))</f>
        <v>0.80744096200544246</v>
      </c>
      <c r="E201" s="37">
        <f>E$70/IF(B$107="kVA",IF(F$70,F$70,1),IF(B$107="MPAN",IF(E$70,E$70,1),IF(I$70,I$70,1)))</f>
        <v>1.0983395723263961E-2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4.0202003161695081E-2</v>
      </c>
      <c r="H201" s="37">
        <f>H$70/IF(B$107="kVA",IF(F$70,F$70,1),IF(B$107="MPAN",IF(E$70,E$70,1),IF(I$70,I$70,1)))</f>
        <v>0.15482091006272222</v>
      </c>
      <c r="I201" s="46">
        <f>0.01*Input!F$60*(Adjust!$E$292*E201+Adjust!$F$292*F201+Adjust!$G$292*G201)+10*(Adjust!$B$292*B201+Adjust!$C$292*C201+Adjust!$D$292*D201+Adjust!$H$292*H201)</f>
        <v>54.151197754453271</v>
      </c>
      <c r="J201" s="17"/>
    </row>
    <row r="202" spans="1:10" x14ac:dyDescent="0.25">
      <c r="A202" s="4" t="s">
        <v>276</v>
      </c>
      <c r="B202" s="37">
        <f>B$70/IF(B$107="kVA",IF(F$70,F$70,1),IF(B$107="MPAN",IF(E$70,E$70,1),IF(I$70,I$70,1)))</f>
        <v>0.13200031511581226</v>
      </c>
      <c r="C202" s="37">
        <f>C$70/IF(B$107="kVA",IF(F$70,F$70,1),IF(B$107="MPAN",IF(E$70,E$70,1),IF(I$70,I$70,1)))</f>
        <v>0.95024636893500947</v>
      </c>
      <c r="D202" s="37">
        <f>D$70/IF(B$107="kVA",IF(F$70,F$70,1),IF(B$107="MPAN",IF(E$70,E$70,1),IF(I$70,I$70,1)))</f>
        <v>0.80744096200544246</v>
      </c>
      <c r="E202" s="37">
        <f>E$70/IF(B$107="kVA",IF(F$70,F$70,1),IF(B$107="MPAN",IF(E$70,E$70,1),IF(I$70,I$70,1)))</f>
        <v>1.0983395723263961E-2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4.0202003161695081E-2</v>
      </c>
      <c r="H202" s="37">
        <f>H$70/IF(B$107="kVA",IF(F$70,F$70,1),IF(B$107="MPAN",IF(E$70,E$70,1),IF(I$70,I$70,1)))</f>
        <v>0.15482091006272222</v>
      </c>
      <c r="I202" s="46">
        <f>0.01*Input!F$60*(Adjust!$E$293*E202+Adjust!$F$293*F202+Adjust!$G$293*G202)+10*(Adjust!$B$293*B202+Adjust!$C$293*C202+Adjust!$D$293*D202+Adjust!$H$293*H202)</f>
        <v>33.845656683212084</v>
      </c>
      <c r="J202" s="17"/>
    </row>
    <row r="203" spans="1:10" x14ac:dyDescent="0.25">
      <c r="A203" s="4" t="s">
        <v>277</v>
      </c>
      <c r="B203" s="37">
        <f>B$70/IF(B$107="kVA",IF(F$70,F$70,1),IF(B$107="MPAN",IF(E$70,E$70,1),IF(I$70,I$70,1)))</f>
        <v>0.13200031511581226</v>
      </c>
      <c r="C203" s="37">
        <f>C$70/IF(B$107="kVA",IF(F$70,F$70,1),IF(B$107="MPAN",IF(E$70,E$70,1),IF(I$70,I$70,1)))</f>
        <v>0.95024636893500947</v>
      </c>
      <c r="D203" s="37">
        <f>D$70/IF(B$107="kVA",IF(F$70,F$70,1),IF(B$107="MPAN",IF(E$70,E$70,1),IF(I$70,I$70,1)))</f>
        <v>0.80744096200544246</v>
      </c>
      <c r="E203" s="37">
        <f>E$70/IF(B$107="kVA",IF(F$70,F$70,1),IF(B$107="MPAN",IF(E$70,E$70,1),IF(I$70,I$70,1)))</f>
        <v>1.0983395723263961E-2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4.0202003161695081E-2</v>
      </c>
      <c r="H203" s="37">
        <f>H$70/IF(B$107="kVA",IF(F$70,F$70,1),IF(B$107="MPAN",IF(E$70,E$70,1),IF(I$70,I$70,1)))</f>
        <v>0.15482091006272222</v>
      </c>
      <c r="I203" s="46">
        <f>0.01*Input!F$60*(Adjust!$E$294*E203+Adjust!$F$294*F203+Adjust!$G$294*G203)+10*(Adjust!$B$294*B203+Adjust!$C$294*C203+Adjust!$D$294*D203+Adjust!$H$294*H203)</f>
        <v>20.793921267539979</v>
      </c>
      <c r="J203" s="17"/>
    </row>
    <row r="204" spans="1:10" x14ac:dyDescent="0.25">
      <c r="A204" s="28" t="s">
        <v>191</v>
      </c>
      <c r="J204" s="17"/>
    </row>
    <row r="205" spans="1:10" x14ac:dyDescent="0.25">
      <c r="A205" s="4" t="s">
        <v>191</v>
      </c>
      <c r="B205" s="37">
        <f>B$71/IF(B$108="kVA",IF(F$71,F$71,1),IF(B$108="MPAN",IF(E$71,E$71,1),IF(I$71,I$71,1)))</f>
        <v>0.13910955247650197</v>
      </c>
      <c r="C205" s="37">
        <f>C$71/IF(B$108="kVA",IF(F$71,F$71,1),IF(B$108="MPAN",IF(E$71,E$71,1),IF(I$71,I$71,1)))</f>
        <v>1.0268635633137606</v>
      </c>
      <c r="D205" s="37">
        <f>D$71/IF(B$108="kVA",IF(F$71,F$71,1),IF(B$108="MPAN",IF(E$71,E$71,1),IF(I$71,I$71,1)))</f>
        <v>0.93759167966969803</v>
      </c>
      <c r="E205" s="37">
        <f>E$71/IF(B$108="kVA",IF(F$71,F$71,1),IF(B$108="MPAN",IF(E$71,E$71,1),IF(I$71,I$71,1)))</f>
        <v>5.0214092629420172E-3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1.6750144819014001E-2</v>
      </c>
      <c r="H205" s="37">
        <f>H$71/IF(B$108="kVA",IF(F$71,F$71,1),IF(B$108="MPAN",IF(E$71,E$71,1),IF(I$71,I$71,1)))</f>
        <v>0.19590655834805992</v>
      </c>
      <c r="I205" s="46">
        <f>0.01*Input!F$60*(Adjust!$E$296*E205+Adjust!$F$296*F205+Adjust!$G$296*G205)+10*(Adjust!$B$296*B205+Adjust!$C$296*C205+Adjust!$D$296*D205+Adjust!$H$296*H205)</f>
        <v>52.891906995839179</v>
      </c>
      <c r="J205" s="17"/>
    </row>
    <row r="206" spans="1:10" x14ac:dyDescent="0.25">
      <c r="A206" s="4" t="s">
        <v>279</v>
      </c>
      <c r="B206" s="37">
        <f>B$71/IF(B$108="kVA",IF(F$71,F$71,1),IF(B$108="MPAN",IF(E$71,E$71,1),IF(I$71,I$71,1)))</f>
        <v>0.13910955247650197</v>
      </c>
      <c r="C206" s="37">
        <f>C$71/IF(B$108="kVA",IF(F$71,F$71,1),IF(B$108="MPAN",IF(E$71,E$71,1),IF(I$71,I$71,1)))</f>
        <v>1.0268635633137606</v>
      </c>
      <c r="D206" s="37">
        <f>D$71/IF(B$108="kVA",IF(F$71,F$71,1),IF(B$108="MPAN",IF(E$71,E$71,1),IF(I$71,I$71,1)))</f>
        <v>0.93759167966969803</v>
      </c>
      <c r="E206" s="37">
        <f>E$71/IF(B$108="kVA",IF(F$71,F$71,1),IF(B$108="MPAN",IF(E$71,E$71,1),IF(I$71,I$71,1)))</f>
        <v>5.0214092629420172E-3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1.6750144819014001E-2</v>
      </c>
      <c r="H206" s="37">
        <f>H$71/IF(B$108="kVA",IF(F$71,F$71,1),IF(B$108="MPAN",IF(E$71,E$71,1),IF(I$71,I$71,1)))</f>
        <v>0.19590655834805992</v>
      </c>
      <c r="I206" s="46">
        <f>0.01*Input!F$60*(Adjust!$E$297*E206+Adjust!$F$297*F206+Adjust!$G$297*G206)+10*(Adjust!$B$297*B206+Adjust!$C$297*C206+Adjust!$D$297*D206+Adjust!$H$297*H206)</f>
        <v>33.342935813567792</v>
      </c>
      <c r="J206" s="17"/>
    </row>
    <row r="207" spans="1:10" x14ac:dyDescent="0.25">
      <c r="A207" s="28" t="s">
        <v>208</v>
      </c>
      <c r="J207" s="17"/>
    </row>
    <row r="208" spans="1:10" x14ac:dyDescent="0.25">
      <c r="A208" s="4" t="s">
        <v>208</v>
      </c>
      <c r="B208" s="37">
        <f>B$72/IF(B$109="kVA",IF(F$72,F$72,1),IF(B$109="MPAN",IF(E$72,E$72,1),IF(I$72,I$72,1)))</f>
        <v>0.17802187970919198</v>
      </c>
      <c r="C208" s="37">
        <f>C$72/IF(B$109="kVA",IF(F$72,F$72,1),IF(B$109="MPAN",IF(E$72,E$72,1),IF(I$72,I$72,1)))</f>
        <v>1.2543841504234792</v>
      </c>
      <c r="D208" s="37">
        <f>D$72/IF(B$109="kVA",IF(F$72,F$72,1),IF(B$109="MPAN",IF(E$72,E$72,1),IF(I$72,I$72,1)))</f>
        <v>1.3859870277231914</v>
      </c>
      <c r="E208" s="37">
        <f>E$72/IF(B$109="kVA",IF(F$72,F$72,1),IF(B$109="MPAN",IF(E$72,E$72,1),IF(I$72,I$72,1)))</f>
        <v>1.3982703106315915E-3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1.4554131359715379E-2</v>
      </c>
      <c r="H208" s="37">
        <f>H$72/IF(B$109="kVA",IF(F$72,F$72,1),IF(B$109="MPAN",IF(E$72,E$72,1),IF(I$72,I$72,1)))</f>
        <v>0.19307298285721045</v>
      </c>
      <c r="I208" s="46">
        <f>0.01*Input!F$60*(Adjust!$E$299*E208+Adjust!$F$299*F208+Adjust!$G$299*G208)+10*(Adjust!$B$299*B208+Adjust!$C$299*C208+Adjust!$D$299*D208+Adjust!$H$299*H208)</f>
        <v>59.571554795003173</v>
      </c>
      <c r="J208" s="17"/>
    </row>
    <row r="209" spans="1:10" x14ac:dyDescent="0.25">
      <c r="A209" s="4" t="s">
        <v>281</v>
      </c>
      <c r="B209" s="37">
        <f>B$72/IF(B$109="kVA",IF(F$72,F$72,1),IF(B$109="MPAN",IF(E$72,E$72,1),IF(I$72,I$72,1)))</f>
        <v>0.17802187970919198</v>
      </c>
      <c r="C209" s="37">
        <f>C$72/IF(B$109="kVA",IF(F$72,F$72,1),IF(B$109="MPAN",IF(E$72,E$72,1),IF(I$72,I$72,1)))</f>
        <v>1.2543841504234792</v>
      </c>
      <c r="D209" s="37">
        <f>D$72/IF(B$109="kVA",IF(F$72,F$72,1),IF(B$109="MPAN",IF(E$72,E$72,1),IF(I$72,I$72,1)))</f>
        <v>1.3859870277231914</v>
      </c>
      <c r="E209" s="37">
        <f>E$72/IF(B$109="kVA",IF(F$72,F$72,1),IF(B$109="MPAN",IF(E$72,E$72,1),IF(I$72,I$72,1)))</f>
        <v>1.3982703106315915E-3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1.4554131359715379E-2</v>
      </c>
      <c r="H209" s="37">
        <f>H$72/IF(B$109="kVA",IF(F$72,F$72,1),IF(B$109="MPAN",IF(E$72,E$72,1),IF(I$72,I$72,1)))</f>
        <v>0.19307298285721045</v>
      </c>
      <c r="I209" s="46">
        <f>0.01*Input!F$60*(Adjust!$E$300*E209+Adjust!$F$300*F209+Adjust!$G$300*G209)+10*(Adjust!$B$300*B209+Adjust!$C$300*C209+Adjust!$D$300*D209+Adjust!$H$300*H209)</f>
        <v>44.544984555848551</v>
      </c>
      <c r="J209" s="17"/>
    </row>
    <row r="210" spans="1:10" x14ac:dyDescent="0.25">
      <c r="A210" s="28" t="s">
        <v>230</v>
      </c>
      <c r="J210" s="17"/>
    </row>
    <row r="211" spans="1:10" x14ac:dyDescent="0.25">
      <c r="A211" s="4" t="s">
        <v>230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0.2010603933442095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31.5</v>
      </c>
      <c r="J211" s="17"/>
    </row>
    <row r="212" spans="1:10" x14ac:dyDescent="0.25">
      <c r="A212" s="4" t="s">
        <v>283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0.2010603933442095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19.68</v>
      </c>
      <c r="J212" s="17"/>
    </row>
    <row r="213" spans="1:10" x14ac:dyDescent="0.25">
      <c r="A213" s="4" t="s">
        <v>284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0.2010603933442095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12.1</v>
      </c>
      <c r="J213" s="17"/>
    </row>
    <row r="214" spans="1:10" x14ac:dyDescent="0.25">
      <c r="A214" s="28" t="s">
        <v>231</v>
      </c>
      <c r="J214" s="17"/>
    </row>
    <row r="215" spans="1:10" x14ac:dyDescent="0.25">
      <c r="A215" s="4" t="s">
        <v>231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0.15305962597020503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34.880000000000003</v>
      </c>
      <c r="J215" s="17"/>
    </row>
    <row r="216" spans="1:10" x14ac:dyDescent="0.25">
      <c r="A216" s="4" t="s">
        <v>286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0.15305962597020503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21.79</v>
      </c>
      <c r="J216" s="17"/>
    </row>
    <row r="217" spans="1:10" x14ac:dyDescent="0.25">
      <c r="A217" s="4" t="s">
        <v>287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0.15305962597020503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13.4</v>
      </c>
      <c r="J217" s="17"/>
    </row>
    <row r="218" spans="1:10" x14ac:dyDescent="0.25">
      <c r="A218" s="28" t="s">
        <v>232</v>
      </c>
      <c r="J218" s="17"/>
    </row>
    <row r="219" spans="1:10" x14ac:dyDescent="0.25">
      <c r="A219" s="4" t="s">
        <v>232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0.32166581045053966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43.949999999999996</v>
      </c>
      <c r="J219" s="17"/>
    </row>
    <row r="220" spans="1:10" x14ac:dyDescent="0.25">
      <c r="A220" s="4" t="s">
        <v>289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0.32166581045053966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27.46</v>
      </c>
      <c r="J220" s="17"/>
    </row>
    <row r="221" spans="1:10" x14ac:dyDescent="0.25">
      <c r="A221" s="4" t="s">
        <v>290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0.32166581045053966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16.88</v>
      </c>
      <c r="J221" s="17"/>
    </row>
    <row r="222" spans="1:10" x14ac:dyDescent="0.25">
      <c r="A222" s="28" t="s">
        <v>233</v>
      </c>
      <c r="J222" s="17"/>
    </row>
    <row r="223" spans="1:10" x14ac:dyDescent="0.25">
      <c r="A223" s="4" t="s">
        <v>233</v>
      </c>
      <c r="B223" s="37">
        <f>B$76/IF(B$113="kVA",IF(F$76,F$76,1),IF(B$113="MPAN",IF(E$76,E$76,1),IF(I$76,I$76,1)))</f>
        <v>0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0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0</v>
      </c>
      <c r="J223" s="17"/>
    </row>
    <row r="224" spans="1:10" x14ac:dyDescent="0.25">
      <c r="A224" s="4" t="s">
        <v>292</v>
      </c>
      <c r="B224" s="37">
        <f>B$76/IF(B$113="kVA",IF(F$76,F$76,1),IF(B$113="MPAN",IF(E$76,E$76,1),IF(I$76,I$76,1)))</f>
        <v>0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0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0</v>
      </c>
      <c r="J224" s="17"/>
    </row>
    <row r="225" spans="1:10" x14ac:dyDescent="0.25">
      <c r="A225" s="4" t="s">
        <v>293</v>
      </c>
      <c r="B225" s="37">
        <f>B$76/IF(B$113="kVA",IF(F$76,F$76,1),IF(B$113="MPAN",IF(E$76,E$76,1),IF(I$76,I$76,1)))</f>
        <v>0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0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0</v>
      </c>
      <c r="J225" s="17"/>
    </row>
    <row r="226" spans="1:10" x14ac:dyDescent="0.25">
      <c r="A226" s="28" t="s">
        <v>234</v>
      </c>
      <c r="J226" s="17"/>
    </row>
    <row r="227" spans="1:10" x14ac:dyDescent="0.25">
      <c r="A227" s="4" t="s">
        <v>234</v>
      </c>
      <c r="B227" s="37">
        <f>B$77/IF(B$114="kVA",IF(F$77,F$77,1),IF(B$114="MPAN",IF(E$77,E$77,1),IF(I$77,I$77,1)))</f>
        <v>3.3026601400721112E-2</v>
      </c>
      <c r="C227" s="37">
        <f>C$77/IF(B$114="kVA",IF(F$77,F$77,1),IF(B$114="MPAN",IF(E$77,E$77,1),IF(I$77,I$77,1)))</f>
        <v>0.24992032220339497</v>
      </c>
      <c r="D227" s="37">
        <f>D$77/IF(B$114="kVA",IF(F$77,F$77,1),IF(B$114="MPAN",IF(E$77,E$77,1),IF(I$77,I$77,1)))</f>
        <v>0.71705307639588389</v>
      </c>
      <c r="E227" s="37">
        <f>E$77/IF(B$114="kVA",IF(F$77,F$77,1),IF(B$114="MPAN",IF(E$77,E$77,1),IF(I$77,I$77,1)))</f>
        <v>1.8321136555275291E-4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35.544222069959552</v>
      </c>
      <c r="J227" s="17"/>
    </row>
    <row r="228" spans="1:10" x14ac:dyDescent="0.25">
      <c r="A228" s="4" t="s">
        <v>295</v>
      </c>
      <c r="B228" s="37">
        <f>B$77/IF(B$114="kVA",IF(F$77,F$77,1),IF(B$114="MPAN",IF(E$77,E$77,1),IF(I$77,I$77,1)))</f>
        <v>3.3026601400721112E-2</v>
      </c>
      <c r="C228" s="37">
        <f>C$77/IF(B$114="kVA",IF(F$77,F$77,1),IF(B$114="MPAN",IF(E$77,E$77,1),IF(I$77,I$77,1)))</f>
        <v>0.24992032220339497</v>
      </c>
      <c r="D228" s="37">
        <f>D$77/IF(B$114="kVA",IF(F$77,F$77,1),IF(B$114="MPAN",IF(E$77,E$77,1),IF(I$77,I$77,1)))</f>
        <v>0.71705307639588389</v>
      </c>
      <c r="E228" s="37">
        <f>E$77/IF(B$114="kVA",IF(F$77,F$77,1),IF(B$114="MPAN",IF(E$77,E$77,1),IF(I$77,I$77,1)))</f>
        <v>1.8321136555275291E-4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22.203310017065672</v>
      </c>
      <c r="J228" s="17"/>
    </row>
    <row r="229" spans="1:10" x14ac:dyDescent="0.25">
      <c r="A229" s="4" t="s">
        <v>296</v>
      </c>
      <c r="B229" s="37">
        <f>B$77/IF(B$114="kVA",IF(F$77,F$77,1),IF(B$114="MPAN",IF(E$77,E$77,1),IF(I$77,I$77,1)))</f>
        <v>3.3026601400721112E-2</v>
      </c>
      <c r="C229" s="37">
        <f>C$77/IF(B$114="kVA",IF(F$77,F$77,1),IF(B$114="MPAN",IF(E$77,E$77,1),IF(I$77,I$77,1)))</f>
        <v>0.24992032220339497</v>
      </c>
      <c r="D229" s="37">
        <f>D$77/IF(B$114="kVA",IF(F$77,F$77,1),IF(B$114="MPAN",IF(E$77,E$77,1),IF(I$77,I$77,1)))</f>
        <v>0.71705307639588389</v>
      </c>
      <c r="E229" s="37">
        <f>E$77/IF(B$114="kVA",IF(F$77,F$77,1),IF(B$114="MPAN",IF(E$77,E$77,1),IF(I$77,I$77,1)))</f>
        <v>1.8321136555275291E-4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13.652014682302184</v>
      </c>
      <c r="J229" s="17"/>
    </row>
    <row r="230" spans="1:10" x14ac:dyDescent="0.25">
      <c r="A230" s="28" t="s">
        <v>192</v>
      </c>
      <c r="J230" s="17"/>
    </row>
    <row r="231" spans="1:10" x14ac:dyDescent="0.25">
      <c r="A231" s="4" t="s">
        <v>192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8.5475691453844815E-2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-6.93</v>
      </c>
      <c r="J231" s="17"/>
    </row>
    <row r="232" spans="1:10" x14ac:dyDescent="0.25">
      <c r="A232" s="4" t="s">
        <v>298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8.5475691453844815E-2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-6.93</v>
      </c>
      <c r="J232" s="17"/>
    </row>
    <row r="233" spans="1:10" x14ac:dyDescent="0.25">
      <c r="A233" s="4" t="s">
        <v>299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8.5475691453844815E-2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-6.93</v>
      </c>
      <c r="J233" s="17"/>
    </row>
    <row r="234" spans="1:10" x14ac:dyDescent="0.25">
      <c r="A234" s="28" t="s">
        <v>193</v>
      </c>
      <c r="J234" s="17"/>
    </row>
    <row r="235" spans="1:10" x14ac:dyDescent="0.25">
      <c r="A235" s="4" t="s">
        <v>193</v>
      </c>
      <c r="B235" s="37">
        <f>B$79/IF(B$116="kVA",IF(F$79,F$79,1),IF(B$116="MPAN",IF(E$79,E$79,1),IF(I$79,I$79,1)))</f>
        <v>0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0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0</v>
      </c>
      <c r="J235" s="17"/>
    </row>
    <row r="236" spans="1:10" x14ac:dyDescent="0.25">
      <c r="A236" s="4" t="s">
        <v>301</v>
      </c>
      <c r="B236" s="37">
        <f>B$79/IF(B$116="kVA",IF(F$79,F$79,1),IF(B$116="MPAN",IF(E$79,E$79,1),IF(I$79,I$79,1)))</f>
        <v>0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0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0</v>
      </c>
      <c r="J236" s="17"/>
    </row>
    <row r="237" spans="1:10" x14ac:dyDescent="0.25">
      <c r="A237" s="28" t="s">
        <v>194</v>
      </c>
      <c r="J237" s="17"/>
    </row>
    <row r="238" spans="1:10" x14ac:dyDescent="0.25">
      <c r="A238" s="4" t="s">
        <v>194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1.3445434162944102E-2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9.4165523506009124E-2</v>
      </c>
      <c r="I238" s="46">
        <f>0.01*Input!F$60*(Adjust!$E$329*E238+Adjust!$F$329*F238+Adjust!$G$329*G238)+10*(Adjust!$B$329*B238+Adjust!$C$329*C238+Adjust!$D$329*D238+Adjust!$H$329*H238)</f>
        <v>-6.7868684042708658</v>
      </c>
      <c r="J238" s="17"/>
    </row>
    <row r="239" spans="1:10" x14ac:dyDescent="0.25">
      <c r="A239" s="4" t="s">
        <v>303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1.3445434162944102E-2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9.4165523506009124E-2</v>
      </c>
      <c r="I239" s="46">
        <f>0.01*Input!F$60*(Adjust!$E$330*E239+Adjust!$F$330*F239+Adjust!$G$330*G239)+10*(Adjust!$B$330*B239+Adjust!$C$330*C239+Adjust!$D$330*D239+Adjust!$H$330*H239)</f>
        <v>-6.7868684042708658</v>
      </c>
      <c r="J239" s="17"/>
    </row>
    <row r="240" spans="1:10" x14ac:dyDescent="0.25">
      <c r="A240" s="4" t="s">
        <v>304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1.3445434162944102E-2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9.4165523506009124E-2</v>
      </c>
      <c r="I240" s="46">
        <f>0.01*Input!F$60*(Adjust!$E$331*E240+Adjust!$F$331*F240+Adjust!$G$331*G240)+10*(Adjust!$B$331*B240+Adjust!$C$331*C240+Adjust!$D$331*D240+Adjust!$H$331*H240)</f>
        <v>-6.7868684042708658</v>
      </c>
      <c r="J240" s="17"/>
    </row>
    <row r="241" spans="1:10" x14ac:dyDescent="0.25">
      <c r="A241" s="28" t="s">
        <v>195</v>
      </c>
      <c r="J241" s="17"/>
    </row>
    <row r="242" spans="1:10" x14ac:dyDescent="0.25">
      <c r="A242" s="4" t="s">
        <v>195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196</v>
      </c>
      <c r="J243" s="17"/>
    </row>
    <row r="244" spans="1:10" x14ac:dyDescent="0.25">
      <c r="A244" s="4" t="s">
        <v>196</v>
      </c>
      <c r="B244" s="37">
        <f>B$82/IF(B$119="kVA",IF(F$82,F$82,1),IF(B$119="MPAN",IF(E$82,E$82,1),IF(I$82,I$82,1)))</f>
        <v>6.1981337030483599E-2</v>
      </c>
      <c r="C244" s="37">
        <f>C$82/IF(B$119="kVA",IF(F$82,F$82,1),IF(B$119="MPAN",IF(E$82,E$82,1),IF(I$82,I$82,1)))</f>
        <v>0.39322841676246462</v>
      </c>
      <c r="D244" s="37">
        <f>D$82/IF(B$119="kVA",IF(F$82,F$82,1),IF(B$119="MPAN",IF(E$82,E$82,1),IF(I$82,I$82,1)))</f>
        <v>0.54479024620705185</v>
      </c>
      <c r="E244" s="37">
        <f>E$82/IF(B$119="kVA",IF(F$82,F$82,1),IF(B$119="MPAN",IF(E$82,E$82,1),IF(I$82,I$82,1)))</f>
        <v>4.9885719693609507E-3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0.17571976862593217</v>
      </c>
      <c r="I244" s="46">
        <f>0.01*Input!F$60*(Adjust!$E$335*E244+Adjust!$F$335*F244+Adjust!$G$335*G244)+10*(Adjust!$B$335*B244+Adjust!$C$335*C244+Adjust!$D$335*D244+Adjust!$H$335*H244)</f>
        <v>-6.8638861681420904</v>
      </c>
      <c r="J244" s="17"/>
    </row>
    <row r="245" spans="1:10" x14ac:dyDescent="0.25">
      <c r="A245" s="4" t="s">
        <v>307</v>
      </c>
      <c r="B245" s="37">
        <f>B$82/IF(B$119="kVA",IF(F$82,F$82,1),IF(B$119="MPAN",IF(E$82,E$82,1),IF(I$82,I$82,1)))</f>
        <v>6.1981337030483599E-2</v>
      </c>
      <c r="C245" s="37">
        <f>C$82/IF(B$119="kVA",IF(F$82,F$82,1),IF(B$119="MPAN",IF(E$82,E$82,1),IF(I$82,I$82,1)))</f>
        <v>0.39322841676246462</v>
      </c>
      <c r="D245" s="37">
        <f>D$82/IF(B$119="kVA",IF(F$82,F$82,1),IF(B$119="MPAN",IF(E$82,E$82,1),IF(I$82,I$82,1)))</f>
        <v>0.54479024620705185</v>
      </c>
      <c r="E245" s="37">
        <f>E$82/IF(B$119="kVA",IF(F$82,F$82,1),IF(B$119="MPAN",IF(E$82,E$82,1),IF(I$82,I$82,1)))</f>
        <v>4.9885719693609507E-3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0.17571976862593217</v>
      </c>
      <c r="I245" s="46">
        <f>0.01*Input!F$60*(Adjust!$E$336*E245+Adjust!$F$336*F245+Adjust!$G$336*G245)+10*(Adjust!$B$336*B245+Adjust!$C$336*C245+Adjust!$D$336*D245+Adjust!$H$336*H245)</f>
        <v>-6.8638861681420904</v>
      </c>
      <c r="J245" s="17"/>
    </row>
    <row r="246" spans="1:10" x14ac:dyDescent="0.25">
      <c r="A246" s="4" t="s">
        <v>308</v>
      </c>
      <c r="B246" s="37">
        <f>B$82/IF(B$119="kVA",IF(F$82,F$82,1),IF(B$119="MPAN",IF(E$82,E$82,1),IF(I$82,I$82,1)))</f>
        <v>6.1981337030483599E-2</v>
      </c>
      <c r="C246" s="37">
        <f>C$82/IF(B$119="kVA",IF(F$82,F$82,1),IF(B$119="MPAN",IF(E$82,E$82,1),IF(I$82,I$82,1)))</f>
        <v>0.39322841676246462</v>
      </c>
      <c r="D246" s="37">
        <f>D$82/IF(B$119="kVA",IF(F$82,F$82,1),IF(B$119="MPAN",IF(E$82,E$82,1),IF(I$82,I$82,1)))</f>
        <v>0.54479024620705185</v>
      </c>
      <c r="E246" s="37">
        <f>E$82/IF(B$119="kVA",IF(F$82,F$82,1),IF(B$119="MPAN",IF(E$82,E$82,1),IF(I$82,I$82,1)))</f>
        <v>4.9885719693609507E-3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0.17571976862593217</v>
      </c>
      <c r="I246" s="46">
        <f>0.01*Input!F$60*(Adjust!$E$337*E246+Adjust!$F$337*F246+Adjust!$G$337*G246)+10*(Adjust!$B$337*B246+Adjust!$C$337*C246+Adjust!$D$337*D246+Adjust!$H$337*H246)</f>
        <v>-6.8638861681420904</v>
      </c>
      <c r="J246" s="17"/>
    </row>
    <row r="247" spans="1:10" x14ac:dyDescent="0.25">
      <c r="A247" s="28" t="s">
        <v>197</v>
      </c>
      <c r="J247" s="17"/>
    </row>
    <row r="248" spans="1:10" x14ac:dyDescent="0.25">
      <c r="A248" s="4" t="s">
        <v>197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198</v>
      </c>
      <c r="J249" s="17"/>
    </row>
    <row r="250" spans="1:10" x14ac:dyDescent="0.25">
      <c r="A250" s="4" t="s">
        <v>198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1.1190773282295553E-2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0.12580914637126298</v>
      </c>
      <c r="I250" s="46">
        <f>0.01*Input!F$60*(Adjust!$E$341*E250+Adjust!$F$341*F250+Adjust!$G$341*G250)+10*(Adjust!$B$341*B250+Adjust!$C$341*C250+Adjust!$D$341*D250+Adjust!$H$341*H250)</f>
        <v>-6.0927385670359211</v>
      </c>
      <c r="J250" s="17"/>
    </row>
    <row r="251" spans="1:10" x14ac:dyDescent="0.25">
      <c r="A251" s="4" t="s">
        <v>311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1.1190773282295553E-2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0.12580914637126298</v>
      </c>
      <c r="I251" s="46">
        <f>0.01*Input!F$60*(Adjust!$E$342*E251+Adjust!$F$342*F251+Adjust!$G$342*G251)+10*(Adjust!$B$342*B251+Adjust!$C$342*C251+Adjust!$D$342*D251+Adjust!$H$342*H251)</f>
        <v>-6.0927385670359211</v>
      </c>
      <c r="J251" s="17"/>
    </row>
    <row r="252" spans="1:10" x14ac:dyDescent="0.25">
      <c r="A252" s="28" t="s">
        <v>199</v>
      </c>
      <c r="J252" s="17"/>
    </row>
    <row r="253" spans="1:10" x14ac:dyDescent="0.25">
      <c r="A253" s="4" t="s">
        <v>199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200</v>
      </c>
      <c r="J254" s="17"/>
    </row>
    <row r="255" spans="1:10" x14ac:dyDescent="0.25">
      <c r="A255" s="4" t="s">
        <v>200</v>
      </c>
      <c r="B255" s="37">
        <f>B$86/IF(B$123="kVA",IF(F$86,F$86,1),IF(B$123="MPAN",IF(E$86,E$86,1),IF(I$86,I$86,1)))</f>
        <v>6.3789419069860631E-2</v>
      </c>
      <c r="C255" s="37">
        <f>C$86/IF(B$123="kVA",IF(F$86,F$86,1),IF(B$123="MPAN",IF(E$86,E$86,1),IF(I$86,I$86,1)))</f>
        <v>0.35627529265387708</v>
      </c>
      <c r="D255" s="37">
        <f>D$86/IF(B$123="kVA",IF(F$86,F$86,1),IF(B$123="MPAN",IF(E$86,E$86,1),IF(I$86,I$86,1)))</f>
        <v>0.57993528827626228</v>
      </c>
      <c r="E255" s="37">
        <f>E$86/IF(B$123="kVA",IF(F$86,F$86,1),IF(B$123="MPAN",IF(E$86,E$86,1),IF(I$86,I$86,1)))</f>
        <v>3.1698681305338526E-3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0.15245916142503407</v>
      </c>
      <c r="I255" s="46">
        <f>0.01*Input!F$60*(Adjust!$E$346*E255+Adjust!$F$346*F255+Adjust!$G$346*G255)+10*(Adjust!$B$346*B255+Adjust!$C$346*C255+Adjust!$D$346*D255+Adjust!$H$346*H255)</f>
        <v>-6.3060433272247955</v>
      </c>
      <c r="J255" s="17"/>
    </row>
    <row r="256" spans="1:10" x14ac:dyDescent="0.25">
      <c r="A256" s="4" t="s">
        <v>314</v>
      </c>
      <c r="B256" s="37">
        <f>B$86/IF(B$123="kVA",IF(F$86,F$86,1),IF(B$123="MPAN",IF(E$86,E$86,1),IF(I$86,I$86,1)))</f>
        <v>6.3789419069860631E-2</v>
      </c>
      <c r="C256" s="37">
        <f>C$86/IF(B$123="kVA",IF(F$86,F$86,1),IF(B$123="MPAN",IF(E$86,E$86,1),IF(I$86,I$86,1)))</f>
        <v>0.35627529265387708</v>
      </c>
      <c r="D256" s="37">
        <f>D$86/IF(B$123="kVA",IF(F$86,F$86,1),IF(B$123="MPAN",IF(E$86,E$86,1),IF(I$86,I$86,1)))</f>
        <v>0.57993528827626228</v>
      </c>
      <c r="E256" s="37">
        <f>E$86/IF(B$123="kVA",IF(F$86,F$86,1),IF(B$123="MPAN",IF(E$86,E$86,1),IF(I$86,I$86,1)))</f>
        <v>3.1698681305338526E-3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0.15245916142503407</v>
      </c>
      <c r="I256" s="46">
        <f>0.01*Input!F$60*(Adjust!$E$347*E256+Adjust!$F$347*F256+Adjust!$G$347*G256)+10*(Adjust!$B$347*B256+Adjust!$C$347*C256+Adjust!$D$347*D256+Adjust!$H$347*H256)</f>
        <v>-6.3060433272247955</v>
      </c>
      <c r="J256" s="17"/>
    </row>
    <row r="257" spans="1:10" x14ac:dyDescent="0.25">
      <c r="A257" s="28" t="s">
        <v>201</v>
      </c>
      <c r="J257" s="17"/>
    </row>
    <row r="258" spans="1:10" x14ac:dyDescent="0.25">
      <c r="A258" s="4" t="s">
        <v>201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209</v>
      </c>
      <c r="J259" s="17"/>
    </row>
    <row r="260" spans="1:10" x14ac:dyDescent="0.25">
      <c r="A260" s="4" t="s">
        <v>209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6.2001649955976707E-4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1.1108035358405996E-2</v>
      </c>
      <c r="I260" s="46">
        <f>0.01*Input!F$60*(Adjust!$E$351*E260+Adjust!$F$351*F260+Adjust!$G$351*G260)+10*(Adjust!$B$351*B260+Adjust!$C$351*C260+Adjust!$D$351*D260+Adjust!$H$351*H260)</f>
        <v>-3.8349577465028428</v>
      </c>
      <c r="J260" s="17"/>
    </row>
    <row r="261" spans="1:10" x14ac:dyDescent="0.25">
      <c r="A261" s="4" t="s">
        <v>317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6.2001649955976707E-4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1.1108035358405996E-2</v>
      </c>
      <c r="I261" s="46">
        <f>0.01*Input!F$60*(Adjust!$E$352*E261+Adjust!$F$352*F261+Adjust!$G$352*G261)+10*(Adjust!$B$352*B261+Adjust!$C$352*C261+Adjust!$D$352*D261+Adjust!$H$352*H261)</f>
        <v>-3.9293362860559307</v>
      </c>
      <c r="J261" s="17"/>
    </row>
    <row r="262" spans="1:10" x14ac:dyDescent="0.25">
      <c r="A262" s="28" t="s">
        <v>210</v>
      </c>
      <c r="J262" s="17"/>
    </row>
    <row r="263" spans="1:10" x14ac:dyDescent="0.25">
      <c r="A263" s="4" t="s">
        <v>210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211</v>
      </c>
      <c r="J264" s="17"/>
    </row>
    <row r="265" spans="1:10" x14ac:dyDescent="0.25">
      <c r="A265" s="4" t="s">
        <v>211</v>
      </c>
      <c r="B265" s="37">
        <f>B$90/IF(B$127="kVA",IF(F$90,F$90,1),IF(B$127="MPAN",IF(E$90,E$90,1),IF(I$90,I$90,1)))</f>
        <v>7.8219202773933433E-2</v>
      </c>
      <c r="C265" s="37">
        <f>C$90/IF(B$127="kVA",IF(F$90,F$90,1),IF(B$127="MPAN",IF(E$90,E$90,1),IF(I$90,I$90,1)))</f>
        <v>0.39190589447222979</v>
      </c>
      <c r="D265" s="37">
        <f>D$90/IF(B$127="kVA",IF(F$90,F$90,1),IF(B$127="MPAN",IF(E$90,E$90,1),IF(I$90,I$90,1)))</f>
        <v>0.52987490275383675</v>
      </c>
      <c r="E265" s="37">
        <f>E$90/IF(B$127="kVA",IF(F$90,F$90,1),IF(B$127="MPAN",IF(E$90,E$90,1),IF(I$90,I$90,1)))</f>
        <v>3.1642994325769853E-4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1.7893497517824278E-2</v>
      </c>
      <c r="I265" s="46">
        <f>0.01*Input!F$60*(Adjust!$E$356*E265+Adjust!$F$356*F265+Adjust!$G$356*G265)+10*(Adjust!$B$356*B265+Adjust!$C$356*C265+Adjust!$D$356*D265+Adjust!$H$356*H265)</f>
        <v>-4.9061737515612114</v>
      </c>
      <c r="J265" s="17"/>
    </row>
    <row r="266" spans="1:10" x14ac:dyDescent="0.25">
      <c r="A266" s="4" t="s">
        <v>320</v>
      </c>
      <c r="B266" s="37">
        <f>B$90/IF(B$127="kVA",IF(F$90,F$90,1),IF(B$127="MPAN",IF(E$90,E$90,1),IF(I$90,I$90,1)))</f>
        <v>7.8219202773933433E-2</v>
      </c>
      <c r="C266" s="37">
        <f>C$90/IF(B$127="kVA",IF(F$90,F$90,1),IF(B$127="MPAN",IF(E$90,E$90,1),IF(I$90,I$90,1)))</f>
        <v>0.39190589447222979</v>
      </c>
      <c r="D266" s="37">
        <f>D$90/IF(B$127="kVA",IF(F$90,F$90,1),IF(B$127="MPAN",IF(E$90,E$90,1),IF(I$90,I$90,1)))</f>
        <v>0.52987490275383675</v>
      </c>
      <c r="E266" s="37">
        <f>E$90/IF(B$127="kVA",IF(F$90,F$90,1),IF(B$127="MPAN",IF(E$90,E$90,1),IF(I$90,I$90,1)))</f>
        <v>3.1642994325769853E-4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1.7893497517824278E-2</v>
      </c>
      <c r="I266" s="46">
        <f>0.01*Input!F$60*(Adjust!$E$357*E266+Adjust!$F$357*F266+Adjust!$G$357*G266)+10*(Adjust!$B$357*B266+Adjust!$C$357*C266+Adjust!$D$357*D266+Adjust!$H$357*H266)</f>
        <v>-4.9543405276659325</v>
      </c>
      <c r="J266" s="17"/>
    </row>
    <row r="267" spans="1:10" x14ac:dyDescent="0.25">
      <c r="A267" s="28" t="s">
        <v>212</v>
      </c>
      <c r="J267" s="17"/>
    </row>
    <row r="268" spans="1:10" x14ac:dyDescent="0.25">
      <c r="A268" s="4" t="s">
        <v>212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1671</v>
      </c>
    </row>
    <row r="271" spans="1:10" x14ac:dyDescent="0.25">
      <c r="A271" s="2" t="s">
        <v>381</v>
      </c>
    </row>
    <row r="272" spans="1:10" x14ac:dyDescent="0.25">
      <c r="A272" s="32" t="s">
        <v>1672</v>
      </c>
    </row>
    <row r="273" spans="1:3" x14ac:dyDescent="0.25">
      <c r="A273" s="2" t="s">
        <v>667</v>
      </c>
    </row>
    <row r="275" spans="1:3" ht="30" x14ac:dyDescent="0.25">
      <c r="B275" s="15" t="s">
        <v>1673</v>
      </c>
    </row>
    <row r="276" spans="1:3" x14ac:dyDescent="0.25">
      <c r="A276" s="4" t="s">
        <v>247</v>
      </c>
      <c r="B276" s="48">
        <f>I$162</f>
        <v>70.263222140608576</v>
      </c>
      <c r="C276" s="17"/>
    </row>
    <row r="277" spans="1:3" x14ac:dyDescent="0.25">
      <c r="A277" s="4" t="s">
        <v>250</v>
      </c>
      <c r="B277" s="48">
        <f>I$166</f>
        <v>96.342196389944249</v>
      </c>
      <c r="C277" s="17"/>
    </row>
    <row r="278" spans="1:3" x14ac:dyDescent="0.25">
      <c r="A278" s="4" t="s">
        <v>253</v>
      </c>
      <c r="B278" s="48">
        <f>I$170</f>
        <v>30.227277795646938</v>
      </c>
      <c r="C278" s="17"/>
    </row>
    <row r="279" spans="1:3" x14ac:dyDescent="0.25">
      <c r="A279" s="4" t="s">
        <v>256</v>
      </c>
      <c r="B279" s="48">
        <f>I$174</f>
        <v>192.99238309916515</v>
      </c>
      <c r="C279" s="17"/>
    </row>
    <row r="280" spans="1:3" x14ac:dyDescent="0.25">
      <c r="A280" s="4" t="s">
        <v>259</v>
      </c>
      <c r="B280" s="48">
        <f>I$178</f>
        <v>300.45767486593371</v>
      </c>
      <c r="C280" s="17"/>
    </row>
    <row r="281" spans="1:3" ht="30" x14ac:dyDescent="0.25">
      <c r="A281" s="4" t="s">
        <v>262</v>
      </c>
      <c r="B281" s="48">
        <f>I$182</f>
        <v>52.961930934109454</v>
      </c>
      <c r="C281" s="17"/>
    </row>
    <row r="282" spans="1:3" x14ac:dyDescent="0.25">
      <c r="A282" s="4" t="s">
        <v>265</v>
      </c>
      <c r="B282" s="48">
        <f>I$186</f>
        <v>660.36282524332057</v>
      </c>
      <c r="C282" s="17"/>
    </row>
    <row r="283" spans="1:3" x14ac:dyDescent="0.25">
      <c r="A283" s="4" t="s">
        <v>270</v>
      </c>
      <c r="B283" s="48">
        <f>I$194</f>
        <v>60.944317757023427</v>
      </c>
      <c r="C283" s="17"/>
    </row>
    <row r="284" spans="1:3" x14ac:dyDescent="0.25">
      <c r="A284" s="4" t="s">
        <v>273</v>
      </c>
      <c r="B284" s="48">
        <f>I$198</f>
        <v>1187.8105697228325</v>
      </c>
      <c r="C284" s="17"/>
    </row>
    <row r="285" spans="1:3" x14ac:dyDescent="0.25">
      <c r="A285" s="4" t="s">
        <v>276</v>
      </c>
      <c r="B285" s="48">
        <f>I$202</f>
        <v>33.845656683212084</v>
      </c>
      <c r="C285" s="17"/>
    </row>
    <row r="286" spans="1:3" x14ac:dyDescent="0.25">
      <c r="A286" s="4" t="s">
        <v>1674</v>
      </c>
      <c r="B286" s="10"/>
      <c r="C286" s="17"/>
    </row>
    <row r="287" spans="1:3" x14ac:dyDescent="0.25">
      <c r="A287" s="4" t="s">
        <v>1674</v>
      </c>
      <c r="B287" s="10"/>
      <c r="C287" s="17"/>
    </row>
    <row r="288" spans="1:3" x14ac:dyDescent="0.25">
      <c r="A288" s="4" t="s">
        <v>283</v>
      </c>
      <c r="B288" s="48">
        <f>I$212</f>
        <v>19.68</v>
      </c>
      <c r="C288" s="17"/>
    </row>
    <row r="289" spans="1:3" x14ac:dyDescent="0.25">
      <c r="A289" s="4" t="s">
        <v>286</v>
      </c>
      <c r="B289" s="48">
        <f>I$216</f>
        <v>21.79</v>
      </c>
      <c r="C289" s="17"/>
    </row>
    <row r="290" spans="1:3" x14ac:dyDescent="0.25">
      <c r="A290" s="4" t="s">
        <v>289</v>
      </c>
      <c r="B290" s="48">
        <f>I$220</f>
        <v>27.46</v>
      </c>
      <c r="C290" s="17"/>
    </row>
    <row r="291" spans="1:3" x14ac:dyDescent="0.25">
      <c r="A291" s="4" t="s">
        <v>292</v>
      </c>
      <c r="B291" s="48">
        <f>I$224</f>
        <v>0</v>
      </c>
      <c r="C291" s="17"/>
    </row>
    <row r="292" spans="1:3" x14ac:dyDescent="0.25">
      <c r="A292" s="4" t="s">
        <v>295</v>
      </c>
      <c r="B292" s="48">
        <f>I$228</f>
        <v>22.203310017065672</v>
      </c>
      <c r="C292" s="17"/>
    </row>
    <row r="293" spans="1:3" x14ac:dyDescent="0.25">
      <c r="A293" s="4" t="s">
        <v>298</v>
      </c>
      <c r="B293" s="48">
        <f>I$232</f>
        <v>-6.93</v>
      </c>
      <c r="C293" s="17"/>
    </row>
    <row r="294" spans="1:3" x14ac:dyDescent="0.25">
      <c r="A294" s="4" t="s">
        <v>1674</v>
      </c>
      <c r="B294" s="10"/>
      <c r="C294" s="17"/>
    </row>
    <row r="295" spans="1:3" x14ac:dyDescent="0.25">
      <c r="A295" s="4" t="s">
        <v>303</v>
      </c>
      <c r="B295" s="48">
        <f>I$239</f>
        <v>-6.7868684042708658</v>
      </c>
      <c r="C295" s="17"/>
    </row>
    <row r="296" spans="1:3" x14ac:dyDescent="0.25">
      <c r="A296" s="4" t="s">
        <v>307</v>
      </c>
      <c r="B296" s="48">
        <f>I$245</f>
        <v>-6.8638861681420904</v>
      </c>
      <c r="C296" s="17"/>
    </row>
    <row r="297" spans="1:3" x14ac:dyDescent="0.25">
      <c r="A297" s="4" t="s">
        <v>1674</v>
      </c>
      <c r="B297" s="10"/>
      <c r="C297" s="17"/>
    </row>
    <row r="298" spans="1:3" x14ac:dyDescent="0.25">
      <c r="A298" s="4" t="s">
        <v>1674</v>
      </c>
      <c r="B298" s="10"/>
      <c r="C298" s="17"/>
    </row>
    <row r="299" spans="1:3" x14ac:dyDescent="0.25">
      <c r="A299" s="4" t="s">
        <v>1674</v>
      </c>
      <c r="B299" s="10"/>
      <c r="C299" s="17"/>
    </row>
    <row r="300" spans="1:3" x14ac:dyDescent="0.25">
      <c r="A300" s="4" t="s">
        <v>1674</v>
      </c>
      <c r="B300" s="10"/>
      <c r="C300" s="17"/>
    </row>
    <row r="302" spans="1:3" ht="21" customHeight="1" x14ac:dyDescent="0.3">
      <c r="A302" s="1" t="s">
        <v>1675</v>
      </c>
    </row>
    <row r="303" spans="1:3" x14ac:dyDescent="0.25">
      <c r="A303" s="2" t="s">
        <v>381</v>
      </c>
    </row>
    <row r="304" spans="1:3" x14ac:dyDescent="0.25">
      <c r="A304" s="32" t="s">
        <v>1672</v>
      </c>
    </row>
    <row r="305" spans="1:3" x14ac:dyDescent="0.25">
      <c r="A305" s="2" t="s">
        <v>667</v>
      </c>
    </row>
    <row r="307" spans="1:3" ht="30" x14ac:dyDescent="0.25">
      <c r="B307" s="15" t="s">
        <v>1676</v>
      </c>
    </row>
    <row r="308" spans="1:3" x14ac:dyDescent="0.25">
      <c r="A308" s="4" t="s">
        <v>248</v>
      </c>
      <c r="B308" s="48">
        <f>I$163</f>
        <v>43.201530658884963</v>
      </c>
      <c r="C308" s="17"/>
    </row>
    <row r="309" spans="1:3" x14ac:dyDescent="0.25">
      <c r="A309" s="4" t="s">
        <v>251</v>
      </c>
      <c r="B309" s="48">
        <f>I$167</f>
        <v>59.234591451917098</v>
      </c>
      <c r="C309" s="17"/>
    </row>
    <row r="310" spans="1:3" x14ac:dyDescent="0.25">
      <c r="A310" s="4" t="s">
        <v>254</v>
      </c>
      <c r="B310" s="48">
        <f>I$171</f>
        <v>18.590963223360855</v>
      </c>
      <c r="C310" s="17"/>
    </row>
    <row r="311" spans="1:3" x14ac:dyDescent="0.25">
      <c r="A311" s="4" t="s">
        <v>257</v>
      </c>
      <c r="B311" s="48">
        <f>I$175</f>
        <v>118.6418628541357</v>
      </c>
      <c r="C311" s="17"/>
    </row>
    <row r="312" spans="1:3" x14ac:dyDescent="0.25">
      <c r="A312" s="4" t="s">
        <v>260</v>
      </c>
      <c r="B312" s="48">
        <f>I$179</f>
        <v>184.73113103673313</v>
      </c>
      <c r="C312" s="17"/>
    </row>
    <row r="313" spans="1:3" ht="30" x14ac:dyDescent="0.25">
      <c r="A313" s="4" t="s">
        <v>263</v>
      </c>
      <c r="B313" s="48">
        <f>I$183</f>
        <v>32.569223152560618</v>
      </c>
      <c r="C313" s="17"/>
    </row>
    <row r="314" spans="1:3" x14ac:dyDescent="0.25">
      <c r="A314" s="4" t="s">
        <v>266</v>
      </c>
      <c r="B314" s="48">
        <f>I$187</f>
        <v>406.06411462981686</v>
      </c>
      <c r="C314" s="17"/>
    </row>
    <row r="315" spans="1:3" x14ac:dyDescent="0.25">
      <c r="A315" s="4" t="s">
        <v>271</v>
      </c>
      <c r="B315" s="48">
        <f>I$195</f>
        <v>37.476568225709769</v>
      </c>
      <c r="C315" s="17"/>
    </row>
    <row r="316" spans="1:3" x14ac:dyDescent="0.25">
      <c r="A316" s="4" t="s">
        <v>274</v>
      </c>
      <c r="B316" s="48">
        <f>I$199</f>
        <v>730.39376638637634</v>
      </c>
      <c r="C316" s="17"/>
    </row>
    <row r="317" spans="1:3" x14ac:dyDescent="0.25">
      <c r="A317" s="4" t="s">
        <v>277</v>
      </c>
      <c r="B317" s="48">
        <f>I$203</f>
        <v>20.793921267539979</v>
      </c>
      <c r="C317" s="17"/>
    </row>
    <row r="318" spans="1:3" x14ac:dyDescent="0.25">
      <c r="A318" s="4" t="s">
        <v>279</v>
      </c>
      <c r="B318" s="48">
        <f>I$206</f>
        <v>33.342935813567792</v>
      </c>
      <c r="C318" s="17"/>
    </row>
    <row r="319" spans="1:3" x14ac:dyDescent="0.25">
      <c r="A319" s="4" t="s">
        <v>281</v>
      </c>
      <c r="B319" s="48">
        <f>I$209</f>
        <v>44.544984555848551</v>
      </c>
      <c r="C319" s="17"/>
    </row>
    <row r="320" spans="1:3" x14ac:dyDescent="0.25">
      <c r="A320" s="4" t="s">
        <v>284</v>
      </c>
      <c r="B320" s="48">
        <f>I$213</f>
        <v>12.1</v>
      </c>
      <c r="C320" s="17"/>
    </row>
    <row r="321" spans="1:3" x14ac:dyDescent="0.25">
      <c r="A321" s="4" t="s">
        <v>287</v>
      </c>
      <c r="B321" s="48">
        <f>I$217</f>
        <v>13.4</v>
      </c>
      <c r="C321" s="17"/>
    </row>
    <row r="322" spans="1:3" x14ac:dyDescent="0.25">
      <c r="A322" s="4" t="s">
        <v>290</v>
      </c>
      <c r="B322" s="48">
        <f>I$221</f>
        <v>16.88</v>
      </c>
      <c r="C322" s="17"/>
    </row>
    <row r="323" spans="1:3" x14ac:dyDescent="0.25">
      <c r="A323" s="4" t="s">
        <v>293</v>
      </c>
      <c r="B323" s="48">
        <f>I$225</f>
        <v>0</v>
      </c>
      <c r="C323" s="17"/>
    </row>
    <row r="324" spans="1:3" x14ac:dyDescent="0.25">
      <c r="A324" s="4" t="s">
        <v>296</v>
      </c>
      <c r="B324" s="48">
        <f>I$229</f>
        <v>13.652014682302184</v>
      </c>
      <c r="C324" s="17"/>
    </row>
    <row r="325" spans="1:3" x14ac:dyDescent="0.25">
      <c r="A325" s="4" t="s">
        <v>299</v>
      </c>
      <c r="B325" s="48">
        <f>I$233</f>
        <v>-6.93</v>
      </c>
      <c r="C325" s="17"/>
    </row>
    <row r="326" spans="1:3" x14ac:dyDescent="0.25">
      <c r="A326" s="4" t="s">
        <v>301</v>
      </c>
      <c r="B326" s="48">
        <f>I$236</f>
        <v>0</v>
      </c>
      <c r="C326" s="17"/>
    </row>
    <row r="327" spans="1:3" x14ac:dyDescent="0.25">
      <c r="A327" s="4" t="s">
        <v>304</v>
      </c>
      <c r="B327" s="48">
        <f>I$240</f>
        <v>-6.7868684042708658</v>
      </c>
      <c r="C327" s="17"/>
    </row>
    <row r="328" spans="1:3" x14ac:dyDescent="0.25">
      <c r="A328" s="4" t="s">
        <v>308</v>
      </c>
      <c r="B328" s="48">
        <f>I$246</f>
        <v>-6.8638861681420904</v>
      </c>
      <c r="C328" s="17"/>
    </row>
    <row r="329" spans="1:3" x14ac:dyDescent="0.25">
      <c r="A329" s="4" t="s">
        <v>311</v>
      </c>
      <c r="B329" s="48">
        <f>I$251</f>
        <v>-6.0927385670359211</v>
      </c>
      <c r="C329" s="17"/>
    </row>
    <row r="330" spans="1:3" x14ac:dyDescent="0.25">
      <c r="A330" s="4" t="s">
        <v>314</v>
      </c>
      <c r="B330" s="48">
        <f>I$256</f>
        <v>-6.3060433272247955</v>
      </c>
      <c r="C330" s="17"/>
    </row>
    <row r="331" spans="1:3" x14ac:dyDescent="0.25">
      <c r="A331" s="4" t="s">
        <v>317</v>
      </c>
      <c r="B331" s="48">
        <f>I$261</f>
        <v>-3.9293362860559307</v>
      </c>
      <c r="C331" s="17"/>
    </row>
    <row r="332" spans="1:3" x14ac:dyDescent="0.25">
      <c r="A332" s="4" t="s">
        <v>320</v>
      </c>
      <c r="B332" s="48">
        <f>I$266</f>
        <v>-4.9543405276659325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South West in April 19 (no data version)</v>
      </c>
    </row>
    <row r="2" spans="1:5" x14ac:dyDescent="0.25">
      <c r="A2" s="2" t="s">
        <v>1482</v>
      </c>
    </row>
    <row r="4" spans="1:5" ht="21" customHeight="1" x14ac:dyDescent="0.3">
      <c r="A4" s="1" t="s">
        <v>1677</v>
      </c>
    </row>
    <row r="5" spans="1:5" x14ac:dyDescent="0.25">
      <c r="A5" s="2" t="s">
        <v>381</v>
      </c>
    </row>
    <row r="6" spans="1:5" x14ac:dyDescent="0.25">
      <c r="A6" s="32" t="s">
        <v>1678</v>
      </c>
    </row>
    <row r="7" spans="1:5" x14ac:dyDescent="0.25">
      <c r="A7" s="32" t="s">
        <v>1679</v>
      </c>
    </row>
    <row r="8" spans="1:5" x14ac:dyDescent="0.25">
      <c r="A8" s="32" t="s">
        <v>1680</v>
      </c>
    </row>
    <row r="9" spans="1:5" x14ac:dyDescent="0.25">
      <c r="A9" s="32" t="s">
        <v>1494</v>
      </c>
    </row>
    <row r="10" spans="1:5" x14ac:dyDescent="0.25">
      <c r="A10" s="33" t="s">
        <v>384</v>
      </c>
      <c r="B10" s="33" t="s">
        <v>514</v>
      </c>
      <c r="C10" s="33" t="s">
        <v>514</v>
      </c>
      <c r="D10" s="33" t="s">
        <v>443</v>
      </c>
    </row>
    <row r="11" spans="1:5" ht="30" x14ac:dyDescent="0.25">
      <c r="A11" s="33" t="s">
        <v>387</v>
      </c>
      <c r="B11" s="33" t="s">
        <v>1681</v>
      </c>
      <c r="C11" s="33" t="s">
        <v>1682</v>
      </c>
      <c r="D11" s="33" t="s">
        <v>1050</v>
      </c>
    </row>
    <row r="13" spans="1:5" ht="30" x14ac:dyDescent="0.25">
      <c r="B13" s="15" t="s">
        <v>1683</v>
      </c>
      <c r="C13" s="15" t="s">
        <v>1684</v>
      </c>
      <c r="D13" s="15" t="s">
        <v>242</v>
      </c>
    </row>
    <row r="14" spans="1:5" x14ac:dyDescent="0.25">
      <c r="A14" s="4" t="s">
        <v>182</v>
      </c>
      <c r="B14" s="49">
        <f>IF(CData!B25,Summary!D$49/CData!B25-1,"")</f>
        <v>1.1984204282970756E-2</v>
      </c>
      <c r="C14" s="50">
        <f>(Summary!D$49-CData!B25)/IF(Summary!B$49,Summary!B$49,1)/10</f>
        <v>3.8942184818477513E-2</v>
      </c>
      <c r="D14" s="44">
        <f>Input!E$195</f>
        <v>1265207.2271374017</v>
      </c>
      <c r="E14" s="17"/>
    </row>
    <row r="15" spans="1:5" x14ac:dyDescent="0.25">
      <c r="A15" s="4" t="s">
        <v>183</v>
      </c>
      <c r="B15" s="49">
        <f>IF(CData!B26,Summary!D$53/CData!B26-1,"")</f>
        <v>-9.4282308278548221E-3</v>
      </c>
      <c r="C15" s="50">
        <f>(Summary!D$53-CData!B26)/IF(Summary!B$53,Summary!B$53,1)/10</f>
        <v>-2.4142838445323531E-2</v>
      </c>
      <c r="D15" s="44">
        <f>Input!E$199</f>
        <v>204084.58149972049</v>
      </c>
      <c r="E15" s="17"/>
    </row>
    <row r="16" spans="1:5" x14ac:dyDescent="0.25">
      <c r="A16" s="4" t="s">
        <v>228</v>
      </c>
      <c r="B16" s="49">
        <f>IF(CData!B27,Summary!D$57/CData!B27-1,"")</f>
        <v>7.0621468926552744E-3</v>
      </c>
      <c r="C16" s="50">
        <f>(Summary!D$57-CData!B27)/IF(Summary!B$57,Summary!B$57,1)/10</f>
        <v>1.0000000000000009E-2</v>
      </c>
      <c r="D16" s="44">
        <f>Input!E$203</f>
        <v>14616</v>
      </c>
      <c r="E16" s="17"/>
    </row>
    <row r="17" spans="1:5" x14ac:dyDescent="0.25">
      <c r="A17" s="4" t="s">
        <v>184</v>
      </c>
      <c r="B17" s="49">
        <f>IF(CData!B28,Summary!D$61/CData!B28-1,"")</f>
        <v>3.8327637236493572E-2</v>
      </c>
      <c r="C17" s="50">
        <f>(Summary!D$61-CData!B28)/IF(Summary!B$61,Summary!B$61,1)/10</f>
        <v>0.10506879821359316</v>
      </c>
      <c r="D17" s="44">
        <f>Input!E$207</f>
        <v>109551.18214801565</v>
      </c>
      <c r="E17" s="17"/>
    </row>
    <row r="18" spans="1:5" x14ac:dyDescent="0.25">
      <c r="A18" s="4" t="s">
        <v>185</v>
      </c>
      <c r="B18" s="49">
        <f>IF(CData!B29,Summary!D$65/CData!B29-1,"")</f>
        <v>1.9412375395650328E-2</v>
      </c>
      <c r="C18" s="50">
        <f>(Summary!D$65-CData!B29)/IF(Summary!B$65,Summary!B$65,1)/10</f>
        <v>4.7690177187476382E-2</v>
      </c>
      <c r="D18" s="44">
        <f>Input!E$211</f>
        <v>30180.331007155499</v>
      </c>
      <c r="E18" s="17"/>
    </row>
    <row r="19" spans="1:5" x14ac:dyDescent="0.25">
      <c r="A19" s="4" t="s">
        <v>229</v>
      </c>
      <c r="B19" s="49">
        <f>IF(CData!B30,Summary!D$69/CData!B30-1,"")</f>
        <v>7.0224719101121824E-3</v>
      </c>
      <c r="C19" s="50">
        <f>(Summary!D$69-CData!B30)/IF(Summary!B$69,Summary!B$69,1)/10</f>
        <v>9.9999999999998528E-3</v>
      </c>
      <c r="D19" s="44">
        <f>Input!E$215</f>
        <v>3163</v>
      </c>
      <c r="E19" s="17"/>
    </row>
    <row r="20" spans="1:5" x14ac:dyDescent="0.25">
      <c r="A20" s="4" t="s">
        <v>186</v>
      </c>
      <c r="B20" s="49">
        <f>IF(CData!B31,Summary!D$73/CData!B31-1,"")</f>
        <v>-3.1387673511741876E-2</v>
      </c>
      <c r="C20" s="50">
        <f>(Summary!D$73-CData!B31)/IF(Summary!B$73,Summary!B$73,1)/10</f>
        <v>-8.2239268434365548E-2</v>
      </c>
      <c r="D20" s="44">
        <f>Input!E$219</f>
        <v>1833.471677508197</v>
      </c>
      <c r="E20" s="17"/>
    </row>
    <row r="21" spans="1:5" x14ac:dyDescent="0.25">
      <c r="A21" s="4" t="s">
        <v>187</v>
      </c>
      <c r="B21" s="49">
        <f>IF(CData!B32,Summary!D$77/CData!B32-1,"")</f>
        <v>8.9438089126936404E-4</v>
      </c>
      <c r="C21" s="50">
        <f>(Summary!D$77-CData!B32)/IF(Summary!B$77,Summary!B$77,1)/10</f>
        <v>2.044253066422635E-3</v>
      </c>
      <c r="D21" s="44">
        <f>Input!E$223</f>
        <v>151.42512767842624</v>
      </c>
      <c r="E21" s="17"/>
    </row>
    <row r="22" spans="1:5" x14ac:dyDescent="0.25">
      <c r="A22" s="4" t="s">
        <v>207</v>
      </c>
      <c r="B22" s="49">
        <f>IF(CData!B33,Summary!D$79/CData!B33-1,"")</f>
        <v>-4.0483380747033504E-2</v>
      </c>
      <c r="C22" s="50">
        <f>(Summary!D$79-CData!B33)/IF(Summary!B$79,Summary!B$79,1)/10</f>
        <v>-0.11643018179189941</v>
      </c>
      <c r="D22" s="44">
        <f>Input!E$225</f>
        <v>11.577605311475409</v>
      </c>
      <c r="E22" s="17"/>
    </row>
    <row r="23" spans="1:5" x14ac:dyDescent="0.25">
      <c r="A23" s="4" t="s">
        <v>188</v>
      </c>
      <c r="B23" s="49">
        <f>IF(CData!B34,Summary!D$81/CData!B34-1,"")</f>
        <v>4.7687548518726697E-3</v>
      </c>
      <c r="C23" s="50">
        <f>(Summary!D$81-CData!B34)/IF(Summary!B$81,Summary!B$81,1)/10</f>
        <v>1.3976854091978385E-2</v>
      </c>
      <c r="D23" s="44">
        <f>Input!E$227</f>
        <v>90.262264219672147</v>
      </c>
      <c r="E23" s="17"/>
    </row>
    <row r="24" spans="1:5" x14ac:dyDescent="0.25">
      <c r="A24" s="4" t="s">
        <v>189</v>
      </c>
      <c r="B24" s="49">
        <f>IF(CData!B35,Summary!D$85/CData!B35-1,"")</f>
        <v>2.4736929873426572E-2</v>
      </c>
      <c r="C24" s="50">
        <f>(Summary!D$85-CData!B35)/IF(Summary!B$85,Summary!B$85,1)/10</f>
        <v>6.2468230659921499E-2</v>
      </c>
      <c r="D24" s="44">
        <f>Input!E$231</f>
        <v>5017.1258968839948</v>
      </c>
      <c r="E24" s="17"/>
    </row>
    <row r="25" spans="1:5" x14ac:dyDescent="0.25">
      <c r="A25" s="4" t="s">
        <v>190</v>
      </c>
      <c r="B25" s="49">
        <f>IF(CData!B36,Summary!D$89/CData!B36-1,"")</f>
        <v>2.1942555854719048E-2</v>
      </c>
      <c r="C25" s="50">
        <f>(Summary!D$89-CData!B36)/IF(Summary!B$89,Summary!B$89,1)/10</f>
        <v>6.1528846214819063E-2</v>
      </c>
      <c r="D25" s="44">
        <f>Input!E$235</f>
        <v>7358.8733919028909</v>
      </c>
      <c r="E25" s="17"/>
    </row>
    <row r="26" spans="1:5" x14ac:dyDescent="0.25">
      <c r="A26" s="4" t="s">
        <v>191</v>
      </c>
      <c r="B26" s="49">
        <f>IF(CData!B37,Summary!D$93/CData!B37-1,"")</f>
        <v>1.5132429089329102E-2</v>
      </c>
      <c r="C26" s="50">
        <f>(Summary!D$93-CData!B37)/IF(Summary!B$93,Summary!B$93,1)/10</f>
        <v>3.7481699738923333E-2</v>
      </c>
      <c r="D26" s="44">
        <f>Input!E$239</f>
        <v>1767.9314622358031</v>
      </c>
      <c r="E26" s="17"/>
    </row>
    <row r="27" spans="1:5" x14ac:dyDescent="0.25">
      <c r="A27" s="4" t="s">
        <v>208</v>
      </c>
      <c r="B27" s="49">
        <f>IF(CData!B38,Summary!D$96/CData!B38-1,"")</f>
        <v>2.1057037349429431E-2</v>
      </c>
      <c r="C27" s="50">
        <f>(Summary!D$96-CData!B38)/IF(Summary!B$96,Summary!B$96,1)/10</f>
        <v>4.3589776200276036E-2</v>
      </c>
      <c r="D27" s="44">
        <f>Input!E$242</f>
        <v>1242.4271059445377</v>
      </c>
      <c r="E27" s="17"/>
    </row>
    <row r="28" spans="1:5" x14ac:dyDescent="0.25">
      <c r="A28" s="4" t="s">
        <v>230</v>
      </c>
      <c r="B28" s="49">
        <f>IF(CData!B39,Summary!D$99/CData!B39-1,"")</f>
        <v>5.8467741935483986E-2</v>
      </c>
      <c r="C28" s="50">
        <f>(Summary!D$99-CData!B39)/IF(Summary!B$99,Summary!B$99,1)/10</f>
        <v>0.17400000000000004</v>
      </c>
      <c r="D28" s="44">
        <f>Input!E$245</f>
        <v>818</v>
      </c>
      <c r="E28" s="17"/>
    </row>
    <row r="29" spans="1:5" x14ac:dyDescent="0.25">
      <c r="A29" s="4" t="s">
        <v>231</v>
      </c>
      <c r="B29" s="49">
        <f>IF(CData!B40,Summary!D$103/CData!B40-1,"")</f>
        <v>4.1816009557945177E-2</v>
      </c>
      <c r="C29" s="50">
        <f>(Summary!D$103-CData!B40)/IF(Summary!B$103,Summary!B$103,1)/10</f>
        <v>0.14000000000000012</v>
      </c>
      <c r="D29" s="44">
        <f>Input!E$249</f>
        <v>759</v>
      </c>
      <c r="E29" s="17"/>
    </row>
    <row r="30" spans="1:5" x14ac:dyDescent="0.25">
      <c r="A30" s="4" t="s">
        <v>232</v>
      </c>
      <c r="B30" s="49">
        <f>IF(CData!B41,Summary!D$107/CData!B41-1,"")</f>
        <v>4.0729339332228109E-2</v>
      </c>
      <c r="C30" s="50">
        <f>(Summary!D$107-CData!B41)/IF(Summary!B$107,Summary!B$107,1)/10</f>
        <v>0.17199999999999932</v>
      </c>
      <c r="D30" s="44">
        <f>Input!E$253</f>
        <v>191</v>
      </c>
      <c r="E30" s="17"/>
    </row>
    <row r="31" spans="1:5" x14ac:dyDescent="0.25">
      <c r="A31" s="4" t="s">
        <v>233</v>
      </c>
      <c r="B31" s="49" t="str">
        <f>IF(CData!B42,Summary!D$111/CData!B42-1,"")</f>
        <v/>
      </c>
      <c r="C31" s="50">
        <f>(Summary!D$111-CData!B42)/IF(Summary!B$111,Summary!B$111,1)/10</f>
        <v>0</v>
      </c>
      <c r="D31" s="44">
        <f>Input!E$257</f>
        <v>0</v>
      </c>
      <c r="E31" s="17"/>
    </row>
    <row r="32" spans="1:5" x14ac:dyDescent="0.25">
      <c r="A32" s="4" t="s">
        <v>234</v>
      </c>
      <c r="B32" s="49">
        <f>IF(CData!B43,Summary!D$115/CData!B43-1,"")</f>
        <v>4.710379062653347E-2</v>
      </c>
      <c r="C32" s="50">
        <f>(Summary!D$115-CData!B43)/IF(Summary!B$115,Summary!B$115,1)/10</f>
        <v>0.15989509438835933</v>
      </c>
      <c r="D32" s="44">
        <f>Input!E$261</f>
        <v>22.330601092896174</v>
      </c>
      <c r="E32" s="17"/>
    </row>
    <row r="34" spans="1:6" ht="21" customHeight="1" x14ac:dyDescent="0.3">
      <c r="A34" s="1" t="s">
        <v>1685</v>
      </c>
    </row>
    <row r="35" spans="1:6" x14ac:dyDescent="0.25">
      <c r="A35" s="2" t="s">
        <v>381</v>
      </c>
    </row>
    <row r="36" spans="1:6" x14ac:dyDescent="0.25">
      <c r="A36" s="32" t="s">
        <v>1686</v>
      </c>
    </row>
    <row r="37" spans="1:6" x14ac:dyDescent="0.25">
      <c r="A37" s="32" t="s">
        <v>1687</v>
      </c>
    </row>
    <row r="38" spans="1:6" x14ac:dyDescent="0.25">
      <c r="A38" s="32" t="s">
        <v>1688</v>
      </c>
    </row>
    <row r="39" spans="1:6" x14ac:dyDescent="0.25">
      <c r="A39" s="32" t="s">
        <v>1689</v>
      </c>
    </row>
    <row r="40" spans="1:6" x14ac:dyDescent="0.25">
      <c r="A40" s="32" t="s">
        <v>1690</v>
      </c>
    </row>
    <row r="41" spans="1:6" x14ac:dyDescent="0.25">
      <c r="A41" s="33" t="s">
        <v>384</v>
      </c>
      <c r="B41" s="33" t="s">
        <v>443</v>
      </c>
      <c r="C41" s="33" t="s">
        <v>443</v>
      </c>
      <c r="D41" s="33" t="s">
        <v>514</v>
      </c>
      <c r="E41" s="33" t="s">
        <v>514</v>
      </c>
    </row>
    <row r="42" spans="1:6" x14ac:dyDescent="0.25">
      <c r="A42" s="33" t="s">
        <v>387</v>
      </c>
      <c r="B42" s="33" t="s">
        <v>1473</v>
      </c>
      <c r="C42" s="33" t="s">
        <v>446</v>
      </c>
      <c r="D42" s="33" t="s">
        <v>1691</v>
      </c>
      <c r="E42" s="33" t="s">
        <v>1692</v>
      </c>
    </row>
    <row r="44" spans="1:6" ht="45" x14ac:dyDescent="0.25">
      <c r="B44" s="15" t="s">
        <v>1627</v>
      </c>
      <c r="C44" s="15" t="s">
        <v>1693</v>
      </c>
      <c r="D44" s="15" t="s">
        <v>1694</v>
      </c>
      <c r="E44" s="15" t="s">
        <v>1695</v>
      </c>
    </row>
    <row r="45" spans="1:6" x14ac:dyDescent="0.25">
      <c r="A45" s="4" t="s">
        <v>182</v>
      </c>
      <c r="B45" s="27" t="str">
        <f>CData!B$96</f>
        <v>MPAN</v>
      </c>
      <c r="C45" s="46">
        <f>CData!I$161</f>
        <v>112.42702880093901</v>
      </c>
      <c r="D45" s="46">
        <f>IF(CData!B276,C45-CData!B276,"")</f>
        <v>42.163806660330437</v>
      </c>
      <c r="E45" s="46">
        <f>IF(CData!B308,C45-CData!B308,"")</f>
        <v>69.22549814205405</v>
      </c>
      <c r="F45" s="17"/>
    </row>
    <row r="46" spans="1:6" x14ac:dyDescent="0.25">
      <c r="A46" s="4" t="s">
        <v>183</v>
      </c>
      <c r="B46" s="27" t="str">
        <f>CData!B$97</f>
        <v>MPAN</v>
      </c>
      <c r="C46" s="46">
        <f>CData!I$165</f>
        <v>154.19985780369043</v>
      </c>
      <c r="D46" s="46">
        <f>IF(CData!B277,C46-CData!B277,"")</f>
        <v>57.857661413746186</v>
      </c>
      <c r="E46" s="46">
        <f>IF(CData!B309,C46-CData!B309,"")</f>
        <v>94.965266351773337</v>
      </c>
      <c r="F46" s="17"/>
    </row>
    <row r="47" spans="1:6" x14ac:dyDescent="0.25">
      <c r="A47" s="4" t="s">
        <v>228</v>
      </c>
      <c r="B47" s="27" t="str">
        <f>CData!B$98</f>
        <v>MPAN</v>
      </c>
      <c r="C47" s="46">
        <f>CData!I$169</f>
        <v>48.377214519183539</v>
      </c>
      <c r="D47" s="46">
        <f>IF(CData!B278,C47-CData!B278,"")</f>
        <v>18.149936723536602</v>
      </c>
      <c r="E47" s="46">
        <f>IF(CData!B310,C47-CData!B310,"")</f>
        <v>29.786251295822684</v>
      </c>
      <c r="F47" s="17"/>
    </row>
    <row r="48" spans="1:6" x14ac:dyDescent="0.25">
      <c r="A48" s="4" t="s">
        <v>184</v>
      </c>
      <c r="B48" s="27" t="str">
        <f>CData!B$99</f>
        <v>MPAN</v>
      </c>
      <c r="C48" s="46">
        <f>CData!I$173</f>
        <v>308.8458545483162</v>
      </c>
      <c r="D48" s="46">
        <f>IF(CData!B279,C48-CData!B279,"")</f>
        <v>115.85347144915104</v>
      </c>
      <c r="E48" s="46">
        <f>IF(CData!B311,C48-CData!B311,"")</f>
        <v>190.2039916941805</v>
      </c>
      <c r="F48" s="17"/>
    </row>
    <row r="49" spans="1:6" x14ac:dyDescent="0.25">
      <c r="A49" s="4" t="s">
        <v>185</v>
      </c>
      <c r="B49" s="27" t="str">
        <f>CData!B$100</f>
        <v>MPAN</v>
      </c>
      <c r="C49" s="46">
        <f>CData!I$177</f>
        <v>480.96605888893566</v>
      </c>
      <c r="D49" s="46">
        <f>IF(CData!B280,C49-CData!B280,"")</f>
        <v>180.50838402300195</v>
      </c>
      <c r="E49" s="46">
        <f>IF(CData!B312,C49-CData!B312,"")</f>
        <v>296.23492785220253</v>
      </c>
      <c r="F49" s="17"/>
    </row>
    <row r="50" spans="1:6" x14ac:dyDescent="0.25">
      <c r="A50" s="4" t="s">
        <v>229</v>
      </c>
      <c r="B50" s="27" t="str">
        <f>CData!B$101</f>
        <v>MPAN</v>
      </c>
      <c r="C50" s="46">
        <f>CData!I$181</f>
        <v>84.762733213742138</v>
      </c>
      <c r="D50" s="46">
        <f>IF(CData!B281,C50-CData!B281,"")</f>
        <v>31.800802279632684</v>
      </c>
      <c r="E50" s="46">
        <f>IF(CData!B313,C50-CData!B313,"")</f>
        <v>52.19351006118152</v>
      </c>
      <c r="F50" s="17"/>
    </row>
    <row r="51" spans="1:6" x14ac:dyDescent="0.25">
      <c r="A51" s="4" t="s">
        <v>186</v>
      </c>
      <c r="B51" s="27" t="str">
        <f>CData!B$102</f>
        <v>MPAN</v>
      </c>
      <c r="C51" s="46">
        <f>CData!I$185</f>
        <v>1057.2475489093292</v>
      </c>
      <c r="D51" s="46">
        <f>IF(CData!B282,C51-CData!B282,"")</f>
        <v>396.88472366600865</v>
      </c>
      <c r="E51" s="46">
        <f>IF(CData!B314,C51-CData!B314,"")</f>
        <v>651.18343427951231</v>
      </c>
      <c r="F51" s="17"/>
    </row>
    <row r="52" spans="1:6" x14ac:dyDescent="0.25">
      <c r="A52" s="4" t="s">
        <v>188</v>
      </c>
      <c r="B52" s="27" t="str">
        <f>CData!B$105</f>
        <v>MPAN</v>
      </c>
      <c r="C52" s="46">
        <f>CData!I$193</f>
        <v>97.542216882123611</v>
      </c>
      <c r="D52" s="46">
        <f>IF(CData!B283,C52-CData!B283,"")</f>
        <v>36.597899125100184</v>
      </c>
      <c r="E52" s="46">
        <f>IF(CData!B315,C52-CData!B315,"")</f>
        <v>60.065648656413842</v>
      </c>
      <c r="F52" s="17"/>
    </row>
    <row r="53" spans="1:6" x14ac:dyDescent="0.25">
      <c r="A53" s="4" t="s">
        <v>189</v>
      </c>
      <c r="B53" s="27" t="str">
        <f>CData!B$106</f>
        <v>MPAN</v>
      </c>
      <c r="C53" s="46">
        <f>CData!I$197</f>
        <v>1901.2679773972491</v>
      </c>
      <c r="D53" s="46">
        <f>IF(CData!B284,C53-CData!B284,"")</f>
        <v>713.45740767441657</v>
      </c>
      <c r="E53" s="46">
        <f>IF(CData!B316,C53-CData!B316,"")</f>
        <v>1170.8742110108728</v>
      </c>
      <c r="F53" s="17"/>
    </row>
    <row r="54" spans="1:6" x14ac:dyDescent="0.25">
      <c r="A54" s="4" t="s">
        <v>190</v>
      </c>
      <c r="B54" s="27" t="str">
        <f>CData!B$107</f>
        <v>kVA</v>
      </c>
      <c r="C54" s="46">
        <f>CData!I$201</f>
        <v>54.151197754453271</v>
      </c>
      <c r="D54" s="46">
        <f>IF(CData!B285,C54-CData!B285,"")</f>
        <v>20.305541071241187</v>
      </c>
      <c r="E54" s="46">
        <f>IF(CData!B317,C54-CData!B317,"")</f>
        <v>33.357276486913293</v>
      </c>
      <c r="F54" s="17"/>
    </row>
    <row r="55" spans="1:6" x14ac:dyDescent="0.25">
      <c r="A55" s="4" t="s">
        <v>191</v>
      </c>
      <c r="B55" s="27" t="str">
        <f>CData!B$108</f>
        <v>kVA</v>
      </c>
      <c r="C55" s="46">
        <f>CData!I$205</f>
        <v>52.891906995839179</v>
      </c>
      <c r="D55" s="10"/>
      <c r="E55" s="46">
        <f>IF(CData!B318,C55-CData!B318,"")</f>
        <v>19.548971182271387</v>
      </c>
      <c r="F55" s="17"/>
    </row>
    <row r="56" spans="1:6" x14ac:dyDescent="0.25">
      <c r="A56" s="4" t="s">
        <v>208</v>
      </c>
      <c r="B56" s="27" t="str">
        <f>CData!B$109</f>
        <v>kVA</v>
      </c>
      <c r="C56" s="46">
        <f>CData!I$208</f>
        <v>59.571554795003173</v>
      </c>
      <c r="D56" s="10"/>
      <c r="E56" s="46">
        <f>IF(CData!B319,C56-CData!B319,"")</f>
        <v>15.026570239154623</v>
      </c>
      <c r="F56" s="17"/>
    </row>
    <row r="57" spans="1:6" x14ac:dyDescent="0.25">
      <c r="A57" s="4" t="s">
        <v>230</v>
      </c>
      <c r="B57" s="27" t="str">
        <f>CData!B$110</f>
        <v>MWh</v>
      </c>
      <c r="C57" s="46">
        <f>CData!I$211</f>
        <v>31.5</v>
      </c>
      <c r="D57" s="46">
        <f>IF(CData!B288,C57-CData!B288,"")</f>
        <v>11.82</v>
      </c>
      <c r="E57" s="46">
        <f>IF(CData!B320,C57-CData!B320,"")</f>
        <v>19.399999999999999</v>
      </c>
      <c r="F57" s="17"/>
    </row>
    <row r="58" spans="1:6" x14ac:dyDescent="0.25">
      <c r="A58" s="4" t="s">
        <v>231</v>
      </c>
      <c r="B58" s="27" t="str">
        <f>CData!B$111</f>
        <v>MWh</v>
      </c>
      <c r="C58" s="46">
        <f>CData!I$215</f>
        <v>34.880000000000003</v>
      </c>
      <c r="D58" s="46">
        <f>IF(CData!B289,C58-CData!B289,"")</f>
        <v>13.090000000000003</v>
      </c>
      <c r="E58" s="46">
        <f>IF(CData!B321,C58-CData!B321,"")</f>
        <v>21.480000000000004</v>
      </c>
      <c r="F58" s="17"/>
    </row>
    <row r="59" spans="1:6" x14ac:dyDescent="0.25">
      <c r="A59" s="4" t="s">
        <v>232</v>
      </c>
      <c r="B59" s="27" t="str">
        <f>CData!B$112</f>
        <v>MWh</v>
      </c>
      <c r="C59" s="46">
        <f>CData!I$219</f>
        <v>43.949999999999996</v>
      </c>
      <c r="D59" s="46">
        <f>IF(CData!B290,C59-CData!B290,"")</f>
        <v>16.489999999999995</v>
      </c>
      <c r="E59" s="46">
        <f>IF(CData!B322,C59-CData!B322,"")</f>
        <v>27.069999999999997</v>
      </c>
      <c r="F59" s="17"/>
    </row>
    <row r="60" spans="1:6" x14ac:dyDescent="0.25">
      <c r="A60" s="4" t="s">
        <v>233</v>
      </c>
      <c r="B60" s="27" t="str">
        <f>CData!B$113</f>
        <v>MWh</v>
      </c>
      <c r="C60" s="46">
        <f>CData!I$223</f>
        <v>0</v>
      </c>
      <c r="D60" s="46" t="str">
        <f>IF(CData!B291,C60-CData!B291,"")</f>
        <v/>
      </c>
      <c r="E60" s="46" t="str">
        <f>IF(CData!B323,C60-CData!B323,"")</f>
        <v/>
      </c>
      <c r="F60" s="17"/>
    </row>
    <row r="61" spans="1:6" x14ac:dyDescent="0.25">
      <c r="A61" s="4" t="s">
        <v>234</v>
      </c>
      <c r="B61" s="27" t="str">
        <f>CData!B$114</f>
        <v>MWh</v>
      </c>
      <c r="C61" s="46">
        <f>CData!I$227</f>
        <v>35.544222069959552</v>
      </c>
      <c r="D61" s="46">
        <f>IF(CData!B292,C61-CData!B292,"")</f>
        <v>13.340912052893881</v>
      </c>
      <c r="E61" s="46">
        <f>IF(CData!B324,C61-CData!B324,"")</f>
        <v>21.892207387657368</v>
      </c>
      <c r="F61" s="17"/>
    </row>
    <row r="62" spans="1:6" x14ac:dyDescent="0.25">
      <c r="A62" s="4" t="s">
        <v>192</v>
      </c>
      <c r="B62" s="27" t="str">
        <f>CData!B$115</f>
        <v>MWh</v>
      </c>
      <c r="C62" s="46">
        <f>CData!I$231</f>
        <v>-6.93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193</v>
      </c>
      <c r="B63" s="27" t="str">
        <f>CData!B$116</f>
        <v>MWh</v>
      </c>
      <c r="C63" s="46">
        <f>CData!I$235</f>
        <v>0</v>
      </c>
      <c r="D63" s="10"/>
      <c r="E63" s="46" t="str">
        <f>IF(CData!B326,C63-CData!B326,"")</f>
        <v/>
      </c>
      <c r="F63" s="17"/>
    </row>
    <row r="64" spans="1:6" x14ac:dyDescent="0.25">
      <c r="A64" s="4" t="s">
        <v>194</v>
      </c>
      <c r="B64" s="27" t="str">
        <f>CData!B$117</f>
        <v>MWh</v>
      </c>
      <c r="C64" s="46">
        <f>CData!I$238</f>
        <v>-6.7868684042708658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196</v>
      </c>
      <c r="B65" s="27" t="str">
        <f>CData!B$119</f>
        <v>MWh</v>
      </c>
      <c r="C65" s="46">
        <f>CData!I$244</f>
        <v>-6.8638861681420904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198</v>
      </c>
      <c r="B66" s="27" t="str">
        <f>CData!B$121</f>
        <v>MWh</v>
      </c>
      <c r="C66" s="46">
        <f>CData!I$250</f>
        <v>-6.0927385670359211</v>
      </c>
      <c r="D66" s="10"/>
      <c r="E66" s="46">
        <f>IF(CData!B329,C66-CData!B329,"")</f>
        <v>0</v>
      </c>
      <c r="F66" s="17"/>
    </row>
    <row r="67" spans="1:6" x14ac:dyDescent="0.25">
      <c r="A67" s="4" t="s">
        <v>200</v>
      </c>
      <c r="B67" s="27" t="str">
        <f>CData!B$123</f>
        <v>MWh</v>
      </c>
      <c r="C67" s="46">
        <f>CData!I$255</f>
        <v>-6.3060433272247955</v>
      </c>
      <c r="D67" s="10"/>
      <c r="E67" s="46">
        <f>IF(CData!B330,C67-CData!B330,"")</f>
        <v>0</v>
      </c>
      <c r="F67" s="17"/>
    </row>
    <row r="68" spans="1:6" x14ac:dyDescent="0.25">
      <c r="A68" s="4" t="s">
        <v>209</v>
      </c>
      <c r="B68" s="27" t="str">
        <f>CData!B$125</f>
        <v>MWh</v>
      </c>
      <c r="C68" s="46">
        <f>CData!I$260</f>
        <v>-3.8349577465028428</v>
      </c>
      <c r="D68" s="10"/>
      <c r="E68" s="46">
        <f>IF(CData!B331,C68-CData!B331,"")</f>
        <v>9.4378539553087837E-2</v>
      </c>
      <c r="F68" s="17"/>
    </row>
    <row r="69" spans="1:6" x14ac:dyDescent="0.25">
      <c r="A69" s="4" t="s">
        <v>211</v>
      </c>
      <c r="B69" s="27" t="str">
        <f>CData!B$127</f>
        <v>MWh</v>
      </c>
      <c r="C69" s="46">
        <f>CData!I$265</f>
        <v>-4.9061737515612114</v>
      </c>
      <c r="D69" s="10"/>
      <c r="E69" s="46">
        <f>IF(CData!B332,C69-CData!B332,"")</f>
        <v>4.8166776104721087E-2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104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40428E-ECDA-48C3-8639-07C15B864550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v104</dc:title>
  <dc:creator/>
  <cp:lastModifiedBy>Wornell, Dave I.</cp:lastModifiedBy>
  <dcterms:created xsi:type="dcterms:W3CDTF">2016-11-20T12:44:16Z</dcterms:created>
  <dcterms:modified xsi:type="dcterms:W3CDTF">2017-12-12T09:47:51Z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