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75" yWindow="-90" windowWidth="12540" windowHeight="11925" tabRatio="880" activeTab="4"/>
  </bookViews>
  <sheets>
    <sheet name="Index" sheetId="1" r:id="rId1"/>
    <sheet name="Input" sheetId="2" r:id="rId2"/>
    <sheet name="CDCM" sheetId="3" r:id="rId3"/>
    <sheet name="EDCM" sheetId="4" r:id="rId4"/>
    <sheet name="Results" sheetId="5" r:id="rId5"/>
  </sheets>
  <definedNames>
    <definedName name="_xlnm._FilterDatabase" localSheetId="0" hidden="1">Index!$A$27:$C$118</definedName>
  </definedNames>
  <calcPr calcId="145621"/>
</workbook>
</file>

<file path=xl/calcChain.xml><?xml version="1.0" encoding="utf-8"?>
<calcChain xmlns="http://schemas.openxmlformats.org/spreadsheetml/2006/main">
  <c r="A1" i="5" l="1"/>
  <c r="E44" i="4"/>
  <c r="D44" i="4"/>
  <c r="C44" i="4"/>
  <c r="B44" i="4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28" i="4"/>
  <c r="D28" i="4"/>
  <c r="C28" i="4"/>
  <c r="B28" i="4"/>
  <c r="E27" i="4"/>
  <c r="D27" i="4"/>
  <c r="C27" i="4"/>
  <c r="B27" i="4"/>
  <c r="E12" i="4"/>
  <c r="D12" i="4"/>
  <c r="C12" i="4"/>
  <c r="B12" i="4"/>
  <c r="A1" i="4"/>
  <c r="E728" i="3"/>
  <c r="D728" i="3"/>
  <c r="C728" i="3"/>
  <c r="B728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38" i="3"/>
  <c r="B437" i="3"/>
  <c r="B422" i="3"/>
  <c r="E319" i="3"/>
  <c r="E363" i="3" s="1"/>
  <c r="D319" i="3"/>
  <c r="C319" i="3"/>
  <c r="B319" i="3"/>
  <c r="E318" i="3"/>
  <c r="D318" i="3"/>
  <c r="D362" i="3" s="1"/>
  <c r="C318" i="3"/>
  <c r="B318" i="3"/>
  <c r="B362" i="3" s="1"/>
  <c r="E317" i="3"/>
  <c r="E361" i="3" s="1"/>
  <c r="D317" i="3"/>
  <c r="C317" i="3"/>
  <c r="B317" i="3"/>
  <c r="E316" i="3"/>
  <c r="E360" i="3" s="1"/>
  <c r="D316" i="3"/>
  <c r="C316" i="3"/>
  <c r="B316" i="3"/>
  <c r="E315" i="3"/>
  <c r="E359" i="3" s="1"/>
  <c r="D315" i="3"/>
  <c r="D359" i="3" s="1"/>
  <c r="C315" i="3"/>
  <c r="B315" i="3"/>
  <c r="B359" i="3" s="1"/>
  <c r="E314" i="3"/>
  <c r="E358" i="3" s="1"/>
  <c r="D314" i="3"/>
  <c r="C314" i="3"/>
  <c r="B314" i="3"/>
  <c r="E313" i="3"/>
  <c r="E357" i="3" s="1"/>
  <c r="D313" i="3"/>
  <c r="C313" i="3"/>
  <c r="B313" i="3"/>
  <c r="E312" i="3"/>
  <c r="E356" i="3" s="1"/>
  <c r="D312" i="3"/>
  <c r="C312" i="3"/>
  <c r="B312" i="3"/>
  <c r="E311" i="3"/>
  <c r="E355" i="3" s="1"/>
  <c r="D311" i="3"/>
  <c r="C311" i="3"/>
  <c r="C355" i="3" s="1"/>
  <c r="B311" i="3"/>
  <c r="B355" i="3" s="1"/>
  <c r="E310" i="3"/>
  <c r="E354" i="3" s="1"/>
  <c r="D310" i="3"/>
  <c r="D354" i="3" s="1"/>
  <c r="C310" i="3"/>
  <c r="B310" i="3"/>
  <c r="E309" i="3"/>
  <c r="E353" i="3" s="1"/>
  <c r="D309" i="3"/>
  <c r="C309" i="3"/>
  <c r="B309" i="3"/>
  <c r="E308" i="3"/>
  <c r="E352" i="3" s="1"/>
  <c r="D308" i="3"/>
  <c r="C308" i="3"/>
  <c r="B308" i="3"/>
  <c r="B352" i="3" s="1"/>
  <c r="B841" i="3" s="1"/>
  <c r="E303" i="3"/>
  <c r="E347" i="3" s="1"/>
  <c r="D303" i="3"/>
  <c r="C303" i="3"/>
  <c r="C347" i="3" s="1"/>
  <c r="C836" i="3" s="1"/>
  <c r="B303" i="3"/>
  <c r="B347" i="3" s="1"/>
  <c r="B387" i="3" s="1"/>
  <c r="E302" i="3"/>
  <c r="E346" i="3" s="1"/>
  <c r="D302" i="3"/>
  <c r="C302" i="3"/>
  <c r="B302" i="3"/>
  <c r="E287" i="3"/>
  <c r="E331" i="3" s="1"/>
  <c r="D287" i="3"/>
  <c r="D331" i="3" s="1"/>
  <c r="C287" i="3"/>
  <c r="B287" i="3"/>
  <c r="B331" i="3" s="1"/>
  <c r="B215" i="3"/>
  <c r="B308" i="4"/>
  <c r="B209" i="3"/>
  <c r="B302" i="4"/>
  <c r="B199" i="3"/>
  <c r="B292" i="4"/>
  <c r="B84" i="3"/>
  <c r="B80" i="3"/>
  <c r="B76" i="3"/>
  <c r="B72" i="3"/>
  <c r="B68" i="3"/>
  <c r="B64" i="3"/>
  <c r="B60" i="3"/>
  <c r="B56" i="3"/>
  <c r="B52" i="3"/>
  <c r="E42" i="3"/>
  <c r="B42" i="3"/>
  <c r="E41" i="3"/>
  <c r="B41" i="3"/>
  <c r="E40" i="3"/>
  <c r="B40" i="3"/>
  <c r="E39" i="3"/>
  <c r="B39" i="3"/>
  <c r="E38" i="3"/>
  <c r="B38" i="3"/>
  <c r="E37" i="3"/>
  <c r="B37" i="3"/>
  <c r="E36" i="3"/>
  <c r="B36" i="3"/>
  <c r="E35" i="3"/>
  <c r="B35" i="3"/>
  <c r="E34" i="3"/>
  <c r="B34" i="3"/>
  <c r="E33" i="3"/>
  <c r="B33" i="3"/>
  <c r="E32" i="3"/>
  <c r="B32" i="3"/>
  <c r="E31" i="3"/>
  <c r="B31" i="3"/>
  <c r="E30" i="3"/>
  <c r="B30" i="3"/>
  <c r="E29" i="3"/>
  <c r="B29" i="3"/>
  <c r="E28" i="3"/>
  <c r="B28" i="3"/>
  <c r="E27" i="3"/>
  <c r="B27" i="3"/>
  <c r="E26" i="3"/>
  <c r="B26" i="3"/>
  <c r="E25" i="3"/>
  <c r="B25" i="3"/>
  <c r="E24" i="3"/>
  <c r="B24" i="3"/>
  <c r="E23" i="3"/>
  <c r="B23" i="3"/>
  <c r="E22" i="3"/>
  <c r="B22" i="3"/>
  <c r="E21" i="3"/>
  <c r="B21" i="3"/>
  <c r="E20" i="3"/>
  <c r="B20" i="3"/>
  <c r="E19" i="3"/>
  <c r="B19" i="3"/>
  <c r="E18" i="3"/>
  <c r="B18" i="3"/>
  <c r="E17" i="3"/>
  <c r="B17" i="3"/>
  <c r="E16" i="3"/>
  <c r="B16" i="3"/>
  <c r="E15" i="3"/>
  <c r="B15" i="3"/>
  <c r="E14" i="3"/>
  <c r="B14" i="3"/>
  <c r="E13" i="3"/>
  <c r="B13" i="3"/>
  <c r="E12" i="3"/>
  <c r="B12" i="3"/>
  <c r="E11" i="3"/>
  <c r="B11" i="3"/>
  <c r="E10" i="3"/>
  <c r="B10" i="3"/>
  <c r="A1" i="3"/>
  <c r="E643" i="3"/>
  <c r="C643" i="3"/>
  <c r="B216" i="3"/>
  <c r="B309" i="4"/>
  <c r="B213" i="3"/>
  <c r="B306" i="4"/>
  <c r="B212" i="3"/>
  <c r="B305" i="4"/>
  <c r="B211" i="3"/>
  <c r="B304" i="4"/>
  <c r="B208" i="3"/>
  <c r="B301" i="4"/>
  <c r="B207" i="3"/>
  <c r="B300" i="4"/>
  <c r="B205" i="3"/>
  <c r="B298" i="4"/>
  <c r="B204" i="3"/>
  <c r="B297" i="4"/>
  <c r="B203" i="3"/>
  <c r="B296" i="4"/>
  <c r="B201" i="3"/>
  <c r="B294" i="4"/>
  <c r="B200" i="3"/>
  <c r="B293" i="4"/>
  <c r="B197" i="3"/>
  <c r="B290" i="4"/>
  <c r="B196" i="3"/>
  <c r="B289" i="4"/>
  <c r="B195" i="3"/>
  <c r="B288" i="4"/>
  <c r="B194" i="3"/>
  <c r="B287" i="4"/>
  <c r="B193" i="3"/>
  <c r="B286" i="4"/>
  <c r="B192" i="3"/>
  <c r="B285" i="4"/>
  <c r="B191" i="3"/>
  <c r="B284" i="4"/>
  <c r="B190" i="3"/>
  <c r="B283" i="4"/>
  <c r="B189" i="3"/>
  <c r="B282" i="4"/>
  <c r="B188" i="3"/>
  <c r="B281" i="4"/>
  <c r="B187" i="3"/>
  <c r="B280" i="4"/>
  <c r="B186" i="3"/>
  <c r="B279" i="4"/>
  <c r="B185" i="3"/>
  <c r="B278" i="4"/>
  <c r="B184" i="3"/>
  <c r="B277" i="4"/>
  <c r="B183" i="3"/>
  <c r="B276" i="4"/>
  <c r="B182" i="3"/>
  <c r="B275" i="4"/>
  <c r="B181" i="3"/>
  <c r="B274" i="4"/>
  <c r="B180" i="3"/>
  <c r="B273" i="4"/>
  <c r="B179" i="3"/>
  <c r="B272" i="4"/>
  <c r="B178" i="3"/>
  <c r="B271" i="4"/>
  <c r="B177" i="3"/>
  <c r="B270" i="4"/>
  <c r="B176" i="3"/>
  <c r="B269" i="4"/>
  <c r="B175" i="3"/>
  <c r="B268" i="4"/>
  <c r="B174" i="3"/>
  <c r="B267" i="4"/>
  <c r="B173" i="3"/>
  <c r="B266" i="4"/>
  <c r="B172" i="3"/>
  <c r="B265" i="4"/>
  <c r="B171" i="3"/>
  <c r="B264" i="4"/>
  <c r="B170" i="3"/>
  <c r="B263" i="4"/>
  <c r="B169" i="3"/>
  <c r="B262" i="4"/>
  <c r="B168" i="3"/>
  <c r="B261" i="4"/>
  <c r="B167" i="3"/>
  <c r="B260" i="4"/>
  <c r="B166" i="3"/>
  <c r="B259" i="4"/>
  <c r="B165" i="3"/>
  <c r="B258" i="4"/>
  <c r="B164" i="3"/>
  <c r="B257" i="4"/>
  <c r="B163" i="3"/>
  <c r="B256" i="4"/>
  <c r="B162" i="3"/>
  <c r="B255" i="4"/>
  <c r="B161" i="3"/>
  <c r="B254" i="4"/>
  <c r="B160" i="3"/>
  <c r="B253" i="4"/>
  <c r="B159" i="3"/>
  <c r="B252" i="4"/>
  <c r="B158" i="3"/>
  <c r="B251" i="4"/>
  <c r="B157" i="3"/>
  <c r="B250" i="4"/>
  <c r="B156" i="3"/>
  <c r="B249" i="4"/>
  <c r="B155" i="3"/>
  <c r="B248" i="4"/>
  <c r="B154" i="3"/>
  <c r="B247" i="4"/>
  <c r="B153" i="3"/>
  <c r="B246" i="4"/>
  <c r="B152" i="3"/>
  <c r="B245" i="4"/>
  <c r="B151" i="3"/>
  <c r="B244" i="4"/>
  <c r="B150" i="3"/>
  <c r="B243" i="4"/>
  <c r="B149" i="3"/>
  <c r="B242" i="4"/>
  <c r="B148" i="3"/>
  <c r="B241" i="4"/>
  <c r="B147" i="3"/>
  <c r="B240" i="4"/>
  <c r="B146" i="3"/>
  <c r="B239" i="4"/>
  <c r="B145" i="3"/>
  <c r="B238" i="4"/>
  <c r="B144" i="3"/>
  <c r="B237" i="4"/>
  <c r="B143" i="3"/>
  <c r="B236" i="4"/>
  <c r="B142" i="3"/>
  <c r="B235" i="4"/>
  <c r="B141" i="3"/>
  <c r="B234" i="4"/>
  <c r="B140" i="3"/>
  <c r="B233" i="4"/>
  <c r="B139" i="3"/>
  <c r="B232" i="4"/>
  <c r="B138" i="3"/>
  <c r="B231" i="4"/>
  <c r="B137" i="3"/>
  <c r="B230" i="4"/>
  <c r="B136" i="3"/>
  <c r="B229" i="4"/>
  <c r="B135" i="3"/>
  <c r="B228" i="4"/>
  <c r="B134" i="3"/>
  <c r="B227" i="4"/>
  <c r="B133" i="3"/>
  <c r="B226" i="4"/>
  <c r="B132" i="3"/>
  <c r="B83" i="3"/>
  <c r="B707" i="3"/>
  <c r="B81" i="3"/>
  <c r="B79" i="3"/>
  <c r="B78" i="3"/>
  <c r="B77" i="3"/>
  <c r="B75" i="3"/>
  <c r="B74" i="3"/>
  <c r="B73" i="3"/>
  <c r="B71" i="3"/>
  <c r="B70" i="3"/>
  <c r="B69" i="3"/>
  <c r="B67" i="3"/>
  <c r="B66" i="3"/>
  <c r="B65" i="3"/>
  <c r="B63" i="3"/>
  <c r="B62" i="3"/>
  <c r="B61" i="3"/>
  <c r="B59" i="3"/>
  <c r="B58" i="3"/>
  <c r="B57" i="3"/>
  <c r="B55" i="3"/>
  <c r="B54" i="3"/>
  <c r="B5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A1" i="2"/>
  <c r="A1" i="1"/>
  <c r="C72" i="3"/>
  <c r="C70" i="3"/>
  <c r="C58" i="3"/>
  <c r="C359" i="3"/>
  <c r="C848" i="3" s="1"/>
  <c r="B225" i="4"/>
  <c r="B72" i="4"/>
  <c r="C737" i="3"/>
  <c r="D771" i="3"/>
  <c r="B737" i="3"/>
  <c r="B745" i="3"/>
  <c r="B643" i="3"/>
  <c r="C52" i="3"/>
  <c r="D56" i="4"/>
  <c r="C54" i="3"/>
  <c r="C56" i="3"/>
  <c r="C60" i="3"/>
  <c r="C62" i="3"/>
  <c r="C64" i="3"/>
  <c r="C66" i="3"/>
  <c r="C68" i="3"/>
  <c r="C74" i="3"/>
  <c r="D78" i="4"/>
  <c r="C76" i="3"/>
  <c r="C78" i="3"/>
  <c r="C80" i="3"/>
  <c r="D84" i="4"/>
  <c r="C82" i="3"/>
  <c r="C86" i="4"/>
  <c r="C84" i="3"/>
  <c r="D88" i="4"/>
  <c r="E726" i="3"/>
  <c r="D727" i="3"/>
  <c r="D737" i="3"/>
  <c r="E771" i="3"/>
  <c r="E727" i="3"/>
  <c r="B698" i="3"/>
  <c r="B85" i="4"/>
  <c r="B82" i="3"/>
  <c r="B717" i="3"/>
  <c r="B198" i="3"/>
  <c r="B291" i="4"/>
  <c r="B202" i="3"/>
  <c r="B295" i="4"/>
  <c r="B206" i="3"/>
  <c r="B299" i="4"/>
  <c r="B210" i="3"/>
  <c r="B303" i="4"/>
  <c r="B214" i="3"/>
  <c r="B307" i="4"/>
  <c r="D643" i="3"/>
  <c r="E56" i="4"/>
  <c r="E72" i="4"/>
  <c r="E78" i="4"/>
  <c r="E80" i="4"/>
  <c r="E84" i="4"/>
  <c r="E85" i="4"/>
  <c r="C53" i="3"/>
  <c r="C55" i="3"/>
  <c r="C57" i="3"/>
  <c r="C59" i="3"/>
  <c r="C61" i="3"/>
  <c r="C63" i="3"/>
  <c r="C65" i="3"/>
  <c r="C67" i="3"/>
  <c r="C71" i="4"/>
  <c r="C69" i="3"/>
  <c r="C71" i="3"/>
  <c r="C73" i="3"/>
  <c r="D77" i="4"/>
  <c r="C75" i="3"/>
  <c r="C77" i="3"/>
  <c r="D81" i="4"/>
  <c r="C79" i="3"/>
  <c r="D83" i="4"/>
  <c r="C81" i="3"/>
  <c r="D85" i="4"/>
  <c r="C83" i="3"/>
  <c r="D87" i="4"/>
  <c r="C225" i="3"/>
  <c r="E225" i="3"/>
  <c r="B413" i="3"/>
  <c r="B428" i="3"/>
  <c r="B225" i="3"/>
  <c r="D225" i="3"/>
  <c r="B346" i="3"/>
  <c r="B835" i="3" s="1"/>
  <c r="B77" i="4"/>
  <c r="D80" i="4"/>
  <c r="E86" i="4"/>
  <c r="E365" i="4"/>
  <c r="E77" i="4"/>
  <c r="E356" i="4"/>
  <c r="E71" i="4"/>
  <c r="B360" i="3"/>
  <c r="B849" i="3" s="1"/>
  <c r="B84" i="4"/>
  <c r="C362" i="3"/>
  <c r="C354" i="3"/>
  <c r="D569" i="3" s="1"/>
  <c r="D610" i="3" s="1"/>
  <c r="D72" i="4"/>
  <c r="D351" i="4"/>
  <c r="C360" i="3"/>
  <c r="C849" i="3" s="1"/>
  <c r="C352" i="3"/>
  <c r="C841" i="3" s="1"/>
  <c r="D352" i="3"/>
  <c r="D841" i="3" s="1"/>
  <c r="E362" i="3"/>
  <c r="F577" i="3" s="1"/>
  <c r="F618" i="3" s="1"/>
  <c r="B79" i="4"/>
  <c r="B363" i="3"/>
  <c r="B852" i="3" s="1"/>
  <c r="D86" i="4"/>
  <c r="D126" i="4"/>
  <c r="E87" i="4"/>
  <c r="B87" i="4"/>
  <c r="B127" i="4"/>
  <c r="C356" i="3"/>
  <c r="D571" i="3" s="1"/>
  <c r="D612" i="3" s="1"/>
  <c r="B56" i="4"/>
  <c r="C331" i="3"/>
  <c r="D546" i="3" s="1"/>
  <c r="D587" i="3" s="1"/>
  <c r="E737" i="3"/>
  <c r="D364" i="4"/>
  <c r="D125" i="4"/>
  <c r="D363" i="4"/>
  <c r="D124" i="4"/>
  <c r="D362" i="4"/>
  <c r="D123" i="4"/>
  <c r="F771" i="3"/>
  <c r="B794" i="3"/>
  <c r="B406" i="4"/>
  <c r="D360" i="4"/>
  <c r="D121" i="4"/>
  <c r="D367" i="4"/>
  <c r="D128" i="4"/>
  <c r="D366" i="4"/>
  <c r="D127" i="4"/>
  <c r="C350" i="4"/>
  <c r="C111" i="4"/>
  <c r="C365" i="4"/>
  <c r="C126" i="4"/>
  <c r="D357" i="4"/>
  <c r="D118" i="4"/>
  <c r="D335" i="4"/>
  <c r="D96" i="4"/>
  <c r="D356" i="4"/>
  <c r="D117" i="4"/>
  <c r="B440" i="3"/>
  <c r="B436" i="3"/>
  <c r="B432" i="3"/>
  <c r="B424" i="3"/>
  <c r="B442" i="3"/>
  <c r="B431" i="3"/>
  <c r="B441" i="3"/>
  <c r="B435" i="3"/>
  <c r="B430" i="3"/>
  <c r="B439" i="3"/>
  <c r="B434" i="3"/>
  <c r="B429" i="3"/>
  <c r="B433" i="3"/>
  <c r="B427" i="3"/>
  <c r="C845" i="3"/>
  <c r="D365" i="4"/>
  <c r="D112" i="4"/>
  <c r="E359" i="4"/>
  <c r="E120" i="4"/>
  <c r="E126" i="4"/>
  <c r="B125" i="4"/>
  <c r="B364" i="4"/>
  <c r="B81" i="4"/>
  <c r="B753" i="3"/>
  <c r="B771" i="3"/>
  <c r="B761" i="3"/>
  <c r="C771" i="3"/>
  <c r="B357" i="3"/>
  <c r="B397" i="3" s="1"/>
  <c r="E88" i="4"/>
  <c r="E81" i="4"/>
  <c r="E79" i="4"/>
  <c r="E351" i="4"/>
  <c r="E112" i="4"/>
  <c r="B358" i="3"/>
  <c r="B847" i="3" s="1"/>
  <c r="B354" i="3"/>
  <c r="B843" i="3" s="1"/>
  <c r="B86" i="4"/>
  <c r="B82" i="4"/>
  <c r="B78" i="4"/>
  <c r="C233" i="3"/>
  <c r="C88" i="4"/>
  <c r="C84" i="4"/>
  <c r="C82" i="4"/>
  <c r="C80" i="4"/>
  <c r="C78" i="4"/>
  <c r="D79" i="4"/>
  <c r="D71" i="4"/>
  <c r="C72" i="4"/>
  <c r="D361" i="3"/>
  <c r="D850" i="3" s="1"/>
  <c r="D358" i="3"/>
  <c r="E573" i="3" s="1"/>
  <c r="E614" i="3" s="1"/>
  <c r="D355" i="3"/>
  <c r="E570" i="3" s="1"/>
  <c r="E611" i="3" s="1"/>
  <c r="D347" i="3"/>
  <c r="E562" i="3" s="1"/>
  <c r="E603" i="3" s="1"/>
  <c r="E83" i="4"/>
  <c r="B366" i="4"/>
  <c r="B83" i="4"/>
  <c r="B403" i="3"/>
  <c r="B536" i="3" s="1"/>
  <c r="C578" i="3" s="1"/>
  <c r="C619" i="3" s="1"/>
  <c r="D359" i="4"/>
  <c r="D120" i="4"/>
  <c r="E366" i="4"/>
  <c r="E127" i="4"/>
  <c r="E82" i="4"/>
  <c r="E350" i="4"/>
  <c r="E111" i="4"/>
  <c r="E335" i="4"/>
  <c r="E96" i="4"/>
  <c r="B88" i="4"/>
  <c r="B363" i="4"/>
  <c r="B124" i="4"/>
  <c r="B80" i="4"/>
  <c r="B117" i="4"/>
  <c r="B356" i="4"/>
  <c r="B351" i="4"/>
  <c r="B112" i="4"/>
  <c r="B335" i="4"/>
  <c r="B96" i="4"/>
  <c r="C318" i="4"/>
  <c r="E318" i="4"/>
  <c r="D318" i="4"/>
  <c r="B318" i="4"/>
  <c r="C87" i="4"/>
  <c r="C85" i="4"/>
  <c r="C83" i="4"/>
  <c r="C81" i="4"/>
  <c r="C79" i="4"/>
  <c r="C77" i="4"/>
  <c r="D82" i="4"/>
  <c r="C56" i="4"/>
  <c r="D363" i="3"/>
  <c r="E578" i="3" s="1"/>
  <c r="E619" i="3" s="1"/>
  <c r="D360" i="3"/>
  <c r="D849" i="3" s="1"/>
  <c r="D356" i="3"/>
  <c r="D845" i="3" s="1"/>
  <c r="D353" i="3"/>
  <c r="D842" i="3" s="1"/>
  <c r="C346" i="3"/>
  <c r="C835" i="3" s="1"/>
  <c r="E364" i="4"/>
  <c r="E125" i="4"/>
  <c r="E357" i="4"/>
  <c r="E118" i="4"/>
  <c r="B358" i="4"/>
  <c r="B119" i="4"/>
  <c r="C851" i="3"/>
  <c r="D577" i="3"/>
  <c r="D618" i="3" s="1"/>
  <c r="C358" i="3"/>
  <c r="D573" i="3" s="1"/>
  <c r="D614" i="3" s="1"/>
  <c r="D357" i="3"/>
  <c r="D846" i="3" s="1"/>
  <c r="B356" i="3"/>
  <c r="B396" i="3" s="1"/>
  <c r="B529" i="3" s="1"/>
  <c r="C571" i="3" s="1"/>
  <c r="C612" i="3" s="1"/>
  <c r="E363" i="4"/>
  <c r="E124" i="4"/>
  <c r="B71" i="4"/>
  <c r="B361" i="3"/>
  <c r="B850" i="3" s="1"/>
  <c r="B353" i="3"/>
  <c r="B393" i="3" s="1"/>
  <c r="D233" i="3"/>
  <c r="C363" i="3"/>
  <c r="C852" i="3" s="1"/>
  <c r="C361" i="3"/>
  <c r="C850" i="3" s="1"/>
  <c r="C357" i="3"/>
  <c r="C846" i="3" s="1"/>
  <c r="C353" i="3"/>
  <c r="D568" i="3" s="1"/>
  <c r="D609" i="3" s="1"/>
  <c r="D346" i="3"/>
  <c r="E561" i="3" s="1"/>
  <c r="E602" i="3" s="1"/>
  <c r="E326" i="4"/>
  <c r="B423" i="3"/>
  <c r="B425" i="3"/>
  <c r="B426" i="3"/>
  <c r="B233" i="3"/>
  <c r="B326" i="4"/>
  <c r="E233" i="3"/>
  <c r="E117" i="4"/>
  <c r="D575" i="3"/>
  <c r="D616" i="3" s="1"/>
  <c r="B400" i="3"/>
  <c r="B533" i="3" s="1"/>
  <c r="C575" i="3" s="1"/>
  <c r="C616" i="3" s="1"/>
  <c r="E571" i="3"/>
  <c r="E612" i="3" s="1"/>
  <c r="C356" i="4"/>
  <c r="C117" i="4"/>
  <c r="C364" i="4"/>
  <c r="C125" i="4"/>
  <c r="C351" i="4"/>
  <c r="C112" i="4"/>
  <c r="C363" i="4"/>
  <c r="C124" i="4"/>
  <c r="B357" i="4"/>
  <c r="B118" i="4"/>
  <c r="E360" i="4"/>
  <c r="E121" i="4"/>
  <c r="B350" i="4"/>
  <c r="B111" i="4"/>
  <c r="D561" i="3"/>
  <c r="D602" i="3" s="1"/>
  <c r="E575" i="3"/>
  <c r="E616" i="3" s="1"/>
  <c r="C358" i="4"/>
  <c r="C119" i="4"/>
  <c r="C366" i="4"/>
  <c r="C127" i="4"/>
  <c r="C326" i="4"/>
  <c r="B359" i="4"/>
  <c r="B120" i="4"/>
  <c r="D358" i="4"/>
  <c r="D119" i="4"/>
  <c r="C357" i="4"/>
  <c r="C118" i="4"/>
  <c r="C367" i="4"/>
  <c r="C128" i="4"/>
  <c r="B361" i="4"/>
  <c r="B122" i="4"/>
  <c r="B121" i="4"/>
  <c r="B360" i="4"/>
  <c r="D361" i="4"/>
  <c r="D122" i="4"/>
  <c r="D32" i="4"/>
  <c r="D76" i="4"/>
  <c r="D31" i="4"/>
  <c r="D75" i="4"/>
  <c r="D30" i="4"/>
  <c r="D74" i="4"/>
  <c r="D29" i="4"/>
  <c r="D73" i="4"/>
  <c r="D26" i="4"/>
  <c r="D70" i="4"/>
  <c r="D25" i="4"/>
  <c r="D69" i="4"/>
  <c r="D24" i="4"/>
  <c r="D68" i="4"/>
  <c r="D23" i="4"/>
  <c r="D67" i="4"/>
  <c r="D22" i="4"/>
  <c r="D66" i="4"/>
  <c r="D21" i="4"/>
  <c r="D65" i="4"/>
  <c r="D20" i="4"/>
  <c r="D64" i="4"/>
  <c r="D19" i="4"/>
  <c r="D63" i="4"/>
  <c r="D18" i="4"/>
  <c r="D62" i="4"/>
  <c r="D17" i="4"/>
  <c r="D61" i="4"/>
  <c r="D16" i="4"/>
  <c r="D60" i="4"/>
  <c r="D15" i="4"/>
  <c r="D59" i="4"/>
  <c r="D14" i="4"/>
  <c r="D58" i="4"/>
  <c r="D13" i="4"/>
  <c r="D57" i="4"/>
  <c r="C360" i="4"/>
  <c r="C121" i="4"/>
  <c r="B362" i="4"/>
  <c r="B123" i="4"/>
  <c r="C359" i="4"/>
  <c r="C120" i="4"/>
  <c r="C32" i="4"/>
  <c r="C76" i="4"/>
  <c r="C31" i="4"/>
  <c r="C75" i="4"/>
  <c r="C30" i="4"/>
  <c r="C74" i="4"/>
  <c r="C29" i="4"/>
  <c r="C73" i="4"/>
  <c r="C26" i="4"/>
  <c r="C70" i="4"/>
  <c r="C25" i="4"/>
  <c r="C69" i="4"/>
  <c r="C24" i="4"/>
  <c r="C68" i="4"/>
  <c r="C23" i="4"/>
  <c r="C67" i="4"/>
  <c r="C22" i="4"/>
  <c r="C66" i="4"/>
  <c r="C21" i="4"/>
  <c r="C65" i="4"/>
  <c r="C20" i="4"/>
  <c r="C64" i="4"/>
  <c r="C19" i="4"/>
  <c r="C63" i="4"/>
  <c r="C18" i="4"/>
  <c r="C62" i="4"/>
  <c r="C17" i="4"/>
  <c r="C61" i="4"/>
  <c r="C16" i="4"/>
  <c r="C60" i="4"/>
  <c r="C15" i="4"/>
  <c r="C59" i="4"/>
  <c r="C14" i="4"/>
  <c r="C58" i="4"/>
  <c r="C13" i="4"/>
  <c r="C57" i="4"/>
  <c r="B365" i="4"/>
  <c r="B126" i="4"/>
  <c r="B367" i="4"/>
  <c r="B128" i="4"/>
  <c r="E576" i="3"/>
  <c r="E617" i="3" s="1"/>
  <c r="C335" i="4"/>
  <c r="C96" i="4"/>
  <c r="C362" i="4"/>
  <c r="C123" i="4"/>
  <c r="D326" i="4"/>
  <c r="E361" i="4"/>
  <c r="E122" i="4"/>
  <c r="E362" i="4"/>
  <c r="E123" i="4"/>
  <c r="D350" i="4"/>
  <c r="D111" i="4"/>
  <c r="C361" i="4"/>
  <c r="C122" i="4"/>
  <c r="E358" i="4"/>
  <c r="E119" i="4"/>
  <c r="E367" i="4"/>
  <c r="E128" i="4"/>
  <c r="E31" i="4"/>
  <c r="E75" i="4"/>
  <c r="E25" i="4"/>
  <c r="E69" i="4"/>
  <c r="E21" i="4"/>
  <c r="E65" i="4"/>
  <c r="E17" i="4"/>
  <c r="E61" i="4"/>
  <c r="E13" i="4"/>
  <c r="E57" i="4"/>
  <c r="E30" i="4"/>
  <c r="E74" i="4"/>
  <c r="E24" i="4"/>
  <c r="E68" i="4"/>
  <c r="E20" i="4"/>
  <c r="E64" i="4"/>
  <c r="E16" i="4"/>
  <c r="E60" i="4"/>
  <c r="E29" i="4"/>
  <c r="E73" i="4"/>
  <c r="E23" i="4"/>
  <c r="E67" i="4"/>
  <c r="E19" i="4"/>
  <c r="E63" i="4"/>
  <c r="E15" i="4"/>
  <c r="E59" i="4"/>
  <c r="E32" i="4"/>
  <c r="E76" i="4"/>
  <c r="E26" i="4"/>
  <c r="E70" i="4"/>
  <c r="E22" i="4"/>
  <c r="E66" i="4"/>
  <c r="E18" i="4"/>
  <c r="E62" i="4"/>
  <c r="E14" i="4"/>
  <c r="E58" i="4"/>
  <c r="B25" i="4"/>
  <c r="B69" i="4"/>
  <c r="B30" i="4"/>
  <c r="B74" i="4"/>
  <c r="B29" i="4"/>
  <c r="B73" i="4"/>
  <c r="B32" i="4"/>
  <c r="B76" i="4"/>
  <c r="B14" i="4"/>
  <c r="B58" i="4"/>
  <c r="B21" i="4"/>
  <c r="B65" i="4"/>
  <c r="B24" i="4"/>
  <c r="B68" i="4"/>
  <c r="B23" i="4"/>
  <c r="B67" i="4"/>
  <c r="B26" i="4"/>
  <c r="B70" i="4"/>
  <c r="B17" i="4"/>
  <c r="B61" i="4"/>
  <c r="B20" i="4"/>
  <c r="B64" i="4"/>
  <c r="B19" i="4"/>
  <c r="B63" i="4"/>
  <c r="B22" i="4"/>
  <c r="B66" i="4"/>
  <c r="B31" i="4"/>
  <c r="B75" i="4"/>
  <c r="B13" i="4"/>
  <c r="B57" i="4"/>
  <c r="B16" i="4"/>
  <c r="B60" i="4"/>
  <c r="B15" i="4"/>
  <c r="B59" i="4"/>
  <c r="B18" i="4"/>
  <c r="B62" i="4"/>
  <c r="C338" i="4"/>
  <c r="C99" i="4"/>
  <c r="C346" i="4"/>
  <c r="C107" i="4"/>
  <c r="D338" i="4"/>
  <c r="D99" i="4"/>
  <c r="D352" i="4"/>
  <c r="D113" i="4"/>
  <c r="C339" i="4"/>
  <c r="C100" i="4"/>
  <c r="C343" i="4"/>
  <c r="C104" i="4"/>
  <c r="C347" i="4"/>
  <c r="C108" i="4"/>
  <c r="C353" i="4"/>
  <c r="C114" i="4"/>
  <c r="D339" i="4"/>
  <c r="D100" i="4"/>
  <c r="D343" i="4"/>
  <c r="D104" i="4"/>
  <c r="D347" i="4"/>
  <c r="D108" i="4"/>
  <c r="D353" i="4"/>
  <c r="D114" i="4"/>
  <c r="C342" i="4"/>
  <c r="C103" i="4"/>
  <c r="D342" i="4"/>
  <c r="D103" i="4"/>
  <c r="C336" i="4"/>
  <c r="C97" i="4"/>
  <c r="C340" i="4"/>
  <c r="C101" i="4"/>
  <c r="C145" i="4"/>
  <c r="C344" i="4"/>
  <c r="C105" i="4"/>
  <c r="C348" i="4"/>
  <c r="C109" i="4"/>
  <c r="C354" i="4"/>
  <c r="C115" i="4"/>
  <c r="D336" i="4"/>
  <c r="D97" i="4"/>
  <c r="D340" i="4"/>
  <c r="D101" i="4"/>
  <c r="D344" i="4"/>
  <c r="D105" i="4"/>
  <c r="D348" i="4"/>
  <c r="D109" i="4"/>
  <c r="D354" i="4"/>
  <c r="D115" i="4"/>
  <c r="C352" i="4"/>
  <c r="C113" i="4"/>
  <c r="D346" i="4"/>
  <c r="D107" i="4"/>
  <c r="C337" i="4"/>
  <c r="C98" i="4"/>
  <c r="C341" i="4"/>
  <c r="C102" i="4"/>
  <c r="C345" i="4"/>
  <c r="C106" i="4"/>
  <c r="C349" i="4"/>
  <c r="C110" i="4"/>
  <c r="C355" i="4"/>
  <c r="C116" i="4"/>
  <c r="D337" i="4"/>
  <c r="D98" i="4"/>
  <c r="D341" i="4"/>
  <c r="D102" i="4"/>
  <c r="D345" i="4"/>
  <c r="D106" i="4"/>
  <c r="D349" i="4"/>
  <c r="D110" i="4"/>
  <c r="D355" i="4"/>
  <c r="D116" i="4"/>
  <c r="B339" i="4"/>
  <c r="B100" i="4"/>
  <c r="B103" i="4"/>
  <c r="B342" i="4"/>
  <c r="B349" i="4"/>
  <c r="B110" i="4"/>
  <c r="B98" i="4"/>
  <c r="B337" i="4"/>
  <c r="B348" i="4"/>
  <c r="B109" i="4"/>
  <c r="E110" i="4"/>
  <c r="E349" i="4"/>
  <c r="E107" i="4"/>
  <c r="E346" i="4"/>
  <c r="E343" i="4"/>
  <c r="E104" i="4"/>
  <c r="E101" i="4"/>
  <c r="E340" i="4"/>
  <c r="D375" i="4"/>
  <c r="C375" i="4"/>
  <c r="B336" i="4"/>
  <c r="B97" i="4"/>
  <c r="B343" i="4"/>
  <c r="B104" i="4"/>
  <c r="B107" i="4"/>
  <c r="B346" i="4"/>
  <c r="B116" i="4"/>
  <c r="B355" i="4"/>
  <c r="E98" i="4"/>
  <c r="E337" i="4"/>
  <c r="E355" i="4"/>
  <c r="E116" i="4"/>
  <c r="E352" i="4"/>
  <c r="E113" i="4"/>
  <c r="E347" i="4"/>
  <c r="E108" i="4"/>
  <c r="E344" i="4"/>
  <c r="E105" i="4"/>
  <c r="C137" i="4"/>
  <c r="B341" i="4"/>
  <c r="B102" i="4"/>
  <c r="B115" i="4"/>
  <c r="B354" i="4"/>
  <c r="B101" i="4"/>
  <c r="B340" i="4"/>
  <c r="B347" i="4"/>
  <c r="B108" i="4"/>
  <c r="B113" i="4"/>
  <c r="B352" i="4"/>
  <c r="E102" i="4"/>
  <c r="E341" i="4"/>
  <c r="E99" i="4"/>
  <c r="E338" i="4"/>
  <c r="E353" i="4"/>
  <c r="E114" i="4"/>
  <c r="E109" i="4"/>
  <c r="E348" i="4"/>
  <c r="B338" i="4"/>
  <c r="B99" i="4"/>
  <c r="B345" i="4"/>
  <c r="B106" i="4"/>
  <c r="B105" i="4"/>
  <c r="B344" i="4"/>
  <c r="B353" i="4"/>
  <c r="B114" i="4"/>
  <c r="E345" i="4"/>
  <c r="E106" i="4"/>
  <c r="E342" i="4"/>
  <c r="E103" i="4"/>
  <c r="E339" i="4"/>
  <c r="E100" i="4"/>
  <c r="E97" i="4"/>
  <c r="E336" i="4"/>
  <c r="E115" i="4"/>
  <c r="E354" i="4"/>
  <c r="D137" i="4"/>
  <c r="D145" i="4"/>
  <c r="C154" i="4"/>
  <c r="D154" i="4"/>
  <c r="C164" i="4"/>
  <c r="E137" i="4"/>
  <c r="E154" i="4"/>
  <c r="E145" i="4"/>
  <c r="B145" i="4"/>
  <c r="B137" i="4"/>
  <c r="B154" i="4"/>
  <c r="B164" i="4"/>
  <c r="E375" i="4"/>
  <c r="B375" i="4"/>
  <c r="B383" i="4"/>
  <c r="B396" i="4"/>
  <c r="E383" i="4"/>
  <c r="E396" i="4"/>
  <c r="C383" i="4"/>
  <c r="C396" i="4"/>
  <c r="E164" i="4"/>
  <c r="D164" i="4"/>
  <c r="D383" i="4"/>
  <c r="D396" i="4"/>
  <c r="D415" i="4"/>
  <c r="D441" i="4"/>
  <c r="E415" i="4"/>
  <c r="B423" i="4"/>
  <c r="B432" i="4"/>
  <c r="E441" i="4"/>
  <c r="C415" i="4"/>
  <c r="C441" i="4"/>
  <c r="B415" i="4"/>
  <c r="B441" i="4"/>
  <c r="D432" i="4"/>
  <c r="G441" i="4"/>
  <c r="C432" i="4"/>
  <c r="F441" i="4"/>
  <c r="B184" i="4"/>
  <c r="F201" i="4"/>
  <c r="B183" i="4"/>
  <c r="F200" i="4"/>
  <c r="B185" i="4"/>
  <c r="F202" i="4"/>
  <c r="B186" i="4"/>
  <c r="F203" i="4"/>
  <c r="B173" i="4"/>
  <c r="H209" i="4"/>
  <c r="B172" i="4"/>
  <c r="H208" i="4"/>
  <c r="B175" i="4"/>
  <c r="H211" i="4"/>
  <c r="B174" i="4"/>
  <c r="H210" i="4"/>
  <c r="B464" i="4"/>
  <c r="B465" i="4"/>
  <c r="B455" i="4"/>
  <c r="B535" i="4"/>
  <c r="C29" i="5"/>
  <c r="E432" i="4"/>
  <c r="H441" i="4"/>
  <c r="B462" i="4"/>
  <c r="B542" i="4"/>
  <c r="B27" i="5"/>
  <c r="B457" i="4"/>
  <c r="B463" i="4"/>
  <c r="B543" i="4"/>
  <c r="C27" i="5"/>
  <c r="B456" i="4"/>
  <c r="B514" i="4"/>
  <c r="B511" i="4"/>
  <c r="B520" i="4"/>
  <c r="B503" i="4"/>
  <c r="B458" i="4"/>
  <c r="B517" i="4"/>
  <c r="B510" i="4"/>
  <c r="B451" i="4"/>
  <c r="B531" i="4"/>
  <c r="C30" i="5"/>
  <c r="B460" i="4"/>
  <c r="B502" i="4"/>
  <c r="B513" i="4"/>
  <c r="B467" i="4"/>
  <c r="B468" i="4"/>
  <c r="B450" i="4"/>
  <c r="B530" i="4"/>
  <c r="B30" i="5"/>
  <c r="B461" i="4"/>
  <c r="B541" i="4"/>
  <c r="E28" i="5"/>
  <c r="B507" i="4"/>
  <c r="B512" i="4"/>
  <c r="B469" i="4"/>
  <c r="B549" i="4"/>
  <c r="E26" i="5"/>
  <c r="B519" i="4"/>
  <c r="B466" i="4"/>
  <c r="B505" i="4"/>
  <c r="B504" i="4"/>
  <c r="B506" i="4"/>
  <c r="B521" i="4"/>
  <c r="B452" i="4"/>
  <c r="B518" i="4"/>
  <c r="B459" i="4"/>
  <c r="B539" i="4"/>
  <c r="C28" i="5"/>
  <c r="B515" i="4"/>
  <c r="B516" i="4"/>
  <c r="B453" i="4"/>
  <c r="B509" i="4"/>
  <c r="B508" i="4"/>
  <c r="B454" i="4"/>
  <c r="B537" i="4"/>
  <c r="E29" i="5"/>
  <c r="B534" i="4"/>
  <c r="B29" i="5"/>
  <c r="B532" i="4"/>
  <c r="D30" i="5"/>
  <c r="B540" i="4"/>
  <c r="D28" i="5"/>
  <c r="B546" i="4"/>
  <c r="B26" i="5"/>
  <c r="B547" i="4"/>
  <c r="C26" i="5"/>
  <c r="B536" i="4"/>
  <c r="D29" i="5"/>
  <c r="B545" i="4"/>
  <c r="E27" i="5"/>
  <c r="B533" i="4"/>
  <c r="E30" i="5"/>
  <c r="B548" i="4"/>
  <c r="D26" i="5"/>
  <c r="B538" i="4"/>
  <c r="B28" i="5"/>
  <c r="B544" i="4"/>
  <c r="D27" i="5"/>
  <c r="B402" i="3" l="1"/>
  <c r="B494" i="3" s="1"/>
  <c r="B577" i="3" s="1"/>
  <c r="B618" i="3" s="1"/>
  <c r="B851" i="3"/>
  <c r="C844" i="3"/>
  <c r="D570" i="3"/>
  <c r="D611" i="3" s="1"/>
  <c r="B401" i="3"/>
  <c r="B534" i="3" s="1"/>
  <c r="C576" i="3" s="1"/>
  <c r="C617" i="3" s="1"/>
  <c r="D852" i="3"/>
  <c r="B535" i="3"/>
  <c r="C577" i="3" s="1"/>
  <c r="C618" i="3" s="1"/>
  <c r="D847" i="3"/>
  <c r="C820" i="3"/>
  <c r="C842" i="3"/>
  <c r="B395" i="3"/>
  <c r="B487" i="3" s="1"/>
  <c r="B570" i="3" s="1"/>
  <c r="B611" i="3" s="1"/>
  <c r="B844" i="3"/>
  <c r="B492" i="3"/>
  <c r="B575" i="3" s="1"/>
  <c r="B616" i="3" s="1"/>
  <c r="B386" i="3"/>
  <c r="B489" i="3"/>
  <c r="B572" i="3" s="1"/>
  <c r="B613" i="3" s="1"/>
  <c r="B530" i="3"/>
  <c r="C572" i="3" s="1"/>
  <c r="C613" i="3" s="1"/>
  <c r="E568" i="3"/>
  <c r="E609" i="3" s="1"/>
  <c r="B846" i="3"/>
  <c r="D836" i="3"/>
  <c r="B394" i="3"/>
  <c r="B527" i="3" s="1"/>
  <c r="C569" i="3" s="1"/>
  <c r="C610" i="3" s="1"/>
  <c r="D835" i="3"/>
  <c r="E572" i="3"/>
  <c r="E613" i="3" s="1"/>
  <c r="B493" i="3"/>
  <c r="B576" i="3" s="1"/>
  <c r="B617" i="3" s="1"/>
  <c r="B845" i="3"/>
  <c r="B842" i="3"/>
  <c r="D844" i="3"/>
  <c r="D572" i="3"/>
  <c r="D613" i="3" s="1"/>
  <c r="D567" i="3"/>
  <c r="D608" i="3" s="1"/>
  <c r="B392" i="3"/>
  <c r="C847" i="3"/>
  <c r="D562" i="3"/>
  <c r="D603" i="3" s="1"/>
  <c r="F546" i="3"/>
  <c r="F587" i="3" s="1"/>
  <c r="E820" i="3"/>
  <c r="E546" i="3"/>
  <c r="E587" i="3" s="1"/>
  <c r="D820" i="3"/>
  <c r="D843" i="3"/>
  <c r="E569" i="3"/>
  <c r="E610" i="3" s="1"/>
  <c r="D848" i="3"/>
  <c r="E574" i="3"/>
  <c r="E615" i="3" s="1"/>
  <c r="D851" i="3"/>
  <c r="E577" i="3"/>
  <c r="E618" i="3" s="1"/>
  <c r="B485" i="3"/>
  <c r="B568" i="3" s="1"/>
  <c r="B609" i="3" s="1"/>
  <c r="B526" i="3"/>
  <c r="C568" i="3" s="1"/>
  <c r="C609" i="3" s="1"/>
  <c r="B820" i="3"/>
  <c r="B371" i="3"/>
  <c r="B399" i="3"/>
  <c r="B491" i="3" s="1"/>
  <c r="B574" i="3" s="1"/>
  <c r="B615" i="3" s="1"/>
  <c r="B848" i="3"/>
  <c r="B398" i="3"/>
  <c r="E567" i="3"/>
  <c r="E608" i="3" s="1"/>
  <c r="B836" i="3"/>
  <c r="B488" i="3"/>
  <c r="B571" i="3" s="1"/>
  <c r="B612" i="3" s="1"/>
  <c r="D576" i="3"/>
  <c r="D617" i="3" s="1"/>
  <c r="F571" i="3"/>
  <c r="F612" i="3" s="1"/>
  <c r="E845" i="3"/>
  <c r="B520" i="3"/>
  <c r="C562" i="3" s="1"/>
  <c r="C603" i="3" s="1"/>
  <c r="B479" i="3"/>
  <c r="B562" i="3" s="1"/>
  <c r="B603" i="3" s="1"/>
  <c r="E835" i="3"/>
  <c r="F561" i="3"/>
  <c r="F602" i="3" s="1"/>
  <c r="F562" i="3"/>
  <c r="F603" i="3" s="1"/>
  <c r="E836" i="3"/>
  <c r="E841" i="3"/>
  <c r="F567" i="3"/>
  <c r="F608" i="3" s="1"/>
  <c r="E842" i="3"/>
  <c r="F568" i="3"/>
  <c r="F609" i="3" s="1"/>
  <c r="F569" i="3"/>
  <c r="F610" i="3" s="1"/>
  <c r="E843" i="3"/>
  <c r="E844" i="3"/>
  <c r="F570" i="3"/>
  <c r="F611" i="3" s="1"/>
  <c r="F572" i="3"/>
  <c r="F613" i="3" s="1"/>
  <c r="E846" i="3"/>
  <c r="F573" i="3"/>
  <c r="F614" i="3" s="1"/>
  <c r="E847" i="3"/>
  <c r="E848" i="3"/>
  <c r="F574" i="3"/>
  <c r="F615" i="3" s="1"/>
  <c r="F575" i="3"/>
  <c r="F616" i="3" s="1"/>
  <c r="E849" i="3"/>
  <c r="F576" i="3"/>
  <c r="F617" i="3" s="1"/>
  <c r="E850" i="3"/>
  <c r="E852" i="3"/>
  <c r="F578" i="3"/>
  <c r="F619" i="3" s="1"/>
  <c r="B495" i="3"/>
  <c r="B578" i="3" s="1"/>
  <c r="B619" i="3" s="1"/>
  <c r="D574" i="3"/>
  <c r="D615" i="3" s="1"/>
  <c r="D578" i="3"/>
  <c r="D619" i="3" s="1"/>
  <c r="E851" i="3"/>
  <c r="C843" i="3"/>
  <c r="B528" i="3" l="1"/>
  <c r="C570" i="3" s="1"/>
  <c r="C611" i="3" s="1"/>
  <c r="B486" i="3"/>
  <c r="B569" i="3" s="1"/>
  <c r="B610" i="3" s="1"/>
  <c r="B478" i="3"/>
  <c r="B561" i="3" s="1"/>
  <c r="B602" i="3" s="1"/>
  <c r="B519" i="3"/>
  <c r="C561" i="3" s="1"/>
  <c r="C602" i="3" s="1"/>
  <c r="B532" i="3"/>
  <c r="C574" i="3" s="1"/>
  <c r="C615" i="3" s="1"/>
  <c r="B484" i="3"/>
  <c r="B567" i="3" s="1"/>
  <c r="B608" i="3" s="1"/>
  <c r="B525" i="3"/>
  <c r="C567" i="3" s="1"/>
  <c r="C608" i="3" s="1"/>
  <c r="B504" i="3"/>
  <c r="C546" i="3" s="1"/>
  <c r="C587" i="3" s="1"/>
  <c r="B463" i="3"/>
  <c r="B546" i="3" s="1"/>
  <c r="B587" i="3" s="1"/>
  <c r="B531" i="3"/>
  <c r="C573" i="3" s="1"/>
  <c r="C614" i="3" s="1"/>
  <c r="B490" i="3"/>
  <c r="B573" i="3" s="1"/>
  <c r="B614" i="3" s="1"/>
  <c r="B248" i="3" l="1"/>
  <c r="E257" i="3" s="1"/>
  <c r="B652" i="3" l="1"/>
  <c r="B660" i="3" s="1"/>
  <c r="E652" i="3"/>
  <c r="F688" i="3" s="1"/>
  <c r="D266" i="3"/>
  <c r="D652" i="3"/>
  <c r="E688" i="3" s="1"/>
  <c r="C266" i="3"/>
  <c r="B266" i="3"/>
  <c r="E266" i="3"/>
  <c r="C652" i="3"/>
  <c r="D688" i="3" s="1"/>
  <c r="D305" i="3" l="1"/>
  <c r="D349" i="3" s="1"/>
  <c r="D296" i="3"/>
  <c r="D340" i="3" s="1"/>
  <c r="D301" i="3"/>
  <c r="D345" i="3" s="1"/>
  <c r="D290" i="3"/>
  <c r="D334" i="3" s="1"/>
  <c r="D291" i="3"/>
  <c r="D335" i="3" s="1"/>
  <c r="D295" i="3"/>
  <c r="D339" i="3" s="1"/>
  <c r="D294" i="3"/>
  <c r="D338" i="3" s="1"/>
  <c r="D299" i="3"/>
  <c r="D343" i="3" s="1"/>
  <c r="D288" i="3"/>
  <c r="D332" i="3" s="1"/>
  <c r="D293" i="3"/>
  <c r="D337" i="3" s="1"/>
  <c r="D297" i="3"/>
  <c r="D341" i="3" s="1"/>
  <c r="D292" i="3"/>
  <c r="D336" i="3" s="1"/>
  <c r="D304" i="3"/>
  <c r="D348" i="3" s="1"/>
  <c r="D300" i="3"/>
  <c r="D344" i="3" s="1"/>
  <c r="D306" i="3"/>
  <c r="D350" i="3" s="1"/>
  <c r="D298" i="3"/>
  <c r="D342" i="3" s="1"/>
  <c r="D307" i="3"/>
  <c r="D351" i="3" s="1"/>
  <c r="D289" i="3"/>
  <c r="D333" i="3" s="1"/>
  <c r="E306" i="3"/>
  <c r="E350" i="3" s="1"/>
  <c r="E291" i="3"/>
  <c r="E335" i="3" s="1"/>
  <c r="E289" i="3"/>
  <c r="E333" i="3" s="1"/>
  <c r="E295" i="3"/>
  <c r="E339" i="3" s="1"/>
  <c r="E301" i="3"/>
  <c r="E345" i="3" s="1"/>
  <c r="E296" i="3"/>
  <c r="E340" i="3" s="1"/>
  <c r="E298" i="3"/>
  <c r="E342" i="3" s="1"/>
  <c r="E292" i="3"/>
  <c r="E336" i="3" s="1"/>
  <c r="E305" i="3"/>
  <c r="E349" i="3" s="1"/>
  <c r="E299" i="3"/>
  <c r="E343" i="3" s="1"/>
  <c r="E304" i="3"/>
  <c r="E348" i="3" s="1"/>
  <c r="E294" i="3"/>
  <c r="E338" i="3" s="1"/>
  <c r="E288" i="3"/>
  <c r="E332" i="3" s="1"/>
  <c r="E297" i="3"/>
  <c r="E341" i="3" s="1"/>
  <c r="E300" i="3"/>
  <c r="E344" i="3" s="1"/>
  <c r="E293" i="3"/>
  <c r="E337" i="3" s="1"/>
  <c r="E307" i="3"/>
  <c r="E351" i="3" s="1"/>
  <c r="E290" i="3"/>
  <c r="E334" i="3" s="1"/>
  <c r="B294" i="3"/>
  <c r="B338" i="3" s="1"/>
  <c r="B290" i="3"/>
  <c r="B334" i="3" s="1"/>
  <c r="B305" i="3"/>
  <c r="B349" i="3" s="1"/>
  <c r="B306" i="3"/>
  <c r="B350" i="3" s="1"/>
  <c r="B307" i="3"/>
  <c r="B351" i="3" s="1"/>
  <c r="B292" i="3"/>
  <c r="B336" i="3" s="1"/>
  <c r="B289" i="3"/>
  <c r="B333" i="3" s="1"/>
  <c r="B297" i="3"/>
  <c r="B341" i="3" s="1"/>
  <c r="B299" i="3"/>
  <c r="B343" i="3" s="1"/>
  <c r="B295" i="3"/>
  <c r="B339" i="3" s="1"/>
  <c r="B301" i="3"/>
  <c r="B345" i="3" s="1"/>
  <c r="B293" i="3"/>
  <c r="B337" i="3" s="1"/>
  <c r="B304" i="3"/>
  <c r="B348" i="3" s="1"/>
  <c r="B300" i="3"/>
  <c r="B344" i="3" s="1"/>
  <c r="B298" i="3"/>
  <c r="B342" i="3" s="1"/>
  <c r="B288" i="3"/>
  <c r="B332" i="3" s="1"/>
  <c r="B296" i="3"/>
  <c r="B340" i="3" s="1"/>
  <c r="B291" i="3"/>
  <c r="B335" i="3" s="1"/>
  <c r="C294" i="3"/>
  <c r="C338" i="3" s="1"/>
  <c r="C305" i="3"/>
  <c r="C349" i="3" s="1"/>
  <c r="C297" i="3"/>
  <c r="C341" i="3" s="1"/>
  <c r="C293" i="3"/>
  <c r="C337" i="3" s="1"/>
  <c r="C291" i="3"/>
  <c r="C335" i="3" s="1"/>
  <c r="C300" i="3"/>
  <c r="C344" i="3" s="1"/>
  <c r="C290" i="3"/>
  <c r="C334" i="3" s="1"/>
  <c r="C299" i="3"/>
  <c r="C343" i="3" s="1"/>
  <c r="C304" i="3"/>
  <c r="C348" i="3" s="1"/>
  <c r="C288" i="3"/>
  <c r="C332" i="3" s="1"/>
  <c r="C289" i="3"/>
  <c r="C333" i="3" s="1"/>
  <c r="C306" i="3"/>
  <c r="C350" i="3" s="1"/>
  <c r="C301" i="3"/>
  <c r="C345" i="3" s="1"/>
  <c r="C296" i="3"/>
  <c r="C340" i="3" s="1"/>
  <c r="C307" i="3"/>
  <c r="C351" i="3" s="1"/>
  <c r="C292" i="3"/>
  <c r="C336" i="3" s="1"/>
  <c r="C295" i="3"/>
  <c r="C339" i="3" s="1"/>
  <c r="C298" i="3"/>
  <c r="C342" i="3" s="1"/>
  <c r="B669" i="3"/>
  <c r="B688" i="3" s="1"/>
  <c r="B678" i="3"/>
  <c r="C688" i="3" s="1"/>
  <c r="D551" i="3" l="1"/>
  <c r="D592" i="3" s="1"/>
  <c r="C825" i="3"/>
  <c r="D565" i="3"/>
  <c r="D606" i="3" s="1"/>
  <c r="C839" i="3"/>
  <c r="D558" i="3"/>
  <c r="D599" i="3" s="1"/>
  <c r="C832" i="3"/>
  <c r="D552" i="3"/>
  <c r="D593" i="3" s="1"/>
  <c r="C826" i="3"/>
  <c r="B824" i="3"/>
  <c r="B375" i="3"/>
  <c r="B384" i="3"/>
  <c r="B833" i="3"/>
  <c r="B828" i="3"/>
  <c r="B379" i="3"/>
  <c r="B376" i="3"/>
  <c r="B825" i="3"/>
  <c r="B374" i="3"/>
  <c r="B823" i="3"/>
  <c r="E826" i="3"/>
  <c r="F552" i="3"/>
  <c r="F593" i="3" s="1"/>
  <c r="F553" i="3"/>
  <c r="F594" i="3" s="1"/>
  <c r="E827" i="3"/>
  <c r="F551" i="3"/>
  <c r="F592" i="3" s="1"/>
  <c r="E825" i="3"/>
  <c r="F554" i="3"/>
  <c r="F595" i="3" s="1"/>
  <c r="E828" i="3"/>
  <c r="E548" i="3"/>
  <c r="E589" i="3" s="1"/>
  <c r="D822" i="3"/>
  <c r="E559" i="3"/>
  <c r="E600" i="3" s="1"/>
  <c r="D833" i="3"/>
  <c r="D826" i="3"/>
  <c r="E552" i="3"/>
  <c r="E593" i="3" s="1"/>
  <c r="E554" i="3"/>
  <c r="E595" i="3" s="1"/>
  <c r="D828" i="3"/>
  <c r="E555" i="3"/>
  <c r="E596" i="3" s="1"/>
  <c r="D829" i="3"/>
  <c r="D566" i="3"/>
  <c r="D607" i="3" s="1"/>
  <c r="C840" i="3"/>
  <c r="C822" i="3"/>
  <c r="D548" i="3"/>
  <c r="D589" i="3" s="1"/>
  <c r="D549" i="3"/>
  <c r="D590" i="3" s="1"/>
  <c r="C823" i="3"/>
  <c r="D556" i="3"/>
  <c r="D597" i="3" s="1"/>
  <c r="C830" i="3"/>
  <c r="B380" i="3"/>
  <c r="B829" i="3"/>
  <c r="B837" i="3"/>
  <c r="B388" i="3"/>
  <c r="B383" i="3"/>
  <c r="B832" i="3"/>
  <c r="B840" i="3"/>
  <c r="B391" i="3"/>
  <c r="B378" i="3"/>
  <c r="B827" i="3"/>
  <c r="E833" i="3"/>
  <c r="F559" i="3"/>
  <c r="F600" i="3" s="1"/>
  <c r="E837" i="3"/>
  <c r="F563" i="3"/>
  <c r="F604" i="3" s="1"/>
  <c r="E831" i="3"/>
  <c r="F557" i="3"/>
  <c r="F598" i="3" s="1"/>
  <c r="F548" i="3"/>
  <c r="F589" i="3" s="1"/>
  <c r="E822" i="3"/>
  <c r="D840" i="3"/>
  <c r="E566" i="3"/>
  <c r="E607" i="3" s="1"/>
  <c r="D837" i="3"/>
  <c r="E563" i="3"/>
  <c r="E604" i="3" s="1"/>
  <c r="D821" i="3"/>
  <c r="E547" i="3"/>
  <c r="E588" i="3" s="1"/>
  <c r="E550" i="3"/>
  <c r="E591" i="3" s="1"/>
  <c r="D824" i="3"/>
  <c r="E564" i="3"/>
  <c r="E605" i="3" s="1"/>
  <c r="D838" i="3"/>
  <c r="C831" i="3"/>
  <c r="D557" i="3"/>
  <c r="D598" i="3" s="1"/>
  <c r="C829" i="3"/>
  <c r="D555" i="3"/>
  <c r="D596" i="3" s="1"/>
  <c r="C821" i="3"/>
  <c r="D547" i="3"/>
  <c r="D588" i="3" s="1"/>
  <c r="C833" i="3"/>
  <c r="D559" i="3"/>
  <c r="D600" i="3" s="1"/>
  <c r="C838" i="3"/>
  <c r="D564" i="3"/>
  <c r="D605" i="3" s="1"/>
  <c r="B821" i="3"/>
  <c r="B372" i="3"/>
  <c r="B377" i="3"/>
  <c r="B826" i="3"/>
  <c r="B381" i="3"/>
  <c r="B830" i="3"/>
  <c r="B839" i="3"/>
  <c r="B390" i="3"/>
  <c r="E823" i="3"/>
  <c r="F549" i="3"/>
  <c r="F590" i="3" s="1"/>
  <c r="E830" i="3"/>
  <c r="F556" i="3"/>
  <c r="F597" i="3" s="1"/>
  <c r="F558" i="3"/>
  <c r="F599" i="3" s="1"/>
  <c r="E832" i="3"/>
  <c r="F555" i="3"/>
  <c r="F596" i="3" s="1"/>
  <c r="E829" i="3"/>
  <c r="E824" i="3"/>
  <c r="F550" i="3"/>
  <c r="F591" i="3" s="1"/>
  <c r="E557" i="3"/>
  <c r="E598" i="3" s="1"/>
  <c r="D831" i="3"/>
  <c r="D825" i="3"/>
  <c r="E551" i="3"/>
  <c r="E592" i="3" s="1"/>
  <c r="D832" i="3"/>
  <c r="E558" i="3"/>
  <c r="E599" i="3" s="1"/>
  <c r="E549" i="3"/>
  <c r="E590" i="3" s="1"/>
  <c r="D823" i="3"/>
  <c r="D554" i="3"/>
  <c r="D595" i="3" s="1"/>
  <c r="C828" i="3"/>
  <c r="C834" i="3"/>
  <c r="D560" i="3"/>
  <c r="D601" i="3" s="1"/>
  <c r="D563" i="3"/>
  <c r="D604" i="3" s="1"/>
  <c r="C837" i="3"/>
  <c r="C824" i="3"/>
  <c r="D550" i="3"/>
  <c r="D591" i="3" s="1"/>
  <c r="C827" i="3"/>
  <c r="D553" i="3"/>
  <c r="D594" i="3" s="1"/>
  <c r="B382" i="3"/>
  <c r="B831" i="3"/>
  <c r="B834" i="3"/>
  <c r="B385" i="3"/>
  <c r="B373" i="3"/>
  <c r="B822" i="3"/>
  <c r="B389" i="3"/>
  <c r="B838" i="3"/>
  <c r="F566" i="3"/>
  <c r="F607" i="3" s="1"/>
  <c r="E840" i="3"/>
  <c r="F547" i="3"/>
  <c r="F588" i="3" s="1"/>
  <c r="E821" i="3"/>
  <c r="F564" i="3"/>
  <c r="F605" i="3" s="1"/>
  <c r="E838" i="3"/>
  <c r="F560" i="3"/>
  <c r="F601" i="3" s="1"/>
  <c r="E834" i="3"/>
  <c r="F565" i="3"/>
  <c r="F606" i="3" s="1"/>
  <c r="E839" i="3"/>
  <c r="E565" i="3"/>
  <c r="E606" i="3" s="1"/>
  <c r="D839" i="3"/>
  <c r="D830" i="3"/>
  <c r="E556" i="3"/>
  <c r="E597" i="3" s="1"/>
  <c r="D827" i="3"/>
  <c r="E553" i="3"/>
  <c r="E594" i="3" s="1"/>
  <c r="D834" i="3"/>
  <c r="E560" i="3"/>
  <c r="E601" i="3" s="1"/>
  <c r="E861" i="3" l="1"/>
  <c r="E869" i="3"/>
  <c r="B518" i="3"/>
  <c r="C560" i="3" s="1"/>
  <c r="C601" i="3" s="1"/>
  <c r="B477" i="3"/>
  <c r="B560" i="3" s="1"/>
  <c r="B601" i="3" s="1"/>
  <c r="B523" i="3"/>
  <c r="C565" i="3" s="1"/>
  <c r="C606" i="3" s="1"/>
  <c r="B482" i="3"/>
  <c r="B565" i="3" s="1"/>
  <c r="B606" i="3" s="1"/>
  <c r="D627" i="3"/>
  <c r="B471" i="3"/>
  <c r="B554" i="3" s="1"/>
  <c r="B595" i="3" s="1"/>
  <c r="B512" i="3"/>
  <c r="C554" i="3" s="1"/>
  <c r="C595" i="3" s="1"/>
  <c r="B508" i="3"/>
  <c r="C550" i="3" s="1"/>
  <c r="C591" i="3" s="1"/>
  <c r="B467" i="3"/>
  <c r="B550" i="3" s="1"/>
  <c r="B591" i="3" s="1"/>
  <c r="F627" i="3"/>
  <c r="B481" i="3"/>
  <c r="B564" i="3" s="1"/>
  <c r="B605" i="3" s="1"/>
  <c r="B522" i="3"/>
  <c r="C564" i="3" s="1"/>
  <c r="C605" i="3" s="1"/>
  <c r="B469" i="3"/>
  <c r="B552" i="3" s="1"/>
  <c r="B593" i="3" s="1"/>
  <c r="B510" i="3"/>
  <c r="C552" i="3" s="1"/>
  <c r="C593" i="3" s="1"/>
  <c r="C861" i="3"/>
  <c r="C869" i="3"/>
  <c r="B511" i="3"/>
  <c r="C553" i="3" s="1"/>
  <c r="C594" i="3" s="1"/>
  <c r="B470" i="3"/>
  <c r="B553" i="3" s="1"/>
  <c r="B594" i="3" s="1"/>
  <c r="B516" i="3"/>
  <c r="C558" i="3" s="1"/>
  <c r="C599" i="3" s="1"/>
  <c r="B475" i="3"/>
  <c r="B558" i="3" s="1"/>
  <c r="B599" i="3" s="1"/>
  <c r="B472" i="3"/>
  <c r="B555" i="3" s="1"/>
  <c r="B596" i="3" s="1"/>
  <c r="B513" i="3"/>
  <c r="C555" i="3" s="1"/>
  <c r="C596" i="3" s="1"/>
  <c r="B466" i="3"/>
  <c r="B549" i="3" s="1"/>
  <c r="B590" i="3" s="1"/>
  <c r="B507" i="3"/>
  <c r="C549" i="3" s="1"/>
  <c r="C590" i="3" s="1"/>
  <c r="B505" i="3"/>
  <c r="C547" i="3" s="1"/>
  <c r="C588" i="3" s="1"/>
  <c r="B464" i="3"/>
  <c r="B547" i="3" s="1"/>
  <c r="B588" i="3" s="1"/>
  <c r="E627" i="3"/>
  <c r="B483" i="3"/>
  <c r="B566" i="3" s="1"/>
  <c r="B607" i="3" s="1"/>
  <c r="B524" i="3"/>
  <c r="C566" i="3" s="1"/>
  <c r="C607" i="3" s="1"/>
  <c r="B480" i="3"/>
  <c r="B563" i="3" s="1"/>
  <c r="B604" i="3" s="1"/>
  <c r="B521" i="3"/>
  <c r="C563" i="3" s="1"/>
  <c r="C604" i="3" s="1"/>
  <c r="B465" i="3"/>
  <c r="B548" i="3" s="1"/>
  <c r="B589" i="3" s="1"/>
  <c r="B506" i="3"/>
  <c r="C548" i="3" s="1"/>
  <c r="C589" i="3" s="1"/>
  <c r="B515" i="3"/>
  <c r="C557" i="3" s="1"/>
  <c r="C598" i="3" s="1"/>
  <c r="B474" i="3"/>
  <c r="B557" i="3" s="1"/>
  <c r="B598" i="3" s="1"/>
  <c r="B473" i="3"/>
  <c r="B556" i="3" s="1"/>
  <c r="B597" i="3" s="1"/>
  <c r="B514" i="3"/>
  <c r="C556" i="3" s="1"/>
  <c r="C597" i="3" s="1"/>
  <c r="B861" i="3"/>
  <c r="B869" i="3"/>
  <c r="D869" i="3"/>
  <c r="D861" i="3"/>
  <c r="B509" i="3"/>
  <c r="C551" i="3" s="1"/>
  <c r="C592" i="3" s="1"/>
  <c r="B468" i="3"/>
  <c r="B551" i="3" s="1"/>
  <c r="B592" i="3" s="1"/>
  <c r="B476" i="3"/>
  <c r="B559" i="3" s="1"/>
  <c r="B600" i="3" s="1"/>
  <c r="B517" i="3"/>
  <c r="C559" i="3" s="1"/>
  <c r="C600" i="3" s="1"/>
  <c r="C878" i="3" l="1"/>
  <c r="E878" i="3"/>
  <c r="B878" i="3"/>
  <c r="B887" i="3" s="1"/>
  <c r="B627" i="3"/>
  <c r="B635" i="3" s="1"/>
  <c r="B784" i="3" s="1"/>
  <c r="D878" i="3"/>
  <c r="C887" i="3" s="1"/>
  <c r="C627" i="3"/>
  <c r="D635" i="3" l="1"/>
  <c r="D784" i="3" s="1"/>
  <c r="F635" i="3"/>
  <c r="F784" i="3" s="1"/>
  <c r="E635" i="3"/>
  <c r="E784" i="3" s="1"/>
  <c r="C635" i="3"/>
  <c r="C784" i="3" s="1"/>
  <c r="D803" i="3" l="1"/>
  <c r="D812" i="3" s="1"/>
  <c r="C803" i="3"/>
  <c r="C812" i="3" s="1"/>
  <c r="F803" i="3"/>
  <c r="E803" i="3"/>
  <c r="E812" i="3" s="1"/>
  <c r="B803" i="3"/>
  <c r="B812" i="3" s="1"/>
  <c r="C17" i="5" l="1"/>
  <c r="B17" i="5"/>
  <c r="D17" i="5"/>
  <c r="E17" i="5"/>
</calcChain>
</file>

<file path=xl/sharedStrings.xml><?xml version="1.0" encoding="utf-8"?>
<sst xmlns="http://schemas.openxmlformats.org/spreadsheetml/2006/main" count="2181" uniqueCount="627">
  <si>
    <t>1300. Company, charging year, data version</t>
  </si>
  <si>
    <t>Company</t>
  </si>
  <si>
    <t>Year</t>
  </si>
  <si>
    <t>Version</t>
  </si>
  <si>
    <t>Company, charging year, data version</t>
  </si>
  <si>
    <t>no data version</t>
  </si>
  <si>
    <t>1301. DNO LV mains usage</t>
  </si>
  <si>
    <t>LV mains usage value provided each year by the Nominated Calculation Agent.</t>
  </si>
  <si>
    <t>DNO LV mains usage</t>
  </si>
  <si>
    <t>1302. DNO HV mains usage</t>
  </si>
  <si>
    <t>HV mains usage value provided each year by the Nominated Calculation Agent.</t>
  </si>
  <si>
    <t>DNO HV mains usage</t>
  </si>
  <si>
    <t>1310. DPCR4 aggregate allowances (£)</t>
  </si>
  <si>
    <t>In a legacy Method M workbook, these data are on sheet Calc-Allocation, possibly cells C47, C48 and C49.</t>
  </si>
  <si>
    <t>Aggregate return</t>
  </si>
  <si>
    <t>Aggregate depreciation</t>
  </si>
  <si>
    <t>Aggregate operating</t>
  </si>
  <si>
    <t>DPCR4 aggregate allowances (£)</t>
  </si>
  <si>
    <t>1315. Analysis of allowed revenue for 2007/2008 (£/year)</t>
  </si>
  <si>
    <t>In a legacy Method M workbook, these data are on sheet Calc-Allocation, possibly cells F66 and F63.</t>
  </si>
  <si>
    <t>Total revenue</t>
  </si>
  <si>
    <t>Net incentive revenue</t>
  </si>
  <si>
    <t>Analysis of allowed revenue for 2007/2008 (£/year)</t>
  </si>
  <si>
    <t>1321. Units distributed (GWh)</t>
  </si>
  <si>
    <t>These data are taken from the 2007/2008 regulatory reporting pack (table 5.1), cells G34 to G36.</t>
  </si>
  <si>
    <t>Units distributed (GWh)</t>
  </si>
  <si>
    <t>EHV (Includes 132kV)</t>
  </si>
  <si>
    <t>HV</t>
  </si>
  <si>
    <t>LV</t>
  </si>
  <si>
    <t>1322. Losses (GWh)</t>
  </si>
  <si>
    <t>This data item is taken from the 2007/2008 regulatory reporting pack (table 5.1), cell G40.</t>
  </si>
  <si>
    <t>Losses (GWh)</t>
  </si>
  <si>
    <t>1328. DCP 117/DCP 231 additional annual income (£)</t>
  </si>
  <si>
    <t>In a legacy Method M workbook, this item is on sheet Calc-Allocation, possibly cell G70.</t>
  </si>
  <si>
    <t>DCP 117/DCP 231 additional annual income (£)</t>
  </si>
  <si>
    <t>1329. Net new connections and reinforcement costs (£)</t>
  </si>
  <si>
    <t>These data are derived from a combination of the 2007/2008 regulatory reporting pack (table 2.4) and 10-year averages from the FBPQ.</t>
  </si>
  <si>
    <t>In a post-DCP 117 legacy Method M workbook, these data are on sheet Calc-Opex, reading from right to left, possibly starting at cell H7.</t>
  </si>
  <si>
    <t>HV/LV</t>
  </si>
  <si>
    <t>EHV&amp;132</t>
  </si>
  <si>
    <t>Load related new connections &amp; reinforcement (net of contributions)</t>
  </si>
  <si>
    <t>1330. Allocated costs (£/year)</t>
  </si>
  <si>
    <t>These data are taken from the 2007/2008 regulatory reporting pack (tables 2.3 and 2.4).</t>
  </si>
  <si>
    <t>In a legacy Method M workbook, these data are on sheet Calc-Opex, reading from right to left, possibly starting at cell H7.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</si>
  <si>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</si>
  <si>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</si>
  <si>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</si>
  <si>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</si>
  <si>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</si>
  <si>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</si>
  <si>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</si>
  <si>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</si>
  <si>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</si>
  <si>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</si>
  <si>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</si>
  <si>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</si>
  <si>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</si>
  <si>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</si>
  <si>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</si>
  <si>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</si>
  <si>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</si>
  <si>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</si>
  <si>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</si>
  <si>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</si>
  <si>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</si>
  <si>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</si>
  <si>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</si>
  <si>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</si>
  <si>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</si>
  <si>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</si>
  <si>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</si>
  <si>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</si>
  <si>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</si>
  <si>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</si>
  <si>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</si>
  <si>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</si>
  <si>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1331. Assets in CDCM model (£)</t>
  </si>
  <si>
    <t>These data are taken from the CDCM tariff model (Otex sheet).</t>
  </si>
  <si>
    <t>They are also used as input data in the EDCM tariff model.</t>
  </si>
  <si>
    <t>GSP</t>
  </si>
  <si>
    <t>132kV circuits</t>
  </si>
  <si>
    <t>132kV/EHV</t>
  </si>
  <si>
    <t>EHV circuits</t>
  </si>
  <si>
    <t>EHV/HV</t>
  </si>
  <si>
    <t>132kV/HV</t>
  </si>
  <si>
    <t>HV circuits</t>
  </si>
  <si>
    <t>LV circuits</t>
  </si>
  <si>
    <t>LV customer</t>
  </si>
  <si>
    <t>HV customer</t>
  </si>
  <si>
    <t>Assets in CDCM model (£)</t>
  </si>
  <si>
    <t>1332. All notional assets in EDCM (£)</t>
  </si>
  <si>
    <t>These data are taken from the EDCM tariff model.</t>
  </si>
  <si>
    <t>All notional assets in EDCM (£)</t>
  </si>
  <si>
    <t>1335. Total costs (£/year)</t>
  </si>
  <si>
    <t>These data are taken from the 2007/2008 regulatory reporting pack (table 1.3).</t>
  </si>
  <si>
    <t>In a legacy Method M workbook, these data are on sheet Calc-Opex, starting at cell D7.</t>
  </si>
  <si>
    <t>Total costs (£/year)</t>
  </si>
  <si>
    <t>1355. MEAV data</t>
  </si>
  <si>
    <t>In a legacy Method M workbook, these data are on sheet Data-MEAV.</t>
  </si>
  <si>
    <t>Asset quantity</t>
  </si>
  <si>
    <t>Unit MEAV (£)</t>
  </si>
  <si>
    <t>LV main overhead line km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</si>
  <si>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</si>
  <si>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</si>
  <si>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</si>
  <si>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</si>
  <si>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</si>
  <si>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</si>
  <si>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</si>
  <si>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</si>
  <si>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</si>
  <si>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</si>
  <si>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</si>
  <si>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</si>
  <si>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</si>
  <si>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</si>
  <si>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open pm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</si>
  <si>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</si>
  <si>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</si>
  <si>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</si>
  <si>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</si>
  <si>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</si>
  <si>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</si>
  <si>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</si>
  <si>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</si>
  <si>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</si>
  <si>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</si>
  <si>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</si>
  <si>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</si>
  <si>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</si>
  <si>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</si>
  <si>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</si>
  <si>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</si>
  <si>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</si>
  <si>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</si>
  <si>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</si>
  <si>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</si>
  <si>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</si>
  <si>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</si>
  <si>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</si>
  <si>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</si>
  <si>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</si>
  <si>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</si>
  <si>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</si>
  <si>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</si>
  <si>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</si>
  <si>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</si>
  <si>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</si>
  <si>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</si>
  <si>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</si>
  <si>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</si>
  <si>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</si>
  <si>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</si>
  <si>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</si>
  <si>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</si>
  <si>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</si>
  <si>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</si>
  <si>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</si>
  <si>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</si>
  <si>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</si>
  <si>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</si>
  <si>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</si>
  <si>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</si>
  <si>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</si>
  <si>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</si>
  <si>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</si>
  <si>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</si>
  <si>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</si>
  <si>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</si>
  <si>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</si>
  <si>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</si>
  <si>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</si>
  <si>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</si>
  <si>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</si>
  <si>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</si>
  <si>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</si>
  <si>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</si>
  <si>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</si>
  <si>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</si>
  <si>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</si>
  <si>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</si>
  <si>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</si>
  <si>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</si>
  <si>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</si>
  <si>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</si>
  <si>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</si>
  <si>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1369. Net capex analysis pre-DCP 118 (£)</t>
  </si>
  <si>
    <t>In a pre-DCP 118 legacy Method M workbook, these data are on sheet Calc-Net capex, possibly cells G6 to G10.</t>
  </si>
  <si>
    <t>Net capex analysis pre-DCP 118 (£)</t>
  </si>
  <si>
    <t>LV/HV</t>
  </si>
  <si>
    <t>EHV</t>
  </si>
  <si>
    <t>132kV</t>
  </si>
  <si>
    <t>1380. Net capex: ratio of LV services to LV total</t>
  </si>
  <si>
    <t>This figure can be calculated from FBPQ NL1 data, possibly as SUM('FBPQ NL1'!D10:M13)/SUM('FBPQ NL1'!D10:M16).</t>
  </si>
  <si>
    <t>LV services</t>
  </si>
  <si>
    <t>This sheet contains the input data.</t>
  </si>
  <si>
    <t>1401. Allocated costs after DCP 117 adjustments</t>
  </si>
  <si>
    <t>Data sources:</t>
  </si>
  <si>
    <t>x1 = 1329. Net new connections and reinforcement costs (£)</t>
  </si>
  <si>
    <t>x2 = 1330. Allocated costs (£/year)</t>
  </si>
  <si>
    <t>Combine tables = x1 or x2</t>
  </si>
  <si>
    <t>1402. Expenditure data</t>
  </si>
  <si>
    <t>x1 = 1335. Total costs (£/year)</t>
  </si>
  <si>
    <t>x2 = 1401. Allocated costs after DCP 117 adjustments</t>
  </si>
  <si>
    <t>Kind:</t>
  </si>
  <si>
    <t>Copy cells</t>
  </si>
  <si>
    <t>Cell summation</t>
  </si>
  <si>
    <t>Formula:</t>
  </si>
  <si>
    <t>= x1</t>
  </si>
  <si>
    <t>=SUM(x2)</t>
  </si>
  <si>
    <t>Amounts already allocated</t>
  </si>
  <si>
    <t>1403. Allocation rules</t>
  </si>
  <si>
    <t>Allocation key</t>
  </si>
  <si>
    <t>Percentage capitalised</t>
  </si>
  <si>
    <t>Direct cost indicator</t>
  </si>
  <si>
    <t>Do not allocate</t>
  </si>
  <si>
    <t>MEAV</t>
  </si>
  <si>
    <t>Deduct from revenue</t>
  </si>
  <si>
    <t>1404. MEAV calculations</t>
  </si>
  <si>
    <t>x1 = 1355. Asset quantity (in MEAV data)</t>
  </si>
  <si>
    <t>x2 = 1355. Unit MEAV (£) (in MEAV data)</t>
  </si>
  <si>
    <t>Calculation</t>
  </si>
  <si>
    <t>Fixed data</t>
  </si>
  <si>
    <t>=x1*x2</t>
  </si>
  <si>
    <t/>
  </si>
  <si>
    <t>MEAV (£)</t>
  </si>
  <si>
    <t>MEAV mapping</t>
  </si>
  <si>
    <t>MEAV mapping: LV services</t>
  </si>
  <si>
    <t>MEAV mapping: LV total</t>
  </si>
  <si>
    <t>1405. MEAV by network level (£)</t>
  </si>
  <si>
    <t>x1 = 1404. MEAV mapping (in MEAV calculations)</t>
  </si>
  <si>
    <t>x2 = 1404. MEAV (£) (in MEAV calculations)</t>
  </si>
  <si>
    <t>Sum-product calculation =SUMPRODUCT(x1, x2)</t>
  </si>
  <si>
    <t>MEAV by network level (£)</t>
  </si>
  <si>
    <t>1406. MEAV percentages</t>
  </si>
  <si>
    <t>x1 = 1405. MEAV by network level (£)</t>
  </si>
  <si>
    <t>Calculation =x1/SUM(x1)</t>
  </si>
  <si>
    <t>MEAV percentages</t>
  </si>
  <si>
    <t>1407. EHV asset levels</t>
  </si>
  <si>
    <t>EHV asset levels</t>
  </si>
  <si>
    <t>1408. Proportion of EHV notional assets which are in the CDCM</t>
  </si>
  <si>
    <t>x1 = 1332. All notional assets in EDCM (£)</t>
  </si>
  <si>
    <t>x2 = 1407. EHV asset levels</t>
  </si>
  <si>
    <t>x3 = 1331. Assets in CDCM model (£)</t>
  </si>
  <si>
    <t>Calculation =1/(1+x1/SUMPRODUCT(x2,x3))</t>
  </si>
  <si>
    <t>Proportion of EHV notional assets which are in the CDCM</t>
  </si>
  <si>
    <t>1409. Proportion to be kept</t>
  </si>
  <si>
    <t>x1 = 1408. Proportion of EHV notional assets which are in the CDCM</t>
  </si>
  <si>
    <t>x2 = Default to 1</t>
  </si>
  <si>
    <t>Proportion to be kept</t>
  </si>
  <si>
    <t>1410. MEAV percentages after DCP 118 exclusions</t>
  </si>
  <si>
    <t>x1 = 1406. MEAV percentages</t>
  </si>
  <si>
    <t>x2 = 1409. Proportion to be kept</t>
  </si>
  <si>
    <t>Calculation =x1*x2/SUMPRODUCT(x1,x2)</t>
  </si>
  <si>
    <t>MEAV percentages after DCP 118 exclusions</t>
  </si>
  <si>
    <t>1411. EHV only</t>
  </si>
  <si>
    <t>EHV only</t>
  </si>
  <si>
    <t>1412. LV only</t>
  </si>
  <si>
    <t>LV only</t>
  </si>
  <si>
    <t>1413. All allocation percentages</t>
  </si>
  <si>
    <t>x1 = 1403. Allocation key (in Allocation rules)</t>
  </si>
  <si>
    <t>x2 = 1412. LV only</t>
  </si>
  <si>
    <t>x3 = 1410. MEAV percentages after DCP 118 exclusions</t>
  </si>
  <si>
    <t>x4 = 1411. EHV only</t>
  </si>
  <si>
    <t>Calculation =IF(x1="60%MEAV",0.4*x2+x3,IF(x1="MEAV",x3,IF(x1="EHV only",x4,IF(x1="LV only",x2,0))))</t>
  </si>
  <si>
    <t>1414. Complete allocation</t>
  </si>
  <si>
    <t>x3 = 1402. Total costs (£/year) (copy) (in Expenditure data)</t>
  </si>
  <si>
    <t>x4 = 1402. Amounts already allocated (in Expenditure data)</t>
  </si>
  <si>
    <t>x5 = 1413. All allocation percentages</t>
  </si>
  <si>
    <t>Calculation =IF(x1="Kill",0,x2+(x3-x4)*x5)</t>
  </si>
  <si>
    <t>1415. Complete allocation: LV total share</t>
  </si>
  <si>
    <t>x1 = 1414. Complete allocation</t>
  </si>
  <si>
    <t>Copy cells = x1</t>
  </si>
  <si>
    <t>1416. MEAV: ratio of LV services to LV total</t>
  </si>
  <si>
    <t>x1 = 1404. MEAV mapping: LV services</t>
  </si>
  <si>
    <t>x3 = 1404. MEAV mapping: LV total</t>
  </si>
  <si>
    <t>Calculation =SUMPRODUCT(x1,x2)/SUMPRODUCT(x3,x2)</t>
  </si>
  <si>
    <t>1417. Allocation of LV to LV services</t>
  </si>
  <si>
    <t>x2 = 1416. MEAV: ratio of LV services to LV total</t>
  </si>
  <si>
    <t>Calculation =IF(x1="60%MEAV",0.4+0.6*x2,IF(x1="MEAV",x2,IF(x1="EHV only",0,IF(x1="LV only",1,0))))</t>
  </si>
  <si>
    <t>Allocation of LV to LV services</t>
  </si>
  <si>
    <t>1418. Allocation to LV services</t>
  </si>
  <si>
    <t>x1 = 1415. Complete allocation: LV total share</t>
  </si>
  <si>
    <t>x2 = 1417. Allocation of LV to LV services</t>
  </si>
  <si>
    <t>Calculation =x1*x2</t>
  </si>
  <si>
    <t>1419. Allocation to LV mains</t>
  </si>
  <si>
    <t>Calculation =x1*(1-x2)</t>
  </si>
  <si>
    <t>LV mains</t>
  </si>
  <si>
    <t>1420. Complete allocation split between LV mains and services</t>
  </si>
  <si>
    <t>x1 = 1418. Allocation to LV services</t>
  </si>
  <si>
    <t>x2 = 1419. Allocation to LV mains</t>
  </si>
  <si>
    <t>x3 = 1414. Complete allocation</t>
  </si>
  <si>
    <t>Combine tables = x1 or x2 or x3</t>
  </si>
  <si>
    <t>1421. Complete allocation, adjusted for regulatory capitalisation</t>
  </si>
  <si>
    <t>x1 = 1420. Complete allocation split between LV mains and services</t>
  </si>
  <si>
    <t>x2 = 1403. Percentage capitalised (in Allocation rules)</t>
  </si>
  <si>
    <t>1422. Total expensed for each level</t>
  </si>
  <si>
    <t>x1 = 1421. Complete allocation, adjusted for regulatory capitalisation</t>
  </si>
  <si>
    <t>Cell summation =SUM(x1)</t>
  </si>
  <si>
    <t>Total expensed for each level</t>
  </si>
  <si>
    <t>1423. Expensed proportions</t>
  </si>
  <si>
    <t>x1 = 1422. Total expensed for each level</t>
  </si>
  <si>
    <t>Expensed proportions</t>
  </si>
  <si>
    <t>1424. Net capex percentages</t>
  </si>
  <si>
    <t>x1 = 1369. Net capex analysis pre-DCP 118 (£)</t>
  </si>
  <si>
    <t>Special calculation =(x1 or x1+x1)/SUM(x1:x1)</t>
  </si>
  <si>
    <t>Net capex percentages</t>
  </si>
  <si>
    <t>1425. Net capex percentages after DCP 118 exclusions</t>
  </si>
  <si>
    <t>x1 = 1424. Net capex percentages</t>
  </si>
  <si>
    <t>Net capex percentages after DCP 118 exclusions</t>
  </si>
  <si>
    <t>1426. Net capex: LV total share</t>
  </si>
  <si>
    <t>x1 = 1425. Net capex percentages after DCP 118 exclusions</t>
  </si>
  <si>
    <t>Net capex: LV total share</t>
  </si>
  <si>
    <t>1427. Allocation to LV services</t>
  </si>
  <si>
    <t>x1 = 1426. Net capex: LV total share</t>
  </si>
  <si>
    <t>x2 = 1380. Net capex: ratio of LV services to LV total</t>
  </si>
  <si>
    <t>Allocation to LV services</t>
  </si>
  <si>
    <t>1428. Allocation to LV mains</t>
  </si>
  <si>
    <t>Allocation to LV mains</t>
  </si>
  <si>
    <t>1429. Net capex allocation split between LV mains and services</t>
  </si>
  <si>
    <t>x1 = 1427. Allocation to LV services</t>
  </si>
  <si>
    <t>x2 = 1428. Allocation to LV mains</t>
  </si>
  <si>
    <t>x3 = 1425. Net capex percentages after DCP 118 exclusions</t>
  </si>
  <si>
    <t>Net capex allocation split between LV mains and services</t>
  </si>
  <si>
    <t>1430. Proportion of price control revenue attributed to opex</t>
  </si>
  <si>
    <t>x1 = 1310. Aggregate operating (in DPCR4 aggregate allowances (£))</t>
  </si>
  <si>
    <t>x2 = 1310. Aggregate return (in DPCR4 aggregate allowances (£))</t>
  </si>
  <si>
    <t>x3 = 1310. Aggregate depreciation (in DPCR4 aggregate allowances (£))</t>
  </si>
  <si>
    <t>Calculation =x1/(x2+x3+x1)</t>
  </si>
  <si>
    <t>Proportion of price control revenue attributed to opex</t>
  </si>
  <si>
    <t>1431. To be deducted from revenue and treated as "upstream" cost</t>
  </si>
  <si>
    <t>x2 = 1335. Total costs (£/year)</t>
  </si>
  <si>
    <t>Calculation =SUMIF(x1,"Deduct from revenue",x2)</t>
  </si>
  <si>
    <t>To be deducted from revenue and treated as "upstream" cost</t>
  </si>
  <si>
    <t>1432. Revenue to be allocated between network levels (£/year)</t>
  </si>
  <si>
    <t>x1 = 1315. Total revenue (in Analysis of allowed revenue for 2007/2008 (£/year))</t>
  </si>
  <si>
    <t>x2 = 1315. Net incentive revenue (in Analysis of allowed revenue for 2007/2008 (£/year))</t>
  </si>
  <si>
    <t>x3 = 1431. To be deducted from revenue and treated as "upstream" cost</t>
  </si>
  <si>
    <t>Calculation =x1-x2-x3</t>
  </si>
  <si>
    <t>Revenue to be allocated between network levels (£/year)</t>
  </si>
  <si>
    <t>1433. Adjustment factors to LV (kWh/GWh)</t>
  </si>
  <si>
    <t>x1 = 1322. Losses (GWh)</t>
  </si>
  <si>
    <t>x2 = 1321. Units distributed (GWh)</t>
  </si>
  <si>
    <t>Special calculation =1000000*(1+x1/(x2+x2/2+x2/4)/[1, 2 or 4])/(1+x1/(x2+x2/2+x2/4))</t>
  </si>
  <si>
    <t>1434. Units flowing, loss adjusted to LV (kWh)</t>
  </si>
  <si>
    <t>x1 = 1433. Adjustment factors to LV (kWh/GWh)</t>
  </si>
  <si>
    <t>Units flowing, loss adjusted to LV (kWh)</t>
  </si>
  <si>
    <t>1435. Units at LV</t>
  </si>
  <si>
    <t>x1 = 1434. Units flowing, loss adjusted to LV (kWh)</t>
  </si>
  <si>
    <t>Units at LV</t>
  </si>
  <si>
    <t>1436. Allocation to LV services</t>
  </si>
  <si>
    <t>x1 = 1435. Units at LV</t>
  </si>
  <si>
    <t>Copy cells =x1</t>
  </si>
  <si>
    <t>1437. Allocation to LV mains</t>
  </si>
  <si>
    <t>1438. Units</t>
  </si>
  <si>
    <t>x1 = 1436. Allocation to LV services</t>
  </si>
  <si>
    <t>x2 = 1437. Allocation to LV mains</t>
  </si>
  <si>
    <t>x3 = 1434. Units flowing, loss adjusted to LV (kWh)</t>
  </si>
  <si>
    <t>Units</t>
  </si>
  <si>
    <t>1439. p/kWh split (DCP 117 modified)</t>
  </si>
  <si>
    <t>x1 = 1430. Proportion of price control revenue attributed to opex</t>
  </si>
  <si>
    <t>x2 = 1429. Net capex allocation split between LV mains and services</t>
  </si>
  <si>
    <t>x3 = 1423. Expensed proportions</t>
  </si>
  <si>
    <t>x4 = 1432. Revenue to be allocated between network levels (£/year)</t>
  </si>
  <si>
    <t>x5 = 1328. DCP 117/DCP 231 additional annual income (£)</t>
  </si>
  <si>
    <t>x6 = 1438. Units</t>
  </si>
  <si>
    <t>Calculation =(((1-x1)*x2+x1*x3)*x4+x5*x3)/x6*100</t>
  </si>
  <si>
    <t>p/kWh split (DCP 117 modified)</t>
  </si>
  <si>
    <t>1440. p/kWh not split</t>
  </si>
  <si>
    <t>x1 = 1315. Net incentive revenue (in Analysis of allowed revenue for 2007/2008 (£/year))</t>
  </si>
  <si>
    <t>x2 = 1431. To be deducted from revenue and treated as "upstream" cost</t>
  </si>
  <si>
    <t>x3 = 1438. Units</t>
  </si>
  <si>
    <t>Calculation =100*(x1+x2)/x3</t>
  </si>
  <si>
    <t>p/kWh not split</t>
  </si>
  <si>
    <t>1441. Allocated proportion</t>
  </si>
  <si>
    <t>x1 = 1439. p/kWh split (DCP 117 modified)</t>
  </si>
  <si>
    <t>x2 = 1440. p/kWh not split</t>
  </si>
  <si>
    <t>Calculation =x1/(SUM(x1)+x2)</t>
  </si>
  <si>
    <t>Allocated proportion</t>
  </si>
  <si>
    <t>1442. Allocations to network levels</t>
  </si>
  <si>
    <t>x1 = 1441. Allocated proportion</t>
  </si>
  <si>
    <t>LV services allocation</t>
  </si>
  <si>
    <t>LV mains allocation</t>
  </si>
  <si>
    <t>HV/LV allocation</t>
  </si>
  <si>
    <t>HV allocation</t>
  </si>
  <si>
    <t>Allocations to network levels</t>
  </si>
  <si>
    <t>1443. Complete allocation, zeroing out negative numbers</t>
  </si>
  <si>
    <t>Calculation =MAX(0,x1)</t>
  </si>
  <si>
    <t>1444. Direct costs</t>
  </si>
  <si>
    <t>x1 = 1443. Complete allocation, zeroing out negative numbers</t>
  </si>
  <si>
    <t>x2 = 1403. Direct cost indicator (in Allocation rules)</t>
  </si>
  <si>
    <t>Direct costs</t>
  </si>
  <si>
    <t>1445. Total costs</t>
  </si>
  <si>
    <t>Total costs</t>
  </si>
  <si>
    <t>1446. Direct cost proportion for each network level</t>
  </si>
  <si>
    <t>x1 = 1444. Direct costs</t>
  </si>
  <si>
    <t>x2 = 1445. Total costs</t>
  </si>
  <si>
    <t>Calculation =x1/x2</t>
  </si>
  <si>
    <t>Direct cost proportion for each network level</t>
  </si>
  <si>
    <t>1447. HV and LV direct cost proportions</t>
  </si>
  <si>
    <t>x1 = 1446. Direct cost proportion for each network level</t>
  </si>
  <si>
    <t>LV direct proportion</t>
  </si>
  <si>
    <t>HV direct proportion</t>
  </si>
  <si>
    <t>HV and LV direct cost proportions</t>
  </si>
  <si>
    <t>1501. All allocation percentages</t>
  </si>
  <si>
    <t>x3 = 1406. MEAV percentages</t>
  </si>
  <si>
    <t>1502. Complete allocation</t>
  </si>
  <si>
    <t>x3 = 1335. Total costs (£/year)</t>
  </si>
  <si>
    <t>x5 = 1501. All allocation percentages</t>
  </si>
  <si>
    <t>1503. Complete allocation, zeroing out negative numbers</t>
  </si>
  <si>
    <t>x1 = 1502. Complete allocation</t>
  </si>
  <si>
    <t>1504. Direct costs</t>
  </si>
  <si>
    <t>x1 = 1503. Complete allocation, zeroing out negative numbers</t>
  </si>
  <si>
    <t>1505. Total costs</t>
  </si>
  <si>
    <t>1506. Direct cost proportion for each network level</t>
  </si>
  <si>
    <t>x1 = 1504. Direct costs</t>
  </si>
  <si>
    <t>x2 = 1505. Total costs</t>
  </si>
  <si>
    <t>1507. Splitting factors</t>
  </si>
  <si>
    <t>x1 = 1301. DNO LV mains usage</t>
  </si>
  <si>
    <t>x2 = 1302. DNO HV mains usage</t>
  </si>
  <si>
    <t>x3 = 1506. Direct cost proportion for each network level</t>
  </si>
  <si>
    <t>Special calculation Special calculation</t>
  </si>
  <si>
    <t>Splitting factors</t>
  </si>
  <si>
    <t>1508. Splitting factor 132kV</t>
  </si>
  <si>
    <t>x1 = 1507. Splitting factors</t>
  </si>
  <si>
    <t>LDNO 132kV: LV demand</t>
  </si>
  <si>
    <t>LDNO 132kV: LV Sub dem | LV gen</t>
  </si>
  <si>
    <t>LDNO 132kV: HV dem | LV Sub gen</t>
  </si>
  <si>
    <t>LDNO 132kV: HV generation</t>
  </si>
  <si>
    <t>1509. Splitting factor EHV</t>
  </si>
  <si>
    <t>LDNO EHV: LV demand</t>
  </si>
  <si>
    <t>LDNO EHV: LV Sub dem | LV gen</t>
  </si>
  <si>
    <t>LDNO EHV: HV dem | LV Sub gen</t>
  </si>
  <si>
    <t>LDNO EHV: HV generation</t>
  </si>
  <si>
    <t>1510. Network levels not covered by DNO network</t>
  </si>
  <si>
    <t>x1 = 1508. Splitting factor 132kV</t>
  </si>
  <si>
    <t>x2 = 1509. Splitting factor EHV</t>
  </si>
  <si>
    <t>x3 = Network levels not covered by DNO network</t>
  </si>
  <si>
    <t>LDNO HVplus: LV demand</t>
  </si>
  <si>
    <t>LDNO HVplus: LV Sub dem | LV gen</t>
  </si>
  <si>
    <t>LDNO HVplus: HV dem | LV Sub gen</t>
  </si>
  <si>
    <t>LDNO HVplus: HV generation</t>
  </si>
  <si>
    <t>LDNO 132kV/EHV: LV demand</t>
  </si>
  <si>
    <t>LDNO 132kV/EHV: LV Sub dem | LV gen</t>
  </si>
  <si>
    <t>LDNO 132kV/EHV: HV dem | LV Sub gen</t>
  </si>
  <si>
    <t>LDNO 132kV/EHV: HV generation</t>
  </si>
  <si>
    <t>LDNO 0000: LV demand</t>
  </si>
  <si>
    <t>LDNO 0000: LV Sub dem | LV gen</t>
  </si>
  <si>
    <t>LDNO 0000: HV dem | LV Sub gen</t>
  </si>
  <si>
    <t>LDNO 0000: HV generation</t>
  </si>
  <si>
    <t>1511. MEAV calculations</t>
  </si>
  <si>
    <t>x1 = 1404. MEAV (£) (in MEAV calculations)</t>
  </si>
  <si>
    <t>MEAV EDCM mapping</t>
  </si>
  <si>
    <t>1512. MEAV by network level (£)</t>
  </si>
  <si>
    <t>x1 = 1511. MEAV EDCM mapping (in MEAV calculations)</t>
  </si>
  <si>
    <t>x2 = 1511. MEAV (£) (in MEAV calculations) (copy)</t>
  </si>
  <si>
    <t>1513. MEAV percentages</t>
  </si>
  <si>
    <t>x1 = 1512. MEAV by network level (£)</t>
  </si>
  <si>
    <t>1514. Complete allocation, adjusted for regulatory capitalisation</t>
  </si>
  <si>
    <t>1515. Total expensed for each level</t>
  </si>
  <si>
    <t>x1 = 1514. Complete allocation, adjusted for regulatory capitalisation</t>
  </si>
  <si>
    <t>1516. Expensed proportions</t>
  </si>
  <si>
    <t>x1 = 1515. Total expensed for each level</t>
  </si>
  <si>
    <t>1517. p/kWh split (DCP 117 modified)</t>
  </si>
  <si>
    <t>x2 = 1424. Net capex percentages</t>
  </si>
  <si>
    <t>x3 = 1516. Expensed proportions</t>
  </si>
  <si>
    <t>x6 = 1434. Units flowing, loss adjusted to LV (kWh)</t>
  </si>
  <si>
    <t>1518. p/kWh not split</t>
  </si>
  <si>
    <t>1519. Allocated proportion</t>
  </si>
  <si>
    <t>x1 = 1517. p/kWh split (DCP 117 modified)</t>
  </si>
  <si>
    <t>x2 = 1518. p/kWh not split</t>
  </si>
  <si>
    <t>1520. Allocation to EHV network levels</t>
  </si>
  <si>
    <t>x1 = 1519. Allocated proportion</t>
  </si>
  <si>
    <t>Allocation to EHV network levels</t>
  </si>
  <si>
    <t>1521. Allocation between EHV network levels</t>
  </si>
  <si>
    <t>x1 = 1513. MEAV percentages</t>
  </si>
  <si>
    <t>x2 = 1520. Allocation to EHV network levels</t>
  </si>
  <si>
    <t>Allocation between EHV network levels</t>
  </si>
  <si>
    <t>1522. Extended allocation</t>
  </si>
  <si>
    <t>x1 = 1521. Allocation between EHV network levels</t>
  </si>
  <si>
    <t>x2 = 1519. Allocated proportion</t>
  </si>
  <si>
    <t>Extended allocation</t>
  </si>
  <si>
    <t>1523. Proportion of costs not covered by DNO network</t>
  </si>
  <si>
    <t>x1 = 1510. Network levels not covered by DNO network</t>
  </si>
  <si>
    <t>x2 = 1522. Extended allocation</t>
  </si>
  <si>
    <t>Proportion of costs not covered by DNO network</t>
  </si>
  <si>
    <t>1524. Network levels not covered by all-the-way tariff</t>
  </si>
  <si>
    <t>1525. Proportion of costs not covered by all-the-way tariff</t>
  </si>
  <si>
    <t>x1 = 1524. Network levels not covered by all-the-way tariff</t>
  </si>
  <si>
    <t>Proportion of costs not covered by all-the-way tariff</t>
  </si>
  <si>
    <t>1526. LDNO discounts (EDCM)</t>
  </si>
  <si>
    <t>x1 = 1523. Proportion of costs not covered by DNO network</t>
  </si>
  <si>
    <t>x2 = 1525. Proportion of costs not covered by all-the-way tariff</t>
  </si>
  <si>
    <t>Calculation =1-MAX(0,(1-x1)/(1-x2))</t>
  </si>
  <si>
    <t>LDNO discounts (EDCM)</t>
  </si>
  <si>
    <t>1601. LDNO discounts (CDCM)</t>
  </si>
  <si>
    <t>x1 = 1442. LV services allocation (in Allocations to network levels)</t>
  </si>
  <si>
    <t>x2 = 1442. LV mains allocation (in Allocations to network levels)</t>
  </si>
  <si>
    <t>x3 = 1301. DNO LV mains usage</t>
  </si>
  <si>
    <t>x4 = 1447. LV direct proportion (in HV and LV direct cost proportions)</t>
  </si>
  <si>
    <t>x5 = 1442. HV/LV allocation (in Allocations to network levels)</t>
  </si>
  <si>
    <t>x6 = 1442. HV allocation (in Allocations to network levels)</t>
  </si>
  <si>
    <t>x7 = 1302. DNO HV mains usage</t>
  </si>
  <si>
    <t>x8 = 1447. HV direct proportion (in HV and LV direct cost proportions)</t>
  </si>
  <si>
    <t>=x1+x2*(1-x3*x4)</t>
  </si>
  <si>
    <t>=x1+x2+x5+x6*(1-x7*x8)</t>
  </si>
  <si>
    <t>=(x5+x6*(1-x7*x8))/(1-x2-x1)</t>
  </si>
  <si>
    <t>=x6*(1-x7*x8)/(1-x1-x2-x5)</t>
  </si>
  <si>
    <t>LDNO LV: LV user</t>
  </si>
  <si>
    <t>LDNO HV: LV user</t>
  </si>
  <si>
    <t>LDNO HV: LV Sub user</t>
  </si>
  <si>
    <t>LDNO HV: HV user</t>
  </si>
  <si>
    <t>LDNO discounts (CDCM)</t>
  </si>
  <si>
    <t>1602. LDNO discounts (EDCM)</t>
  </si>
  <si>
    <t>x1 = 1526. LDNO discounts (EDCM)</t>
  </si>
  <si>
    <t>Special calculation</t>
  </si>
  <si>
    <t>=x1</t>
  </si>
  <si>
    <t>LV demand</t>
  </si>
  <si>
    <t>LV Sub demand or LV generation</t>
  </si>
  <si>
    <t>HV demand or LV Sub generation</t>
  </si>
  <si>
    <t>HV generation</t>
  </si>
  <si>
    <t>Boundary 0000</t>
  </si>
  <si>
    <t>Boundary 132kV</t>
  </si>
  <si>
    <t>Boundary 132kV/EHV</t>
  </si>
  <si>
    <t>Boundary EHV</t>
  </si>
  <si>
    <t>Boundary HVplus</t>
  </si>
  <si>
    <t>This document, model or dataset has been prepared by Reckon LLP on the instructions of the DCUSA Panel or one of its working</t>
  </si>
  <si>
    <t>groups.  Only the DCUSA Panel and its working groups have authority to approve this material as meeting their requirements.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</si>
  <si>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</si>
  <si>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</si>
  <si>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</si>
  <si>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</si>
  <si>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</si>
  <si>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</si>
  <si>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</si>
  <si>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</si>
  <si>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>Copyright 2009-2012 The Competitive Networks Association and others.  Copyright 2012-2016 Franck Latrémolière, Reckon LLP and others.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</si>
  <si>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</si>
  <si>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</si>
  <si>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</si>
  <si>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</si>
  <si>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</si>
  <si>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</si>
  <si>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</si>
  <si>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</si>
  <si>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</si>
  <si>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</si>
  <si>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Input data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</si>
  <si>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</si>
  <si>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</si>
  <si>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</si>
  <si>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</si>
  <si>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</si>
  <si>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</si>
  <si>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</si>
  <si>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</si>
  <si>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</si>
  <si>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</si>
  <si>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Combine tables</t>
  </si>
  <si>
    <t>CDCM</t>
  </si>
  <si>
    <t>Composite</t>
  </si>
  <si>
    <t>Sum-product calculation</t>
  </si>
  <si>
    <t>EDCM</t>
  </si>
  <si>
    <t>Results</t>
  </si>
  <si>
    <t>Technical model rules and version control</t>
  </si>
  <si>
    <t>---</t>
  </si>
  <si>
    <t>AdditionalRules:</t>
  </si>
  <si>
    <t xml:space="preserve">  - calcUnits: 1</t>
  </si>
  <si>
    <t xml:space="preserve">    dcp071: 1</t>
  </si>
  <si>
    <t xml:space="preserve">    dcp096: 1</t>
  </si>
  <si>
    <t xml:space="preserve">    dcp117: 2014</t>
  </si>
  <si>
    <t xml:space="preserve">    edcm: only</t>
  </si>
  <si>
    <t xml:space="preserve">    meav: 1</t>
  </si>
  <si>
    <t xml:space="preserve">    netCapex: 1</t>
  </si>
  <si>
    <t xml:space="preserve">    suffix: EDCM</t>
  </si>
  <si>
    <t>PerlModule: ModelM</t>
  </si>
  <si>
    <t>calcUnits: 1</t>
  </si>
  <si>
    <t>colour: orange</t>
  </si>
  <si>
    <t>dcp071: 1</t>
  </si>
  <si>
    <t>dcp095: 1</t>
  </si>
  <si>
    <t>dcp096: 1</t>
  </si>
  <si>
    <t>dcp117: 2014</t>
  </si>
  <si>
    <t>dcp118: 1</t>
  </si>
  <si>
    <t>meav: 1</t>
  </si>
  <si>
    <t>netCapex: 1</t>
  </si>
  <si>
    <t>protect: 1</t>
  </si>
  <si>
    <t>revisionText: r7184</t>
  </si>
  <si>
    <t>suffix: CDCM</t>
  </si>
  <si>
    <t>template: '%-dcp234after117231bubblefree+'</t>
  </si>
  <si>
    <t>validation: lenientnomsg</t>
  </si>
  <si>
    <t>'~codeValidation':</t>
  </si>
  <si>
    <t xml:space="preserve">  Ancillary/Validation.pm: fdb5a46b1b8fbd1573e33c165ae1cddec92c37ee</t>
  </si>
  <si>
    <t xml:space="preserve">  ModelM/Allocation.pm: 454630242882f906d355b9aea1f5c4dcaa49b6fb</t>
  </si>
  <si>
    <t xml:space="preserve">  ModelM/Dcp095.pm: 834d621bf796b28f5e8a8fdb12742cdec7f1c427</t>
  </si>
  <si>
    <t xml:space="preserve">  ModelM/Dcp118.pm: e25f866f4905f437dbfa817334171de73a23880e</t>
  </si>
  <si>
    <t xml:space="preserve">  ModelM/Edcm.pm: 67d762053e5f75bbc5f43441a13052fb1f728af4</t>
  </si>
  <si>
    <t xml:space="preserve">  ModelM/Expenditure.pm: 1e451859d6d26b1ea4ca7144ae56d83b382bbd03</t>
  </si>
  <si>
    <t xml:space="preserve">  ModelM/Inputs.pm: 1da20283132050bbba06a3a242058ac3057b8431</t>
  </si>
  <si>
    <t xml:space="preserve">  ModelM/Master.pm: 8cf09fc253f9a77fea282194219ec6761ed9bf8f</t>
  </si>
  <si>
    <t xml:space="preserve">  ModelM/Meav.pm: 46eff48c1f6db7d38a07aba44c59d5e165ec4e41</t>
  </si>
  <si>
    <t xml:space="preserve">  ModelM/NetCapex.pm: 079a998501867440c2f6107f41205b32dbc21ffe</t>
  </si>
  <si>
    <t xml:space="preserve">  ModelM/Options.pm: 83cf2f629eb7c97917fe669954f61482827fa05c</t>
  </si>
  <si>
    <t xml:space="preserve">  ModelM/Sheets.pm: 68931944e19af1c5f50b9bcb50816aa31f188f6f</t>
  </si>
  <si>
    <t xml:space="preserve">  ModelM/Units.pm: 8538e6762385523801685a4440264d873200ea1a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</si>
  <si>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</si>
  <si>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</si>
  <si>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a70b8a6803c13651eb25523266a16e2c0361494a</t>
  </si>
  <si>
    <t xml:space="preserve">  SpreadsheetModel/Custom.pm: 64258a1a23160d1b05311a838e34f4078f7516be</t>
  </si>
  <si>
    <t xml:space="preserve">  SpreadsheetModel/Dataset.pm: 935da54d42c4797016f4a08c24a5df00bb58a3c1</t>
  </si>
  <si>
    <t xml:space="preserve">  SpreadsheetModel/FormatLegend.pm: 6542b2c1f994e4aa10f155c435cabafa7a9f5778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</si>
  <si>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</si>
  <si>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</si>
  <si>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</si>
  <si>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24d52752a7a6b0625ad304bc1c73ae5fc802441f</t>
  </si>
  <si>
    <t xml:space="preserve">  SpreadsheetModel/Notes.pm: a82bea929d8353c45fe0f27cf8e0b53143664f2e</t>
  </si>
  <si>
    <t xml:space="preserve">  SpreadsheetModel/Object.pm: 4ac3ac62d98d65b85b5fb4d320fa8349421240a2</t>
  </si>
  <si>
    <t xml:space="preserve">  SpreadsheetModel/Reshape.pm: 44d60329c15bdfdf839a71781406c921808898b4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</si>
  <si>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</si>
  <si>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</si>
  <si>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</si>
  <si>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a86fea8b69669ded0707584eaf96b9dd3acbfbaa</t>
  </si>
  <si>
    <t xml:space="preserve">  SpreadsheetModel/WorkbookFormats.pm: 71c0874417913146807c525e6d45ae941e0906e8</t>
  </si>
  <si>
    <t>'~datasetName': Blank</t>
  </si>
  <si>
    <t>'~datasetSource': Empty dataset</t>
  </si>
  <si>
    <t>Generated on Mon 16 May 2016 11:48:52 by www.dcmf.co.uk</t>
  </si>
  <si>
    <t>SWAE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</si>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</sst>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Blue]General;[Red]\-General;;[Black]@"/>
    <numFmt numFmtId="165" formatCode="[Black]General;[Black]\-General;;[Black]@"/>
    <numFmt numFmtId="166" formatCode="[Black]\ _(?,??0.00%_);[Red]\ \(?,??0.00%\);;[Cyan]@"/>
    <numFmt numFmtId="167" formatCode="[Black]\ _(???,???,??0_);[Red]\ \(???,???,??0\);;[Cyan]@"/>
    <numFmt numFmtId="168" formatCode="[Black]\ _(???,??0.000_);[Red]\ \(???,??0.000\);;[Cyan]@"/>
    <numFmt numFmtId="169" formatCode="[Black]\ _(?,??0.0,,\ &quot;m&quot;_);[Red]\ \(?,??0.0,,\ &quot;m&quot;\);;[Cyan]@"/>
  </numFmts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/>
    <xf numFmtId="164" fontId="0" fillId="8" borderId="0" xfId="0" applyNumberFormat="1" applyFill="1"/>
    <xf numFmtId="0" fontId="4" fillId="0" borderId="1" xfId="0" applyFont="1" applyBorder="1"/>
    <xf numFmtId="164" fontId="2" fillId="2" borderId="0" xfId="0" applyNumberFormat="1" applyFont="1" applyFill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7" fontId="3" fillId="3" borderId="0" xfId="0" applyNumberFormat="1" applyFont="1" applyFill="1" applyAlignment="1" applyProtection="1">
      <alignment horizontal="center"/>
      <protection locked="0"/>
    </xf>
    <xf numFmtId="168" fontId="3" fillId="3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/>
    <xf numFmtId="167" fontId="3" fillId="6" borderId="0" xfId="0" applyNumberFormat="1" applyFont="1" applyFill="1" applyAlignment="1">
      <alignment horizontal="center"/>
    </xf>
    <xf numFmtId="49" fontId="0" fillId="0" borderId="2" xfId="0" applyNumberFormat="1" applyBorder="1" applyAlignment="1">
      <alignment horizontal="centerContinuous" wrapText="1"/>
    </xf>
    <xf numFmtId="167" fontId="3" fillId="5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7" fontId="3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164" fontId="6" fillId="2" borderId="0" xfId="0" applyNumberFormat="1" applyFont="1" applyFill="1" applyAlignment="1">
      <alignment horizontal="left"/>
    </xf>
    <xf numFmtId="169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1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"Index for "&amp;Input!B7&amp;" in "&amp;Input!C7&amp;" ("&amp;Input!D7&amp;")"</f>
        <v>Index for SWAE in 2018/19 (no data version)</v>
      </c>
    </row>
    <row r="2" spans="1:1" x14ac:dyDescent="0.25">
      <c r="A2" s="2"/>
    </row>
    <row r="3" spans="1:1" x14ac:dyDescent="0.25">
      <c r="A3" s="2" t="s">
        <v>526</v>
      </c>
    </row>
    <row r="4" spans="1:1" x14ac:dyDescent="0.25">
      <c r="A4" s="2" t="s">
        <v>527</v>
      </c>
    </row>
    <row r="5" spans="1:1" x14ac:dyDescent="0.25">
      <c r="A5" s="2" t="s">
        <v>528</v>
      </c>
    </row>
    <row r="6" spans="1:1" x14ac:dyDescent="0.25">
      <c r="A6" s="2" t="s">
        <v>529</v>
      </c>
    </row>
    <row r="7" spans="1:1" x14ac:dyDescent="0.25">
      <c r="A7" s="2"/>
    </row>
    <row r="8" spans="1:1" x14ac:dyDescent="0.25">
      <c r="A8" s="3" t="s">
        <v>530</v>
      </c>
    </row>
    <row r="9" spans="1:1" x14ac:dyDescent="0.25">
      <c r="A9" s="2"/>
    </row>
    <row r="10" spans="1:1" x14ac:dyDescent="0.25">
      <c r="A10" s="2" t="s">
        <v>531</v>
      </c>
    </row>
    <row r="11" spans="1:1" x14ac:dyDescent="0.25">
      <c r="A11" s="2" t="s">
        <v>532</v>
      </c>
    </row>
    <row r="12" spans="1:1" x14ac:dyDescent="0.25">
      <c r="A12" s="2" t="s">
        <v>533</v>
      </c>
    </row>
    <row r="13" spans="1:1" x14ac:dyDescent="0.25">
      <c r="A13" s="2" t="s">
        <v>534</v>
      </c>
    </row>
    <row r="14" spans="1:1" x14ac:dyDescent="0.25">
      <c r="A14" s="2" t="s">
        <v>535</v>
      </c>
    </row>
    <row r="16" spans="1:1" x14ac:dyDescent="0.25">
      <c r="A16" s="2" t="s">
        <v>536</v>
      </c>
    </row>
    <row r="17" spans="1:3" x14ac:dyDescent="0.25">
      <c r="A17" s="2" t="s">
        <v>537</v>
      </c>
    </row>
    <row r="18" spans="1:3" x14ac:dyDescent="0.25">
      <c r="A18" s="2" t="s">
        <v>538</v>
      </c>
      <c r="C18" s="4" t="s">
        <v>546</v>
      </c>
    </row>
    <row r="19" spans="1:3" x14ac:dyDescent="0.25">
      <c r="A19" s="2" t="s">
        <v>539</v>
      </c>
      <c r="C19" s="5" t="s">
        <v>547</v>
      </c>
    </row>
    <row r="20" spans="1:3" x14ac:dyDescent="0.25">
      <c r="A20" s="2" t="s">
        <v>540</v>
      </c>
      <c r="C20" s="6" t="s">
        <v>548</v>
      </c>
    </row>
    <row r="21" spans="1:3" x14ac:dyDescent="0.25">
      <c r="A21" s="2" t="s">
        <v>541</v>
      </c>
      <c r="C21" s="7" t="s">
        <v>549</v>
      </c>
    </row>
    <row r="22" spans="1:3" x14ac:dyDescent="0.25">
      <c r="A22" s="2" t="s">
        <v>542</v>
      </c>
      <c r="C22" s="8" t="s">
        <v>550</v>
      </c>
    </row>
    <row r="23" spans="1:3" x14ac:dyDescent="0.25">
      <c r="A23" s="2" t="s">
        <v>543</v>
      </c>
      <c r="C23" s="9" t="s">
        <v>551</v>
      </c>
    </row>
    <row r="24" spans="1:3" x14ac:dyDescent="0.25">
      <c r="A24" s="2" t="s">
        <v>544</v>
      </c>
      <c r="C24" s="10" t="s">
        <v>552</v>
      </c>
    </row>
    <row r="25" spans="1:3" x14ac:dyDescent="0.25">
      <c r="A25" s="2" t="s">
        <v>545</v>
      </c>
      <c r="C25" s="11" t="s">
        <v>553</v>
      </c>
    </row>
    <row r="27" spans="1:3" x14ac:dyDescent="0.25">
      <c r="A27" s="12" t="s">
        <v>554</v>
      </c>
      <c r="B27" s="12" t="s">
        <v>555</v>
      </c>
      <c r="C27" s="12" t="s">
        <v>556</v>
      </c>
    </row>
    <row r="28" spans="1:3" x14ac:dyDescent="0.25">
      <c r="A28" s="13" t="s">
        <v>557</v>
      </c>
      <c r="B28" s="14" t="s">
        <v>0</v>
      </c>
      <c r="C28" s="13" t="s">
        <v>547</v>
      </c>
    </row>
    <row r="29" spans="1:3" x14ac:dyDescent="0.25">
      <c r="A29" s="13" t="s">
        <v>557</v>
      </c>
      <c r="B29" s="14" t="s">
        <v>6</v>
      </c>
      <c r="C29" s="13" t="s">
        <v>547</v>
      </c>
    </row>
    <row r="30" spans="1:3" x14ac:dyDescent="0.25">
      <c r="A30" s="13" t="s">
        <v>557</v>
      </c>
      <c r="B30" s="14" t="s">
        <v>9</v>
      </c>
      <c r="C30" s="13" t="s">
        <v>547</v>
      </c>
    </row>
    <row r="31" spans="1:3" x14ac:dyDescent="0.25">
      <c r="A31" s="13" t="s">
        <v>557</v>
      </c>
      <c r="B31" s="14" t="s">
        <v>12</v>
      </c>
      <c r="C31" s="13" t="s">
        <v>547</v>
      </c>
    </row>
    <row r="32" spans="1:3" x14ac:dyDescent="0.25">
      <c r="A32" s="13" t="s">
        <v>557</v>
      </c>
      <c r="B32" s="14" t="s">
        <v>18</v>
      </c>
      <c r="C32" s="13" t="s">
        <v>547</v>
      </c>
    </row>
    <row r="33" spans="1:3" x14ac:dyDescent="0.25">
      <c r="A33" s="13" t="s">
        <v>557</v>
      </c>
      <c r="B33" s="14" t="s">
        <v>23</v>
      </c>
      <c r="C33" s="13" t="s">
        <v>547</v>
      </c>
    </row>
    <row r="34" spans="1:3" x14ac:dyDescent="0.25">
      <c r="A34" s="13" t="s">
        <v>557</v>
      </c>
      <c r="B34" s="14" t="s">
        <v>29</v>
      </c>
      <c r="C34" s="13" t="s">
        <v>547</v>
      </c>
    </row>
    <row r="35" spans="1:3" x14ac:dyDescent="0.25">
      <c r="A35" s="13" t="s">
        <v>557</v>
      </c>
      <c r="B35" s="14" t="s">
        <v>32</v>
      </c>
      <c r="C35" s="13" t="s">
        <v>547</v>
      </c>
    </row>
    <row r="36" spans="1:3" x14ac:dyDescent="0.25">
      <c r="A36" s="13" t="s">
        <v>557</v>
      </c>
      <c r="B36" s="14" t="s">
        <v>35</v>
      </c>
      <c r="C36" s="13" t="s">
        <v>547</v>
      </c>
    </row>
    <row r="37" spans="1:3" x14ac:dyDescent="0.25">
      <c r="A37" s="13" t="s">
        <v>557</v>
      </c>
      <c r="B37" s="14" t="s">
        <v>41</v>
      </c>
      <c r="C37" s="13" t="s">
        <v>547</v>
      </c>
    </row>
    <row r="38" spans="1:3" x14ac:dyDescent="0.25">
      <c r="A38" s="13" t="s">
        <v>557</v>
      </c>
      <c r="B38" s="14" t="s">
        <v>76</v>
      </c>
      <c r="C38" s="13" t="s">
        <v>547</v>
      </c>
    </row>
    <row r="39" spans="1:3" x14ac:dyDescent="0.25">
      <c r="A39" s="13" t="s">
        <v>557</v>
      </c>
      <c r="B39" s="14" t="s">
        <v>90</v>
      </c>
      <c r="C39" s="13" t="s">
        <v>547</v>
      </c>
    </row>
    <row r="40" spans="1:3" x14ac:dyDescent="0.25">
      <c r="A40" s="13" t="s">
        <v>557</v>
      </c>
      <c r="B40" s="14" t="s">
        <v>93</v>
      </c>
      <c r="C40" s="13" t="s">
        <v>547</v>
      </c>
    </row>
    <row r="41" spans="1:3" x14ac:dyDescent="0.25">
      <c r="A41" s="13" t="s">
        <v>557</v>
      </c>
      <c r="B41" s="14" t="s">
        <v>97</v>
      </c>
      <c r="C41" s="13" t="s">
        <v>547</v>
      </c>
    </row>
    <row r="42" spans="1:3" x14ac:dyDescent="0.25">
      <c r="A42" s="13" t="s">
        <v>557</v>
      </c>
      <c r="B42" s="14" t="s">
        <v>186</v>
      </c>
      <c r="C42" s="13" t="s">
        <v>547</v>
      </c>
    </row>
    <row r="43" spans="1:3" x14ac:dyDescent="0.25">
      <c r="A43" s="13" t="s">
        <v>557</v>
      </c>
      <c r="B43" s="14" t="s">
        <v>192</v>
      </c>
      <c r="C43" s="13" t="s">
        <v>547</v>
      </c>
    </row>
    <row r="44" spans="1:3" x14ac:dyDescent="0.25">
      <c r="A44" s="13" t="s">
        <v>559</v>
      </c>
      <c r="B44" s="14" t="s">
        <v>196</v>
      </c>
      <c r="C44" s="13" t="s">
        <v>558</v>
      </c>
    </row>
    <row r="45" spans="1:3" x14ac:dyDescent="0.25">
      <c r="A45" s="13" t="s">
        <v>559</v>
      </c>
      <c r="B45" s="14" t="s">
        <v>201</v>
      </c>
      <c r="C45" s="13" t="s">
        <v>560</v>
      </c>
    </row>
    <row r="46" spans="1:3" x14ac:dyDescent="0.25">
      <c r="A46" s="13" t="s">
        <v>559</v>
      </c>
      <c r="B46" s="14" t="s">
        <v>211</v>
      </c>
      <c r="C46" s="13" t="s">
        <v>222</v>
      </c>
    </row>
    <row r="47" spans="1:3" x14ac:dyDescent="0.25">
      <c r="A47" s="13" t="s">
        <v>559</v>
      </c>
      <c r="B47" s="14" t="s">
        <v>218</v>
      </c>
      <c r="C47" s="13" t="s">
        <v>560</v>
      </c>
    </row>
    <row r="48" spans="1:3" x14ac:dyDescent="0.25">
      <c r="A48" s="13" t="s">
        <v>559</v>
      </c>
      <c r="B48" s="14" t="s">
        <v>229</v>
      </c>
      <c r="C48" s="13" t="s">
        <v>561</v>
      </c>
    </row>
    <row r="49" spans="1:3" x14ac:dyDescent="0.25">
      <c r="A49" s="13" t="s">
        <v>559</v>
      </c>
      <c r="B49" s="14" t="s">
        <v>234</v>
      </c>
      <c r="C49" s="13" t="s">
        <v>221</v>
      </c>
    </row>
    <row r="50" spans="1:3" x14ac:dyDescent="0.25">
      <c r="A50" s="13" t="s">
        <v>559</v>
      </c>
      <c r="B50" s="14" t="s">
        <v>238</v>
      </c>
      <c r="C50" s="13" t="s">
        <v>222</v>
      </c>
    </row>
    <row r="51" spans="1:3" x14ac:dyDescent="0.25">
      <c r="A51" s="13" t="s">
        <v>559</v>
      </c>
      <c r="B51" s="14" t="s">
        <v>240</v>
      </c>
      <c r="C51" s="13" t="s">
        <v>221</v>
      </c>
    </row>
    <row r="52" spans="1:3" x14ac:dyDescent="0.25">
      <c r="A52" s="13" t="s">
        <v>559</v>
      </c>
      <c r="B52" s="14" t="s">
        <v>246</v>
      </c>
      <c r="C52" s="13" t="s">
        <v>558</v>
      </c>
    </row>
    <row r="53" spans="1:3" x14ac:dyDescent="0.25">
      <c r="A53" s="13" t="s">
        <v>559</v>
      </c>
      <c r="B53" s="14" t="s">
        <v>250</v>
      </c>
      <c r="C53" s="13" t="s">
        <v>221</v>
      </c>
    </row>
    <row r="54" spans="1:3" x14ac:dyDescent="0.25">
      <c r="A54" s="13" t="s">
        <v>559</v>
      </c>
      <c r="B54" s="14" t="s">
        <v>255</v>
      </c>
      <c r="C54" s="13" t="s">
        <v>222</v>
      </c>
    </row>
    <row r="55" spans="1:3" x14ac:dyDescent="0.25">
      <c r="A55" s="13" t="s">
        <v>559</v>
      </c>
      <c r="B55" s="14" t="s">
        <v>257</v>
      </c>
      <c r="C55" s="13" t="s">
        <v>222</v>
      </c>
    </row>
    <row r="56" spans="1:3" x14ac:dyDescent="0.25">
      <c r="A56" s="13" t="s">
        <v>559</v>
      </c>
      <c r="B56" s="14" t="s">
        <v>259</v>
      </c>
      <c r="C56" s="13" t="s">
        <v>221</v>
      </c>
    </row>
    <row r="57" spans="1:3" x14ac:dyDescent="0.25">
      <c r="A57" s="13" t="s">
        <v>559</v>
      </c>
      <c r="B57" s="14" t="s">
        <v>265</v>
      </c>
      <c r="C57" s="13" t="s">
        <v>221</v>
      </c>
    </row>
    <row r="58" spans="1:3" x14ac:dyDescent="0.25">
      <c r="A58" s="13" t="s">
        <v>559</v>
      </c>
      <c r="B58" s="14" t="s">
        <v>270</v>
      </c>
      <c r="C58" s="13" t="s">
        <v>205</v>
      </c>
    </row>
    <row r="59" spans="1:3" x14ac:dyDescent="0.25">
      <c r="A59" s="13" t="s">
        <v>559</v>
      </c>
      <c r="B59" s="14" t="s">
        <v>273</v>
      </c>
      <c r="C59" s="13" t="s">
        <v>221</v>
      </c>
    </row>
    <row r="60" spans="1:3" x14ac:dyDescent="0.25">
      <c r="A60" s="13" t="s">
        <v>559</v>
      </c>
      <c r="B60" s="14" t="s">
        <v>277</v>
      </c>
      <c r="C60" s="13" t="s">
        <v>221</v>
      </c>
    </row>
    <row r="61" spans="1:3" x14ac:dyDescent="0.25">
      <c r="A61" s="13" t="s">
        <v>559</v>
      </c>
      <c r="B61" s="14" t="s">
        <v>281</v>
      </c>
      <c r="C61" s="13" t="s">
        <v>221</v>
      </c>
    </row>
    <row r="62" spans="1:3" x14ac:dyDescent="0.25">
      <c r="A62" s="13" t="s">
        <v>559</v>
      </c>
      <c r="B62" s="14" t="s">
        <v>285</v>
      </c>
      <c r="C62" s="13" t="s">
        <v>221</v>
      </c>
    </row>
    <row r="63" spans="1:3" x14ac:dyDescent="0.25">
      <c r="A63" s="13" t="s">
        <v>559</v>
      </c>
      <c r="B63" s="14" t="s">
        <v>288</v>
      </c>
      <c r="C63" s="13" t="s">
        <v>558</v>
      </c>
    </row>
    <row r="64" spans="1:3" x14ac:dyDescent="0.25">
      <c r="A64" s="13" t="s">
        <v>559</v>
      </c>
      <c r="B64" s="14" t="s">
        <v>293</v>
      </c>
      <c r="C64" s="13" t="s">
        <v>221</v>
      </c>
    </row>
    <row r="65" spans="1:3" x14ac:dyDescent="0.25">
      <c r="A65" s="13" t="s">
        <v>559</v>
      </c>
      <c r="B65" s="14" t="s">
        <v>296</v>
      </c>
      <c r="C65" s="13" t="s">
        <v>206</v>
      </c>
    </row>
    <row r="66" spans="1:3" x14ac:dyDescent="0.25">
      <c r="A66" s="13" t="s">
        <v>559</v>
      </c>
      <c r="B66" s="14" t="s">
        <v>300</v>
      </c>
      <c r="C66" s="13" t="s">
        <v>221</v>
      </c>
    </row>
    <row r="67" spans="1:3" x14ac:dyDescent="0.25">
      <c r="A67" s="13" t="s">
        <v>559</v>
      </c>
      <c r="B67" s="14" t="s">
        <v>303</v>
      </c>
      <c r="C67" s="13" t="s">
        <v>515</v>
      </c>
    </row>
    <row r="68" spans="1:3" x14ac:dyDescent="0.25">
      <c r="A68" s="13" t="s">
        <v>559</v>
      </c>
      <c r="B68" s="14" t="s">
        <v>307</v>
      </c>
      <c r="C68" s="13" t="s">
        <v>221</v>
      </c>
    </row>
    <row r="69" spans="1:3" x14ac:dyDescent="0.25">
      <c r="A69" s="13" t="s">
        <v>559</v>
      </c>
      <c r="B69" s="14" t="s">
        <v>310</v>
      </c>
      <c r="C69" s="13" t="s">
        <v>205</v>
      </c>
    </row>
    <row r="70" spans="1:3" x14ac:dyDescent="0.25">
      <c r="A70" s="13" t="s">
        <v>559</v>
      </c>
      <c r="B70" s="14" t="s">
        <v>313</v>
      </c>
      <c r="C70" s="13" t="s">
        <v>221</v>
      </c>
    </row>
    <row r="71" spans="1:3" x14ac:dyDescent="0.25">
      <c r="A71" s="13" t="s">
        <v>559</v>
      </c>
      <c r="B71" s="14" t="s">
        <v>317</v>
      </c>
      <c r="C71" s="13" t="s">
        <v>221</v>
      </c>
    </row>
    <row r="72" spans="1:3" x14ac:dyDescent="0.25">
      <c r="A72" s="13" t="s">
        <v>559</v>
      </c>
      <c r="B72" s="14" t="s">
        <v>319</v>
      </c>
      <c r="C72" s="13" t="s">
        <v>558</v>
      </c>
    </row>
    <row r="73" spans="1:3" x14ac:dyDescent="0.25">
      <c r="A73" s="13" t="s">
        <v>559</v>
      </c>
      <c r="B73" s="14" t="s">
        <v>324</v>
      </c>
      <c r="C73" s="13" t="s">
        <v>221</v>
      </c>
    </row>
    <row r="74" spans="1:3" x14ac:dyDescent="0.25">
      <c r="A74" s="13" t="s">
        <v>559</v>
      </c>
      <c r="B74" s="14" t="s">
        <v>330</v>
      </c>
      <c r="C74" s="13" t="s">
        <v>221</v>
      </c>
    </row>
    <row r="75" spans="1:3" x14ac:dyDescent="0.25">
      <c r="A75" s="13" t="s">
        <v>559</v>
      </c>
      <c r="B75" s="14" t="s">
        <v>334</v>
      </c>
      <c r="C75" s="13" t="s">
        <v>221</v>
      </c>
    </row>
    <row r="76" spans="1:3" x14ac:dyDescent="0.25">
      <c r="A76" s="13" t="s">
        <v>559</v>
      </c>
      <c r="B76" s="14" t="s">
        <v>340</v>
      </c>
      <c r="C76" s="13" t="s">
        <v>515</v>
      </c>
    </row>
    <row r="77" spans="1:3" x14ac:dyDescent="0.25">
      <c r="A77" s="13" t="s">
        <v>559</v>
      </c>
      <c r="B77" s="14" t="s">
        <v>344</v>
      </c>
      <c r="C77" s="13" t="s">
        <v>561</v>
      </c>
    </row>
    <row r="78" spans="1:3" x14ac:dyDescent="0.25">
      <c r="A78" s="13" t="s">
        <v>559</v>
      </c>
      <c r="B78" s="14" t="s">
        <v>347</v>
      </c>
      <c r="C78" s="13" t="s">
        <v>205</v>
      </c>
    </row>
    <row r="79" spans="1:3" x14ac:dyDescent="0.25">
      <c r="A79" s="13" t="s">
        <v>559</v>
      </c>
      <c r="B79" s="14" t="s">
        <v>350</v>
      </c>
      <c r="C79" s="13" t="s">
        <v>205</v>
      </c>
    </row>
    <row r="80" spans="1:3" x14ac:dyDescent="0.25">
      <c r="A80" s="13" t="s">
        <v>559</v>
      </c>
      <c r="B80" s="14" t="s">
        <v>353</v>
      </c>
      <c r="C80" s="13" t="s">
        <v>205</v>
      </c>
    </row>
    <row r="81" spans="1:3" x14ac:dyDescent="0.25">
      <c r="A81" s="13" t="s">
        <v>559</v>
      </c>
      <c r="B81" s="14" t="s">
        <v>354</v>
      </c>
      <c r="C81" s="13" t="s">
        <v>558</v>
      </c>
    </row>
    <row r="82" spans="1:3" x14ac:dyDescent="0.25">
      <c r="A82" s="13" t="s">
        <v>559</v>
      </c>
      <c r="B82" s="14" t="s">
        <v>359</v>
      </c>
      <c r="C82" s="13" t="s">
        <v>221</v>
      </c>
    </row>
    <row r="83" spans="1:3" x14ac:dyDescent="0.25">
      <c r="A83" s="13" t="s">
        <v>559</v>
      </c>
      <c r="B83" s="14" t="s">
        <v>368</v>
      </c>
      <c r="C83" s="13" t="s">
        <v>221</v>
      </c>
    </row>
    <row r="84" spans="1:3" x14ac:dyDescent="0.25">
      <c r="A84" s="13" t="s">
        <v>559</v>
      </c>
      <c r="B84" s="14" t="s">
        <v>374</v>
      </c>
      <c r="C84" s="13" t="s">
        <v>221</v>
      </c>
    </row>
    <row r="85" spans="1:3" x14ac:dyDescent="0.25">
      <c r="A85" s="13" t="s">
        <v>559</v>
      </c>
      <c r="B85" s="14" t="s">
        <v>379</v>
      </c>
      <c r="C85" s="13" t="s">
        <v>205</v>
      </c>
    </row>
    <row r="86" spans="1:3" x14ac:dyDescent="0.25">
      <c r="A86" s="13" t="s">
        <v>559</v>
      </c>
      <c r="B86" s="14" t="s">
        <v>386</v>
      </c>
      <c r="C86" s="13" t="s">
        <v>221</v>
      </c>
    </row>
    <row r="87" spans="1:3" x14ac:dyDescent="0.25">
      <c r="A87" s="13" t="s">
        <v>559</v>
      </c>
      <c r="B87" s="14" t="s">
        <v>388</v>
      </c>
      <c r="C87" s="13" t="s">
        <v>561</v>
      </c>
    </row>
    <row r="88" spans="1:3" x14ac:dyDescent="0.25">
      <c r="A88" s="13" t="s">
        <v>559</v>
      </c>
      <c r="B88" s="14" t="s">
        <v>392</v>
      </c>
      <c r="C88" s="13" t="s">
        <v>206</v>
      </c>
    </row>
    <row r="89" spans="1:3" x14ac:dyDescent="0.25">
      <c r="A89" s="13" t="s">
        <v>559</v>
      </c>
      <c r="B89" s="14" t="s">
        <v>394</v>
      </c>
      <c r="C89" s="13" t="s">
        <v>221</v>
      </c>
    </row>
    <row r="90" spans="1:3" x14ac:dyDescent="0.25">
      <c r="A90" s="13" t="s">
        <v>559</v>
      </c>
      <c r="B90" s="14" t="s">
        <v>399</v>
      </c>
      <c r="C90" s="13" t="s">
        <v>205</v>
      </c>
    </row>
    <row r="91" spans="1:3" x14ac:dyDescent="0.25">
      <c r="A91" s="13" t="s">
        <v>562</v>
      </c>
      <c r="B91" s="14" t="s">
        <v>404</v>
      </c>
      <c r="C91" s="13" t="s">
        <v>221</v>
      </c>
    </row>
    <row r="92" spans="1:3" x14ac:dyDescent="0.25">
      <c r="A92" s="13" t="s">
        <v>562</v>
      </c>
      <c r="B92" s="14" t="s">
        <v>406</v>
      </c>
      <c r="C92" s="13" t="s">
        <v>221</v>
      </c>
    </row>
    <row r="93" spans="1:3" x14ac:dyDescent="0.25">
      <c r="A93" s="13" t="s">
        <v>562</v>
      </c>
      <c r="B93" s="14" t="s">
        <v>409</v>
      </c>
      <c r="C93" s="13" t="s">
        <v>221</v>
      </c>
    </row>
    <row r="94" spans="1:3" x14ac:dyDescent="0.25">
      <c r="A94" s="13" t="s">
        <v>562</v>
      </c>
      <c r="B94" s="14" t="s">
        <v>411</v>
      </c>
      <c r="C94" s="13" t="s">
        <v>561</v>
      </c>
    </row>
    <row r="95" spans="1:3" x14ac:dyDescent="0.25">
      <c r="A95" s="13" t="s">
        <v>562</v>
      </c>
      <c r="B95" s="14" t="s">
        <v>413</v>
      </c>
      <c r="C95" s="13" t="s">
        <v>206</v>
      </c>
    </row>
    <row r="96" spans="1:3" x14ac:dyDescent="0.25">
      <c r="A96" s="13" t="s">
        <v>562</v>
      </c>
      <c r="B96" s="14" t="s">
        <v>414</v>
      </c>
      <c r="C96" s="13" t="s">
        <v>221</v>
      </c>
    </row>
    <row r="97" spans="1:3" x14ac:dyDescent="0.25">
      <c r="A97" s="13" t="s">
        <v>562</v>
      </c>
      <c r="B97" s="14" t="s">
        <v>417</v>
      </c>
      <c r="C97" s="13" t="s">
        <v>515</v>
      </c>
    </row>
    <row r="98" spans="1:3" x14ac:dyDescent="0.25">
      <c r="A98" s="13" t="s">
        <v>562</v>
      </c>
      <c r="B98" s="14" t="s">
        <v>423</v>
      </c>
      <c r="C98" s="13" t="s">
        <v>205</v>
      </c>
    </row>
    <row r="99" spans="1:3" x14ac:dyDescent="0.25">
      <c r="A99" s="13" t="s">
        <v>562</v>
      </c>
      <c r="B99" s="14" t="s">
        <v>429</v>
      </c>
      <c r="C99" s="13" t="s">
        <v>205</v>
      </c>
    </row>
    <row r="100" spans="1:3" x14ac:dyDescent="0.25">
      <c r="A100" s="13" t="s">
        <v>562</v>
      </c>
      <c r="B100" s="14" t="s">
        <v>434</v>
      </c>
      <c r="C100" s="13" t="s">
        <v>558</v>
      </c>
    </row>
    <row r="101" spans="1:3" x14ac:dyDescent="0.25">
      <c r="A101" s="13" t="s">
        <v>562</v>
      </c>
      <c r="B101" s="14" t="s">
        <v>450</v>
      </c>
      <c r="C101" s="13" t="s">
        <v>560</v>
      </c>
    </row>
    <row r="102" spans="1:3" x14ac:dyDescent="0.25">
      <c r="A102" s="13" t="s">
        <v>562</v>
      </c>
      <c r="B102" s="14" t="s">
        <v>453</v>
      </c>
      <c r="C102" s="13" t="s">
        <v>561</v>
      </c>
    </row>
    <row r="103" spans="1:3" x14ac:dyDescent="0.25">
      <c r="A103" s="13" t="s">
        <v>562</v>
      </c>
      <c r="B103" s="14" t="s">
        <v>456</v>
      </c>
      <c r="C103" s="13" t="s">
        <v>221</v>
      </c>
    </row>
    <row r="104" spans="1:3" x14ac:dyDescent="0.25">
      <c r="A104" s="13" t="s">
        <v>562</v>
      </c>
      <c r="B104" s="14" t="s">
        <v>458</v>
      </c>
      <c r="C104" s="13" t="s">
        <v>221</v>
      </c>
    </row>
    <row r="105" spans="1:3" x14ac:dyDescent="0.25">
      <c r="A105" s="13" t="s">
        <v>562</v>
      </c>
      <c r="B105" s="14" t="s">
        <v>459</v>
      </c>
      <c r="C105" s="13" t="s">
        <v>206</v>
      </c>
    </row>
    <row r="106" spans="1:3" x14ac:dyDescent="0.25">
      <c r="A106" s="13" t="s">
        <v>562</v>
      </c>
      <c r="B106" s="14" t="s">
        <v>461</v>
      </c>
      <c r="C106" s="13" t="s">
        <v>221</v>
      </c>
    </row>
    <row r="107" spans="1:3" x14ac:dyDescent="0.25">
      <c r="A107" s="13" t="s">
        <v>562</v>
      </c>
      <c r="B107" s="14" t="s">
        <v>463</v>
      </c>
      <c r="C107" s="13" t="s">
        <v>221</v>
      </c>
    </row>
    <row r="108" spans="1:3" x14ac:dyDescent="0.25">
      <c r="A108" s="13" t="s">
        <v>562</v>
      </c>
      <c r="B108" s="14" t="s">
        <v>467</v>
      </c>
      <c r="C108" s="13" t="s">
        <v>221</v>
      </c>
    </row>
    <row r="109" spans="1:3" x14ac:dyDescent="0.25">
      <c r="A109" s="13" t="s">
        <v>562</v>
      </c>
      <c r="B109" s="14" t="s">
        <v>468</v>
      </c>
      <c r="C109" s="13" t="s">
        <v>221</v>
      </c>
    </row>
    <row r="110" spans="1:3" x14ac:dyDescent="0.25">
      <c r="A110" s="13" t="s">
        <v>562</v>
      </c>
      <c r="B110" s="14" t="s">
        <v>471</v>
      </c>
      <c r="C110" s="13" t="s">
        <v>205</v>
      </c>
    </row>
    <row r="111" spans="1:3" x14ac:dyDescent="0.25">
      <c r="A111" s="13" t="s">
        <v>562</v>
      </c>
      <c r="B111" s="14" t="s">
        <v>474</v>
      </c>
      <c r="C111" s="13" t="s">
        <v>221</v>
      </c>
    </row>
    <row r="112" spans="1:3" x14ac:dyDescent="0.25">
      <c r="A112" s="13" t="s">
        <v>562</v>
      </c>
      <c r="B112" s="14" t="s">
        <v>478</v>
      </c>
      <c r="C112" s="13" t="s">
        <v>558</v>
      </c>
    </row>
    <row r="113" spans="1:3" x14ac:dyDescent="0.25">
      <c r="A113" s="13" t="s">
        <v>562</v>
      </c>
      <c r="B113" s="14" t="s">
        <v>482</v>
      </c>
      <c r="C113" s="13" t="s">
        <v>561</v>
      </c>
    </row>
    <row r="114" spans="1:3" x14ac:dyDescent="0.25">
      <c r="A114" s="13" t="s">
        <v>562</v>
      </c>
      <c r="B114" s="14" t="s">
        <v>486</v>
      </c>
      <c r="C114" s="13" t="s">
        <v>222</v>
      </c>
    </row>
    <row r="115" spans="1:3" x14ac:dyDescent="0.25">
      <c r="A115" s="13" t="s">
        <v>562</v>
      </c>
      <c r="B115" s="14" t="s">
        <v>487</v>
      </c>
      <c r="C115" s="13" t="s">
        <v>561</v>
      </c>
    </row>
    <row r="116" spans="1:3" x14ac:dyDescent="0.25">
      <c r="A116" s="13" t="s">
        <v>562</v>
      </c>
      <c r="B116" s="14" t="s">
        <v>490</v>
      </c>
      <c r="C116" s="13" t="s">
        <v>221</v>
      </c>
    </row>
    <row r="117" spans="1:3" x14ac:dyDescent="0.25">
      <c r="A117" s="13" t="s">
        <v>563</v>
      </c>
      <c r="B117" s="14" t="s">
        <v>495</v>
      </c>
      <c r="C117" s="13" t="s">
        <v>221</v>
      </c>
    </row>
    <row r="118" spans="1:3" x14ac:dyDescent="0.25">
      <c r="A118" s="13" t="s">
        <v>563</v>
      </c>
      <c r="B118" s="14" t="s">
        <v>513</v>
      </c>
      <c r="C118" s="13" t="s">
        <v>515</v>
      </c>
    </row>
    <row r="120" spans="1:3" ht="21" customHeight="1" x14ac:dyDescent="0.3">
      <c r="A120" s="1" t="s">
        <v>564</v>
      </c>
    </row>
    <row r="121" spans="1:3" x14ac:dyDescent="0.25">
      <c r="A121" s="2" t="s">
        <v>565</v>
      </c>
    </row>
    <row r="122" spans="1:3" x14ac:dyDescent="0.25">
      <c r="A122" s="2" t="s">
        <v>566</v>
      </c>
    </row>
    <row r="123" spans="1:3" x14ac:dyDescent="0.25">
      <c r="A123" s="2" t="s">
        <v>567</v>
      </c>
    </row>
    <row r="124" spans="1:3" x14ac:dyDescent="0.25">
      <c r="A124" s="2" t="s">
        <v>568</v>
      </c>
    </row>
    <row r="125" spans="1:3" x14ac:dyDescent="0.25">
      <c r="A125" s="2" t="s">
        <v>569</v>
      </c>
    </row>
    <row r="126" spans="1:3" x14ac:dyDescent="0.25">
      <c r="A126" s="2" t="s">
        <v>570</v>
      </c>
    </row>
    <row r="127" spans="1:3" x14ac:dyDescent="0.25">
      <c r="A127" s="2" t="s">
        <v>571</v>
      </c>
    </row>
    <row r="128" spans="1:3" x14ac:dyDescent="0.25">
      <c r="A128" s="2" t="s">
        <v>572</v>
      </c>
    </row>
    <row r="129" spans="1:1" x14ac:dyDescent="0.25">
      <c r="A129" s="2" t="s">
        <v>573</v>
      </c>
    </row>
    <row r="130" spans="1:1" x14ac:dyDescent="0.25">
      <c r="A130" s="2" t="s">
        <v>574</v>
      </c>
    </row>
    <row r="131" spans="1:1" x14ac:dyDescent="0.25">
      <c r="A131" s="2" t="s">
        <v>575</v>
      </c>
    </row>
    <row r="132" spans="1:1" x14ac:dyDescent="0.25">
      <c r="A132" s="2" t="s">
        <v>576</v>
      </c>
    </row>
    <row r="133" spans="1:1" x14ac:dyDescent="0.25">
      <c r="A133" s="2" t="s">
        <v>577</v>
      </c>
    </row>
    <row r="134" spans="1:1" x14ac:dyDescent="0.25">
      <c r="A134" s="2" t="s">
        <v>578</v>
      </c>
    </row>
    <row r="135" spans="1:1" x14ac:dyDescent="0.25">
      <c r="A135" s="2" t="s">
        <v>579</v>
      </c>
    </row>
    <row r="136" spans="1:1" x14ac:dyDescent="0.25">
      <c r="A136" s="2" t="s">
        <v>580</v>
      </c>
    </row>
    <row r="137" spans="1:1" x14ac:dyDescent="0.25">
      <c r="A137" s="2" t="s">
        <v>581</v>
      </c>
    </row>
    <row r="138" spans="1:1" x14ac:dyDescent="0.25">
      <c r="A138" s="2" t="s">
        <v>582</v>
      </c>
    </row>
    <row r="139" spans="1:1" x14ac:dyDescent="0.25">
      <c r="A139" s="2" t="s">
        <v>583</v>
      </c>
    </row>
    <row r="140" spans="1:1" x14ac:dyDescent="0.25">
      <c r="A140" s="2" t="s">
        <v>584</v>
      </c>
    </row>
    <row r="141" spans="1:1" x14ac:dyDescent="0.25">
      <c r="A141" s="2" t="s">
        <v>585</v>
      </c>
    </row>
    <row r="142" spans="1:1" x14ac:dyDescent="0.25">
      <c r="A142" s="2" t="s">
        <v>586</v>
      </c>
    </row>
    <row r="143" spans="1:1" x14ac:dyDescent="0.25">
      <c r="A143" s="2" t="s">
        <v>587</v>
      </c>
    </row>
    <row r="144" spans="1:1" x14ac:dyDescent="0.25">
      <c r="A144" s="2" t="s">
        <v>588</v>
      </c>
    </row>
    <row r="145" spans="1:1" x14ac:dyDescent="0.25">
      <c r="A145" s="2" t="s">
        <v>589</v>
      </c>
    </row>
    <row r="146" spans="1:1" x14ac:dyDescent="0.25">
      <c r="A146" s="2" t="s">
        <v>590</v>
      </c>
    </row>
    <row r="147" spans="1:1" x14ac:dyDescent="0.25">
      <c r="A147" s="2" t="s">
        <v>591</v>
      </c>
    </row>
    <row r="148" spans="1:1" x14ac:dyDescent="0.25">
      <c r="A148" s="2" t="s">
        <v>592</v>
      </c>
    </row>
    <row r="149" spans="1:1" x14ac:dyDescent="0.25">
      <c r="A149" s="2" t="s">
        <v>593</v>
      </c>
    </row>
    <row r="150" spans="1:1" x14ac:dyDescent="0.25">
      <c r="A150" s="2" t="s">
        <v>594</v>
      </c>
    </row>
    <row r="151" spans="1:1" x14ac:dyDescent="0.25">
      <c r="A151" s="2" t="s">
        <v>595</v>
      </c>
    </row>
    <row r="152" spans="1:1" x14ac:dyDescent="0.25">
      <c r="A152" s="2" t="s">
        <v>596</v>
      </c>
    </row>
    <row r="153" spans="1:1" x14ac:dyDescent="0.25">
      <c r="A153" s="2" t="s">
        <v>597</v>
      </c>
    </row>
    <row r="154" spans="1:1" x14ac:dyDescent="0.25">
      <c r="A154" s="2" t="s">
        <v>598</v>
      </c>
    </row>
    <row r="155" spans="1:1" x14ac:dyDescent="0.25">
      <c r="A155" s="2" t="s">
        <v>599</v>
      </c>
    </row>
    <row r="156" spans="1:1" x14ac:dyDescent="0.25">
      <c r="A156" s="2" t="s">
        <v>600</v>
      </c>
    </row>
    <row r="157" spans="1:1" x14ac:dyDescent="0.25">
      <c r="A157" s="2" t="s">
        <v>601</v>
      </c>
    </row>
    <row r="158" spans="1:1" x14ac:dyDescent="0.25">
      <c r="A158" s="2" t="s">
        <v>602</v>
      </c>
    </row>
    <row r="159" spans="1:1" x14ac:dyDescent="0.25">
      <c r="A159" s="2" t="s">
        <v>603</v>
      </c>
    </row>
    <row r="160" spans="1:1" x14ac:dyDescent="0.25">
      <c r="A160" s="2" t="s">
        <v>604</v>
      </c>
    </row>
    <row r="161" spans="1:1" x14ac:dyDescent="0.25">
      <c r="A161" s="2" t="s">
        <v>605</v>
      </c>
    </row>
    <row r="162" spans="1:1" x14ac:dyDescent="0.25">
      <c r="A162" s="2" t="s">
        <v>606</v>
      </c>
    </row>
    <row r="163" spans="1:1" x14ac:dyDescent="0.25">
      <c r="A163" s="2" t="s">
        <v>607</v>
      </c>
    </row>
    <row r="164" spans="1:1" x14ac:dyDescent="0.25">
      <c r="A164" s="2" t="s">
        <v>608</v>
      </c>
    </row>
    <row r="165" spans="1:1" x14ac:dyDescent="0.25">
      <c r="A165" s="2" t="s">
        <v>609</v>
      </c>
    </row>
    <row r="166" spans="1:1" x14ac:dyDescent="0.25">
      <c r="A166" s="2" t="s">
        <v>610</v>
      </c>
    </row>
    <row r="167" spans="1:1" x14ac:dyDescent="0.25">
      <c r="A167" s="2" t="s">
        <v>611</v>
      </c>
    </row>
    <row r="168" spans="1:1" x14ac:dyDescent="0.25">
      <c r="A168" s="2" t="s">
        <v>612</v>
      </c>
    </row>
    <row r="169" spans="1:1" x14ac:dyDescent="0.25">
      <c r="A169" s="2" t="s">
        <v>613</v>
      </c>
    </row>
    <row r="170" spans="1:1" x14ac:dyDescent="0.25">
      <c r="A170" s="2" t="s">
        <v>614</v>
      </c>
    </row>
    <row r="171" spans="1:1" x14ac:dyDescent="0.25">
      <c r="A171" s="2" t="s">
        <v>615</v>
      </c>
    </row>
    <row r="172" spans="1:1" x14ac:dyDescent="0.25">
      <c r="A172" s="2" t="s">
        <v>616</v>
      </c>
    </row>
    <row r="173" spans="1:1" x14ac:dyDescent="0.25">
      <c r="A173" s="2" t="s">
        <v>617</v>
      </c>
    </row>
    <row r="174" spans="1:1" x14ac:dyDescent="0.25">
      <c r="A174" s="2" t="s">
        <v>618</v>
      </c>
    </row>
    <row r="175" spans="1:1" x14ac:dyDescent="0.25">
      <c r="A175" s="2" t="s">
        <v>619</v>
      </c>
    </row>
    <row r="176" spans="1:1" x14ac:dyDescent="0.25">
      <c r="A176" s="2" t="s">
        <v>620</v>
      </c>
    </row>
    <row r="177" spans="1:1" x14ac:dyDescent="0.25">
      <c r="A177" s="2" t="s">
        <v>621</v>
      </c>
    </row>
    <row r="178" spans="1:1" x14ac:dyDescent="0.25">
      <c r="A178" s="2" t="s">
        <v>622</v>
      </c>
    </row>
    <row r="179" spans="1:1" x14ac:dyDescent="0.25">
      <c r="A179" s="2" t="s">
        <v>623</v>
      </c>
    </row>
    <row r="180" spans="1:1" x14ac:dyDescent="0.25">
      <c r="A180" s="2"/>
    </row>
    <row r="181" spans="1:1" x14ac:dyDescent="0.25">
      <c r="A181" s="2" t="s">
        <v>624</v>
      </c>
    </row>
  </sheetData>
  <sheetProtection sheet="1" objects="1" scenarios="1" sort="0" autoFilter="0"/>
  <autoFilter ref="A27:C118"/>
  <hyperlinks>
    <hyperlink ref="B28" location="'Input'!B6" display="1300. Company, charging year, data version"/>
    <hyperlink ref="B29" location="'Input'!B12" display="1301. DNO LV mains usage"/>
    <hyperlink ref="B30" location="'Input'!B18" display="1302. DNO HV mains usage"/>
    <hyperlink ref="B31" location="'Input'!B24" display="1310. DPCR4 aggregate allowances (£)"/>
    <hyperlink ref="B32" location="'Input'!B30" display="1315. Analysis of allowed revenue for 2007/2008 (£/year)"/>
    <hyperlink ref="B33" location="'Input'!B36" display="1321. Units distributed (GWh)"/>
    <hyperlink ref="B34" location="'Input'!B44" display="1322. Losses (GWh)"/>
    <hyperlink ref="B35" location="'Input'!B50" display="1328. DCP 117/DCP 231 additional annual income (£)"/>
    <hyperlink ref="B36" location="'Input'!B57" display="1329. Net new connections and reinforcement costs (£)"/>
    <hyperlink ref="B37" location="'Input'!B64" display="1330. Allocated costs (£/year)"/>
    <hyperlink ref="B38" location="'Input'!B103" display="1331. Assets in CDCM model (£)"/>
    <hyperlink ref="B39" location="'Input'!B109" display="1332. All notional assets in EDCM (£)"/>
    <hyperlink ref="B40" location="'Input'!B116" display="1335. Total costs (£/year)"/>
    <hyperlink ref="B41" location="'Input'!B154" display="1355. MEAV data"/>
    <hyperlink ref="B42" location="'Input'!B244" display="1369. Net capex analysis pre-DCP 118 (£)"/>
    <hyperlink ref="B43" location="'Input'!B254" display="1380. Net capex: ratio of LV services to LV total"/>
    <hyperlink ref="B44" location="'CDCM'!B9" display="1401. Allocated costs after DCP 117 adjustments"/>
    <hyperlink ref="B45" location="'CDCM'!B51" display="1402. Expenditure data"/>
    <hyperlink ref="B46" location="'CDCM'!B88" display="1403. Allocation rules"/>
    <hyperlink ref="B47" location="'CDCM'!B131" display="1404. MEAV calculations"/>
    <hyperlink ref="B48" location="'CDCM'!B224" display="1405. MEAV by network level (£)"/>
    <hyperlink ref="B49" location="'CDCM'!B232" display="1406. MEAV percentages"/>
    <hyperlink ref="B50" location="'CDCM'!B237" display="1407. EHV asset levels"/>
    <hyperlink ref="B51" location="'CDCM'!B247" display="1408. Proportion of EHV notional assets which are in the CDCM"/>
    <hyperlink ref="B52" location="'CDCM'!B256" display="1409. Proportion to be kept"/>
    <hyperlink ref="B53" location="'CDCM'!B265" display="1410. MEAV percentages after DCP 118 exclusions"/>
    <hyperlink ref="B54" location="'CDCM'!B270" display="1411. EHV only"/>
    <hyperlink ref="B55" location="'CDCM'!B275" display="1412. LV only"/>
    <hyperlink ref="B56" location="'CDCM'!B286" display="1413. All allocation percentages"/>
    <hyperlink ref="B57" location="'CDCM'!B330" display="1414. Complete allocation"/>
    <hyperlink ref="B58" location="'CDCM'!B370" display="1415. Complete allocation: LV total share"/>
    <hyperlink ref="B59" location="'CDCM'!B412" display="1416. MEAV: ratio of LV services to LV total"/>
    <hyperlink ref="B60" location="'CDCM'!B421" display="1417. Allocation of LV to LV services"/>
    <hyperlink ref="B61" location="'CDCM'!B462" display="1418. Allocation to LV services"/>
    <hyperlink ref="B62" location="'CDCM'!B503" display="1419. Allocation to LV mains"/>
    <hyperlink ref="B63" location="'CDCM'!B545" display="1420. Complete allocation split between LV mains and services"/>
    <hyperlink ref="B64" location="'CDCM'!B586" display="1421. Complete allocation, adjusted for regulatory capitalisation"/>
    <hyperlink ref="B65" location="'CDCM'!B626" display="1422. Total expensed for each level"/>
    <hyperlink ref="B66" location="'CDCM'!B634" display="1423. Expensed proportions"/>
    <hyperlink ref="B67" location="'CDCM'!B642" display="1424. Net capex percentages"/>
    <hyperlink ref="B68" location="'CDCM'!B651" display="1425. Net capex percentages after DCP 118 exclusions"/>
    <hyperlink ref="B69" location="'CDCM'!B659" display="1426. Net capex: LV total share"/>
    <hyperlink ref="B70" location="'CDCM'!B668" display="1427. Allocation to LV services"/>
    <hyperlink ref="B71" location="'CDCM'!B677" display="1428. Allocation to LV mains"/>
    <hyperlink ref="B72" location="'CDCM'!B687" display="1429. Net capex allocation split between LV mains and services"/>
    <hyperlink ref="B73" location="'CDCM'!B697" display="1430. Proportion of price control revenue attributed to opex"/>
    <hyperlink ref="B74" location="'CDCM'!B706" display="1431. To be deducted from revenue and treated as &quot;upstream&quot; cost"/>
    <hyperlink ref="B75" location="'CDCM'!B716" display="1432. Revenue to be allocated between network levels (£/year)"/>
    <hyperlink ref="B76" location="'CDCM'!B725" display="1433. Adjustment factors to LV (kWh/GWh)"/>
    <hyperlink ref="B77" location="'CDCM'!B736" display="1434. Units flowing, loss adjusted to LV (kWh)"/>
    <hyperlink ref="B78" location="'CDCM'!B744" display="1435. Units at LV"/>
    <hyperlink ref="B79" location="'CDCM'!B752" display="1436. Allocation to LV services"/>
    <hyperlink ref="B80" location="'CDCM'!B760" display="1437. Allocation to LV mains"/>
    <hyperlink ref="B81" location="'CDCM'!B770" display="1438. Units"/>
    <hyperlink ref="B82" location="'CDCM'!B783" display="1439. p/kWh split (DCP 117 modified)"/>
    <hyperlink ref="B83" location="'CDCM'!B793" display="1440. p/kWh not split"/>
    <hyperlink ref="B84" location="'CDCM'!B802" display="1441. Allocated proportion"/>
    <hyperlink ref="B85" location="'CDCM'!B811" display="1442. Allocations to network levels"/>
    <hyperlink ref="B86" location="'CDCM'!B819" display="1443. Complete allocation, zeroing out negative numbers"/>
    <hyperlink ref="B87" location="'CDCM'!B860" display="1444. Direct costs"/>
    <hyperlink ref="B88" location="'CDCM'!B868" display="1445. Total costs"/>
    <hyperlink ref="B89" location="'CDCM'!B877" display="1446. Direct cost proportion for each network level"/>
    <hyperlink ref="B90" location="'CDCM'!B886" display="1447. HV and LV direct cost proportions"/>
    <hyperlink ref="B91" location="'EDCM'!B11" display="1501. All allocation percentages"/>
    <hyperlink ref="B92" location="'EDCM'!B55" display="1502. Complete allocation"/>
    <hyperlink ref="B93" location="'EDCM'!B95" display="1503. Complete allocation, zeroing out negative numbers"/>
    <hyperlink ref="B94" location="'EDCM'!B136" display="1504. Direct costs"/>
    <hyperlink ref="B95" location="'EDCM'!B144" display="1505. Total costs"/>
    <hyperlink ref="B96" location="'EDCM'!B153" display="1506. Direct cost proportion for each network level"/>
    <hyperlink ref="B97" location="'EDCM'!B163" display="1507. Splitting factors"/>
    <hyperlink ref="B98" location="'EDCM'!B171" display="1508. Splitting factor 132kV"/>
    <hyperlink ref="B99" location="'EDCM'!B182" display="1509. Splitting factor EHV"/>
    <hyperlink ref="B100" location="'EDCM'!B195" display="1510. Network levels not covered by DNO network"/>
    <hyperlink ref="B101" location="'EDCM'!B224" display="1511. MEAV calculations"/>
    <hyperlink ref="B102" location="'EDCM'!B317" display="1512. MEAV by network level (£)"/>
    <hyperlink ref="B103" location="'EDCM'!B325" display="1513. MEAV percentages"/>
    <hyperlink ref="B104" location="'EDCM'!B334" display="1514. Complete allocation, adjusted for regulatory capitalisation"/>
    <hyperlink ref="B105" location="'EDCM'!B374" display="1515. Total expensed for each level"/>
    <hyperlink ref="B106" location="'EDCM'!B382" display="1516. Expensed proportions"/>
    <hyperlink ref="B107" location="'EDCM'!B395" display="1517. p/kWh split (DCP 117 modified)"/>
    <hyperlink ref="B108" location="'EDCM'!B405" display="1518. p/kWh not split"/>
    <hyperlink ref="B109" location="'EDCM'!B414" display="1519. Allocated proportion"/>
    <hyperlink ref="B110" location="'EDCM'!B422" display="1520. Allocation to EHV network levels"/>
    <hyperlink ref="B111" location="'EDCM'!B431" display="1521. Allocation between EHV network levels"/>
    <hyperlink ref="B112" location="'EDCM'!B440" display="1522. Extended allocation"/>
    <hyperlink ref="B113" location="'EDCM'!B449" display="1523. Proportion of costs not covered by DNO network"/>
    <hyperlink ref="B114" location="'EDCM'!B473" display="1524. Network levels not covered by all-the-way tariff"/>
    <hyperlink ref="B115" location="'EDCM'!B501" display="1525. Proportion of costs not covered by all-the-way tariff"/>
    <hyperlink ref="B116" location="'EDCM'!B529" display="1526. LDNO discounts (EDCM)"/>
    <hyperlink ref="B117" location="'Results'!B16" display="1601. LDNO discounts (CDCM)"/>
    <hyperlink ref="B118" location="'Results'!B25" display="1602. LDNO discounts (EDCM)"/>
  </hyperlinks>
  <pageMargins left="0.7" right="0.7" top="0.75" bottom="0.75" header="0.3" footer="0.3"/>
  <pageSetup paperSize="9" scale="50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5"/>
  <sheetViews>
    <sheetView showGridLines="0" workbookViewId="0">
      <pane ySplit="1" topLeftCell="A2" activePane="bottomLeft" state="frozen"/>
      <selection pane="bottomLeft" activeCell="B13" sqref="B13"/>
    </sheetView>
  </sheetViews>
  <sheetFormatPr defaultRowHeight="15" x14ac:dyDescent="0.25"/>
  <cols>
    <col min="1" max="1" width="60.7109375" customWidth="1"/>
    <col min="2" max="251" width="20.7109375" customWidth="1"/>
  </cols>
  <sheetData>
    <row r="1" spans="1:5" ht="21" customHeight="1" x14ac:dyDescent="0.3">
      <c r="A1" s="1" t="str">
        <f>"Input data for "&amp;Input!B7&amp;" in "&amp;Input!C7&amp;" ("&amp;Input!D7&amp;")"</f>
        <v>Input data for SWAE in 2018/19 (no data version)</v>
      </c>
    </row>
    <row r="2" spans="1:5" x14ac:dyDescent="0.25">
      <c r="A2" s="2" t="s">
        <v>195</v>
      </c>
    </row>
    <row r="4" spans="1:5" ht="21" customHeight="1" x14ac:dyDescent="0.3">
      <c r="A4" s="1" t="s">
        <v>0</v>
      </c>
    </row>
    <row r="6" spans="1:5" x14ac:dyDescent="0.25">
      <c r="B6" s="15" t="s">
        <v>1</v>
      </c>
      <c r="C6" s="15" t="s">
        <v>2</v>
      </c>
      <c r="D6" s="15" t="s">
        <v>3</v>
      </c>
    </row>
    <row r="7" spans="1:5" x14ac:dyDescent="0.25">
      <c r="A7" s="4" t="s">
        <v>4</v>
      </c>
      <c r="B7" s="16" t="s">
        <v>625</v>
      </c>
      <c r="C7" s="16" t="s">
        <v>626</v>
      </c>
      <c r="D7" s="16" t="s">
        <v>5</v>
      </c>
      <c r="E7" s="17"/>
    </row>
    <row r="9" spans="1:5" ht="21" customHeight="1" x14ac:dyDescent="0.3">
      <c r="A9" s="1" t="s">
        <v>6</v>
      </c>
    </row>
    <row r="10" spans="1:5" x14ac:dyDescent="0.25">
      <c r="A10" s="2" t="s">
        <v>7</v>
      </c>
    </row>
    <row r="12" spans="1:5" x14ac:dyDescent="0.25">
      <c r="B12" s="15" t="s">
        <v>8</v>
      </c>
    </row>
    <row r="13" spans="1:5" x14ac:dyDescent="0.25">
      <c r="A13" s="4" t="s">
        <v>8</v>
      </c>
      <c r="B13" s="18">
        <v>0.19053814972321537</v>
      </c>
      <c r="C13" s="17"/>
    </row>
    <row r="15" spans="1:5" ht="21" customHeight="1" x14ac:dyDescent="0.3">
      <c r="A15" s="1" t="s">
        <v>9</v>
      </c>
    </row>
    <row r="16" spans="1:5" x14ac:dyDescent="0.25">
      <c r="A16" s="2" t="s">
        <v>10</v>
      </c>
    </row>
    <row r="18" spans="1:5" x14ac:dyDescent="0.25">
      <c r="B18" s="15" t="s">
        <v>11</v>
      </c>
    </row>
    <row r="19" spans="1:5" x14ac:dyDescent="0.25">
      <c r="A19" s="4" t="s">
        <v>11</v>
      </c>
      <c r="B19" s="18">
        <v>0.63</v>
      </c>
      <c r="C19" s="17"/>
    </row>
    <row r="21" spans="1:5" ht="21" customHeight="1" x14ac:dyDescent="0.3">
      <c r="A21" s="1" t="s">
        <v>12</v>
      </c>
    </row>
    <row r="22" spans="1:5" x14ac:dyDescent="0.25">
      <c r="A22" s="2" t="s">
        <v>13</v>
      </c>
    </row>
    <row r="24" spans="1:5" ht="30" x14ac:dyDescent="0.25">
      <c r="B24" s="15" t="s">
        <v>14</v>
      </c>
      <c r="C24" s="15" t="s">
        <v>15</v>
      </c>
      <c r="D24" s="15" t="s">
        <v>16</v>
      </c>
    </row>
    <row r="25" spans="1:5" x14ac:dyDescent="0.25">
      <c r="A25" s="4" t="s">
        <v>17</v>
      </c>
      <c r="B25" s="19">
        <v>216578688.76116019</v>
      </c>
      <c r="C25" s="19">
        <v>253200000</v>
      </c>
      <c r="D25" s="19">
        <v>251473000</v>
      </c>
      <c r="E25" s="17"/>
    </row>
    <row r="27" spans="1:5" ht="21" customHeight="1" x14ac:dyDescent="0.3">
      <c r="A27" s="1" t="s">
        <v>18</v>
      </c>
    </row>
    <row r="28" spans="1:5" x14ac:dyDescent="0.25">
      <c r="A28" s="2" t="s">
        <v>19</v>
      </c>
    </row>
    <row r="30" spans="1:5" ht="30" x14ac:dyDescent="0.25">
      <c r="B30" s="15" t="s">
        <v>20</v>
      </c>
      <c r="C30" s="15" t="s">
        <v>21</v>
      </c>
    </row>
    <row r="31" spans="1:5" x14ac:dyDescent="0.25">
      <c r="A31" s="4" t="s">
        <v>22</v>
      </c>
      <c r="B31" s="19">
        <v>174333196.00000003</v>
      </c>
      <c r="C31" s="19">
        <v>2502889</v>
      </c>
      <c r="D31" s="17"/>
    </row>
    <row r="33" spans="1:3" ht="21" customHeight="1" x14ac:dyDescent="0.3">
      <c r="A33" s="1" t="s">
        <v>23</v>
      </c>
    </row>
    <row r="34" spans="1:3" x14ac:dyDescent="0.25">
      <c r="A34" s="2" t="s">
        <v>24</v>
      </c>
    </row>
    <row r="36" spans="1:3" ht="30" x14ac:dyDescent="0.25">
      <c r="B36" s="15" t="s">
        <v>25</v>
      </c>
    </row>
    <row r="37" spans="1:3" x14ac:dyDescent="0.25">
      <c r="A37" s="4" t="s">
        <v>26</v>
      </c>
      <c r="B37" s="20">
        <v>2954.8379382999997</v>
      </c>
      <c r="C37" s="17"/>
    </row>
    <row r="38" spans="1:3" x14ac:dyDescent="0.25">
      <c r="A38" s="4" t="s">
        <v>27</v>
      </c>
      <c r="B38" s="20">
        <v>2482.1083529999996</v>
      </c>
      <c r="C38" s="17"/>
    </row>
    <row r="39" spans="1:3" x14ac:dyDescent="0.25">
      <c r="A39" s="4" t="s">
        <v>28</v>
      </c>
      <c r="B39" s="20">
        <v>7216.2041944999992</v>
      </c>
      <c r="C39" s="17"/>
    </row>
    <row r="41" spans="1:3" ht="21" customHeight="1" x14ac:dyDescent="0.3">
      <c r="A41" s="1" t="s">
        <v>29</v>
      </c>
    </row>
    <row r="42" spans="1:3" x14ac:dyDescent="0.25">
      <c r="A42" s="2" t="s">
        <v>30</v>
      </c>
    </row>
    <row r="44" spans="1:3" x14ac:dyDescent="0.25">
      <c r="B44" s="15" t="s">
        <v>31</v>
      </c>
    </row>
    <row r="45" spans="1:3" x14ac:dyDescent="0.25">
      <c r="A45" s="4" t="s">
        <v>31</v>
      </c>
      <c r="B45" s="20">
        <v>675.23700000000008</v>
      </c>
      <c r="C45" s="17"/>
    </row>
    <row r="47" spans="1:3" ht="21" customHeight="1" x14ac:dyDescent="0.3">
      <c r="A47" s="1" t="s">
        <v>32</v>
      </c>
    </row>
    <row r="48" spans="1:3" x14ac:dyDescent="0.25">
      <c r="A48" s="2" t="s">
        <v>33</v>
      </c>
    </row>
    <row r="50" spans="1:6" ht="45" x14ac:dyDescent="0.25">
      <c r="B50" s="15" t="s">
        <v>34</v>
      </c>
    </row>
    <row r="51" spans="1:6" x14ac:dyDescent="0.25">
      <c r="A51" s="4" t="s">
        <v>34</v>
      </c>
      <c r="B51" s="19">
        <v>4350000</v>
      </c>
      <c r="C51" s="17"/>
    </row>
    <row r="53" spans="1:6" ht="21" customHeight="1" x14ac:dyDescent="0.3">
      <c r="A53" s="1" t="s">
        <v>35</v>
      </c>
    </row>
    <row r="54" spans="1:6" x14ac:dyDescent="0.25">
      <c r="A54" s="2" t="s">
        <v>36</v>
      </c>
    </row>
    <row r="55" spans="1:6" x14ac:dyDescent="0.25">
      <c r="A55" s="2" t="s">
        <v>37</v>
      </c>
    </row>
    <row r="57" spans="1:6" x14ac:dyDescent="0.25">
      <c r="B57" s="15" t="s">
        <v>28</v>
      </c>
      <c r="C57" s="15" t="s">
        <v>38</v>
      </c>
      <c r="D57" s="15" t="s">
        <v>27</v>
      </c>
      <c r="E57" s="15" t="s">
        <v>39</v>
      </c>
    </row>
    <row r="58" spans="1:6" ht="30" x14ac:dyDescent="0.25">
      <c r="A58" s="4" t="s">
        <v>40</v>
      </c>
      <c r="B58" s="19">
        <v>609999.99999999942</v>
      </c>
      <c r="C58" s="19">
        <v>0</v>
      </c>
      <c r="D58" s="19">
        <v>1020000</v>
      </c>
      <c r="E58" s="19">
        <v>2655000.0000000005</v>
      </c>
      <c r="F58" s="17"/>
    </row>
    <row r="60" spans="1:6" ht="21" customHeight="1" x14ac:dyDescent="0.3">
      <c r="A60" s="1" t="s">
        <v>41</v>
      </c>
    </row>
    <row r="61" spans="1:6" x14ac:dyDescent="0.25">
      <c r="A61" s="2" t="s">
        <v>42</v>
      </c>
    </row>
    <row r="62" spans="1:6" x14ac:dyDescent="0.25">
      <c r="A62" s="2" t="s">
        <v>43</v>
      </c>
    </row>
    <row r="64" spans="1:6" x14ac:dyDescent="0.25">
      <c r="B64" s="15" t="s">
        <v>28</v>
      </c>
      <c r="C64" s="15" t="s">
        <v>38</v>
      </c>
      <c r="D64" s="15" t="s">
        <v>27</v>
      </c>
      <c r="E64" s="15" t="s">
        <v>39</v>
      </c>
    </row>
    <row r="65" spans="1:6" ht="30" x14ac:dyDescent="0.25">
      <c r="A65" s="4" t="s">
        <v>40</v>
      </c>
      <c r="B65" s="19">
        <v>609999.99999999942</v>
      </c>
      <c r="C65" s="19">
        <v>0</v>
      </c>
      <c r="D65" s="19">
        <v>1020000</v>
      </c>
      <c r="E65" s="19">
        <v>2655000.0000000005</v>
      </c>
      <c r="F65" s="17"/>
    </row>
    <row r="66" spans="1:6" x14ac:dyDescent="0.25">
      <c r="A66" s="4" t="s">
        <v>44</v>
      </c>
      <c r="B66" s="19">
        <v>5199999.9999999991</v>
      </c>
      <c r="C66" s="19">
        <v>4200000</v>
      </c>
      <c r="D66" s="19">
        <v>14299999.999999998</v>
      </c>
      <c r="E66" s="19">
        <v>8500000</v>
      </c>
      <c r="F66" s="17"/>
    </row>
    <row r="67" spans="1:6" x14ac:dyDescent="0.25">
      <c r="A67" s="4" t="s">
        <v>45</v>
      </c>
      <c r="B67" s="19">
        <v>0</v>
      </c>
      <c r="C67" s="19">
        <v>0</v>
      </c>
      <c r="D67" s="19">
        <v>0</v>
      </c>
      <c r="E67" s="19">
        <v>0</v>
      </c>
      <c r="F67" s="17"/>
    </row>
    <row r="68" spans="1:6" x14ac:dyDescent="0.25">
      <c r="A68" s="4" t="s">
        <v>46</v>
      </c>
      <c r="B68" s="19">
        <v>4899999.9999999991</v>
      </c>
      <c r="C68" s="19">
        <v>200000</v>
      </c>
      <c r="D68" s="19">
        <v>2300000</v>
      </c>
      <c r="E68" s="19">
        <v>600000.00000000012</v>
      </c>
      <c r="F68" s="17"/>
    </row>
    <row r="69" spans="1:6" x14ac:dyDescent="0.25">
      <c r="A69" s="4" t="s">
        <v>47</v>
      </c>
      <c r="B69" s="19">
        <v>700000.00000000012</v>
      </c>
      <c r="C69" s="19">
        <v>1600000</v>
      </c>
      <c r="D69" s="19">
        <v>600000</v>
      </c>
      <c r="E69" s="19">
        <v>2300000.0000000005</v>
      </c>
      <c r="F69" s="17"/>
    </row>
    <row r="70" spans="1:6" x14ac:dyDescent="0.25">
      <c r="A70" s="4" t="s">
        <v>48</v>
      </c>
      <c r="B70" s="19">
        <v>1165518.1170566711</v>
      </c>
      <c r="C70" s="19">
        <v>0</v>
      </c>
      <c r="D70" s="19">
        <v>2363069.33637506</v>
      </c>
      <c r="E70" s="19">
        <v>629777.08916097635</v>
      </c>
      <c r="F70" s="17"/>
    </row>
    <row r="71" spans="1:6" x14ac:dyDescent="0.25">
      <c r="A71" s="4" t="s">
        <v>49</v>
      </c>
      <c r="B71" s="19">
        <v>0</v>
      </c>
      <c r="C71" s="19">
        <v>0</v>
      </c>
      <c r="D71" s="19">
        <v>0</v>
      </c>
      <c r="E71" s="19">
        <v>0</v>
      </c>
      <c r="F71" s="17"/>
    </row>
    <row r="72" spans="1:6" x14ac:dyDescent="0.25">
      <c r="A72" s="4" t="s">
        <v>50</v>
      </c>
      <c r="B72" s="19">
        <v>0</v>
      </c>
      <c r="C72" s="19">
        <v>0</v>
      </c>
      <c r="D72" s="19">
        <v>0</v>
      </c>
      <c r="E72" s="19">
        <v>0</v>
      </c>
      <c r="F72" s="17"/>
    </row>
    <row r="73" spans="1:6" x14ac:dyDescent="0.25">
      <c r="A73" s="4" t="s">
        <v>51</v>
      </c>
      <c r="B73" s="19">
        <v>0</v>
      </c>
      <c r="C73" s="19">
        <v>0</v>
      </c>
      <c r="D73" s="19">
        <v>0</v>
      </c>
      <c r="E73" s="19">
        <v>0</v>
      </c>
      <c r="F73" s="17"/>
    </row>
    <row r="74" spans="1:6" x14ac:dyDescent="0.25">
      <c r="A74" s="4" t="s">
        <v>52</v>
      </c>
      <c r="B74" s="19">
        <v>0</v>
      </c>
      <c r="C74" s="19">
        <v>0</v>
      </c>
      <c r="D74" s="19">
        <v>0</v>
      </c>
      <c r="E74" s="19">
        <v>0</v>
      </c>
      <c r="F74" s="17"/>
    </row>
    <row r="75" spans="1:6" x14ac:dyDescent="0.25">
      <c r="A75" s="4" t="s">
        <v>53</v>
      </c>
      <c r="B75" s="19">
        <v>0</v>
      </c>
      <c r="C75" s="19">
        <v>0</v>
      </c>
      <c r="D75" s="19">
        <v>0</v>
      </c>
      <c r="E75" s="19">
        <v>0</v>
      </c>
      <c r="F75" s="17"/>
    </row>
    <row r="76" spans="1:6" x14ac:dyDescent="0.25">
      <c r="A76" s="4" t="s">
        <v>54</v>
      </c>
      <c r="B76" s="19">
        <v>0</v>
      </c>
      <c r="C76" s="19">
        <v>0</v>
      </c>
      <c r="D76" s="19">
        <v>0</v>
      </c>
      <c r="E76" s="19">
        <v>0</v>
      </c>
      <c r="F76" s="17"/>
    </row>
    <row r="77" spans="1:6" x14ac:dyDescent="0.25">
      <c r="A77" s="4" t="s">
        <v>55</v>
      </c>
      <c r="B77" s="19">
        <v>0</v>
      </c>
      <c r="C77" s="19">
        <v>0</v>
      </c>
      <c r="D77" s="19">
        <v>0</v>
      </c>
      <c r="E77" s="19">
        <v>0</v>
      </c>
      <c r="F77" s="17"/>
    </row>
    <row r="78" spans="1:6" x14ac:dyDescent="0.25">
      <c r="A78" s="4" t="s">
        <v>56</v>
      </c>
      <c r="B78" s="19">
        <v>0</v>
      </c>
      <c r="C78" s="19">
        <v>0</v>
      </c>
      <c r="D78" s="19">
        <v>0</v>
      </c>
      <c r="E78" s="19">
        <v>0</v>
      </c>
      <c r="F78" s="17"/>
    </row>
    <row r="79" spans="1:6" x14ac:dyDescent="0.25">
      <c r="A79" s="4" t="s">
        <v>57</v>
      </c>
      <c r="B79" s="19">
        <v>0</v>
      </c>
      <c r="C79" s="19">
        <v>0</v>
      </c>
      <c r="D79" s="19">
        <v>0</v>
      </c>
      <c r="E79" s="19">
        <v>0</v>
      </c>
      <c r="F79" s="17"/>
    </row>
    <row r="80" spans="1:6" x14ac:dyDescent="0.25">
      <c r="A80" s="4" t="s">
        <v>58</v>
      </c>
      <c r="B80" s="19">
        <v>0</v>
      </c>
      <c r="C80" s="19">
        <v>0</v>
      </c>
      <c r="D80" s="19">
        <v>0</v>
      </c>
      <c r="E80" s="19">
        <v>0</v>
      </c>
      <c r="F80" s="17"/>
    </row>
    <row r="81" spans="1:6" x14ac:dyDescent="0.25">
      <c r="A81" s="4" t="s">
        <v>59</v>
      </c>
      <c r="B81" s="19">
        <v>0</v>
      </c>
      <c r="C81" s="19">
        <v>0</v>
      </c>
      <c r="D81" s="19">
        <v>0</v>
      </c>
      <c r="E81" s="19">
        <v>0</v>
      </c>
      <c r="F81" s="17"/>
    </row>
    <row r="82" spans="1:6" x14ac:dyDescent="0.25">
      <c r="A82" s="4" t="s">
        <v>60</v>
      </c>
      <c r="B82" s="19">
        <v>0</v>
      </c>
      <c r="C82" s="19">
        <v>0</v>
      </c>
      <c r="D82" s="19">
        <v>0</v>
      </c>
      <c r="E82" s="19">
        <v>0</v>
      </c>
      <c r="F82" s="17"/>
    </row>
    <row r="83" spans="1:6" x14ac:dyDescent="0.25">
      <c r="A83" s="4" t="s">
        <v>61</v>
      </c>
      <c r="B83" s="19">
        <v>0</v>
      </c>
      <c r="C83" s="19">
        <v>0</v>
      </c>
      <c r="D83" s="19">
        <v>0</v>
      </c>
      <c r="E83" s="19">
        <v>0</v>
      </c>
      <c r="F83" s="17"/>
    </row>
    <row r="84" spans="1:6" x14ac:dyDescent="0.25">
      <c r="A84" s="4" t="s">
        <v>62</v>
      </c>
      <c r="B84" s="19">
        <v>0</v>
      </c>
      <c r="C84" s="19">
        <v>0</v>
      </c>
      <c r="D84" s="19">
        <v>0</v>
      </c>
      <c r="E84" s="19">
        <v>0</v>
      </c>
      <c r="F84" s="17"/>
    </row>
    <row r="85" spans="1:6" x14ac:dyDescent="0.25">
      <c r="A85" s="4" t="s">
        <v>63</v>
      </c>
      <c r="B85" s="19">
        <v>0</v>
      </c>
      <c r="C85" s="19">
        <v>0</v>
      </c>
      <c r="D85" s="19">
        <v>0</v>
      </c>
      <c r="E85" s="19">
        <v>0</v>
      </c>
      <c r="F85" s="17"/>
    </row>
    <row r="86" spans="1:6" x14ac:dyDescent="0.25">
      <c r="A86" s="4" t="s">
        <v>64</v>
      </c>
      <c r="B86" s="19">
        <v>0</v>
      </c>
      <c r="C86" s="19">
        <v>0</v>
      </c>
      <c r="D86" s="19">
        <v>0</v>
      </c>
      <c r="E86" s="19">
        <v>0</v>
      </c>
      <c r="F86" s="17"/>
    </row>
    <row r="87" spans="1:6" x14ac:dyDescent="0.25">
      <c r="A87" s="4" t="s">
        <v>65</v>
      </c>
      <c r="B87" s="19">
        <v>0</v>
      </c>
      <c r="C87" s="19">
        <v>0</v>
      </c>
      <c r="D87" s="19">
        <v>0</v>
      </c>
      <c r="E87" s="19">
        <v>0</v>
      </c>
      <c r="F87" s="17"/>
    </row>
    <row r="88" spans="1:6" x14ac:dyDescent="0.25">
      <c r="A88" s="4" t="s">
        <v>66</v>
      </c>
      <c r="B88" s="19">
        <v>0</v>
      </c>
      <c r="C88" s="19">
        <v>0</v>
      </c>
      <c r="D88" s="19">
        <v>0</v>
      </c>
      <c r="E88" s="19">
        <v>0</v>
      </c>
      <c r="F88" s="17"/>
    </row>
    <row r="89" spans="1:6" x14ac:dyDescent="0.25">
      <c r="A89" s="4" t="s">
        <v>67</v>
      </c>
      <c r="B89" s="19">
        <v>0</v>
      </c>
      <c r="C89" s="19">
        <v>0</v>
      </c>
      <c r="D89" s="19">
        <v>0</v>
      </c>
      <c r="E89" s="19">
        <v>0</v>
      </c>
      <c r="F89" s="17"/>
    </row>
    <row r="90" spans="1:6" x14ac:dyDescent="0.25">
      <c r="A90" s="4" t="s">
        <v>68</v>
      </c>
      <c r="B90" s="19">
        <v>0</v>
      </c>
      <c r="C90" s="19">
        <v>0</v>
      </c>
      <c r="D90" s="19">
        <v>0</v>
      </c>
      <c r="E90" s="19">
        <v>0</v>
      </c>
      <c r="F90" s="17"/>
    </row>
    <row r="91" spans="1:6" x14ac:dyDescent="0.25">
      <c r="A91" s="4" t="s">
        <v>69</v>
      </c>
      <c r="B91" s="19">
        <v>0</v>
      </c>
      <c r="C91" s="19">
        <v>0</v>
      </c>
      <c r="D91" s="19">
        <v>0</v>
      </c>
      <c r="E91" s="19">
        <v>0</v>
      </c>
      <c r="F91" s="17"/>
    </row>
    <row r="92" spans="1:6" x14ac:dyDescent="0.25">
      <c r="A92" s="4" t="s">
        <v>70</v>
      </c>
      <c r="B92" s="19">
        <v>0</v>
      </c>
      <c r="C92" s="19">
        <v>0</v>
      </c>
      <c r="D92" s="19">
        <v>0</v>
      </c>
      <c r="E92" s="19">
        <v>0</v>
      </c>
      <c r="F92" s="17"/>
    </row>
    <row r="93" spans="1:6" x14ac:dyDescent="0.25">
      <c r="A93" s="4" t="s">
        <v>71</v>
      </c>
      <c r="B93" s="19">
        <v>0</v>
      </c>
      <c r="C93" s="19">
        <v>0</v>
      </c>
      <c r="D93" s="19">
        <v>0</v>
      </c>
      <c r="E93" s="19">
        <v>0</v>
      </c>
      <c r="F93" s="17"/>
    </row>
    <row r="94" spans="1:6" x14ac:dyDescent="0.25">
      <c r="A94" s="4" t="s">
        <v>72</v>
      </c>
      <c r="B94" s="19">
        <v>0</v>
      </c>
      <c r="C94" s="19">
        <v>0</v>
      </c>
      <c r="D94" s="19">
        <v>0</v>
      </c>
      <c r="E94" s="19">
        <v>0</v>
      </c>
      <c r="F94" s="17"/>
    </row>
    <row r="95" spans="1:6" x14ac:dyDescent="0.25">
      <c r="A95" s="4" t="s">
        <v>73</v>
      </c>
      <c r="B95" s="19">
        <v>0</v>
      </c>
      <c r="C95" s="19">
        <v>0</v>
      </c>
      <c r="D95" s="19">
        <v>0</v>
      </c>
      <c r="E95" s="19">
        <v>0</v>
      </c>
      <c r="F95" s="17"/>
    </row>
    <row r="96" spans="1:6" x14ac:dyDescent="0.25">
      <c r="A96" s="4" t="s">
        <v>74</v>
      </c>
      <c r="B96" s="19">
        <v>0</v>
      </c>
      <c r="C96" s="19">
        <v>0</v>
      </c>
      <c r="D96" s="19">
        <v>0</v>
      </c>
      <c r="E96" s="19">
        <v>0</v>
      </c>
      <c r="F96" s="17"/>
    </row>
    <row r="97" spans="1:13" x14ac:dyDescent="0.25">
      <c r="A97" s="4" t="s">
        <v>75</v>
      </c>
      <c r="B97" s="19">
        <v>0</v>
      </c>
      <c r="C97" s="19">
        <v>0</v>
      </c>
      <c r="D97" s="19">
        <v>0</v>
      </c>
      <c r="E97" s="19">
        <v>0</v>
      </c>
      <c r="F97" s="17"/>
    </row>
    <row r="99" spans="1:13" ht="21" customHeight="1" x14ac:dyDescent="0.3">
      <c r="A99" s="1" t="s">
        <v>76</v>
      </c>
    </row>
    <row r="100" spans="1:13" x14ac:dyDescent="0.25">
      <c r="A100" s="2" t="s">
        <v>77</v>
      </c>
    </row>
    <row r="101" spans="1:13" x14ac:dyDescent="0.25">
      <c r="A101" s="2" t="s">
        <v>78</v>
      </c>
    </row>
    <row r="103" spans="1:13" x14ac:dyDescent="0.25">
      <c r="B103" s="15" t="s">
        <v>79</v>
      </c>
      <c r="C103" s="15" t="s">
        <v>80</v>
      </c>
      <c r="D103" s="15" t="s">
        <v>81</v>
      </c>
      <c r="E103" s="15" t="s">
        <v>82</v>
      </c>
      <c r="F103" s="15" t="s">
        <v>83</v>
      </c>
      <c r="G103" s="15" t="s">
        <v>84</v>
      </c>
      <c r="H103" s="15" t="s">
        <v>85</v>
      </c>
      <c r="I103" s="15" t="s">
        <v>38</v>
      </c>
      <c r="J103" s="15" t="s">
        <v>86</v>
      </c>
      <c r="K103" s="15" t="s">
        <v>87</v>
      </c>
      <c r="L103" s="15" t="s">
        <v>88</v>
      </c>
    </row>
    <row r="104" spans="1:13" x14ac:dyDescent="0.25">
      <c r="A104" s="4" t="s">
        <v>89</v>
      </c>
      <c r="B104" s="19">
        <v>0</v>
      </c>
      <c r="C104" s="19">
        <v>427647875.44438177</v>
      </c>
      <c r="D104" s="19">
        <v>37268761.14857851</v>
      </c>
      <c r="E104" s="19">
        <v>114985405.25944009</v>
      </c>
      <c r="F104" s="19">
        <v>114482506.47910906</v>
      </c>
      <c r="G104" s="19">
        <v>37958272.08612293</v>
      </c>
      <c r="H104" s="19">
        <v>536440783.27234054</v>
      </c>
      <c r="I104" s="19">
        <v>180875856.87046692</v>
      </c>
      <c r="J104" s="19">
        <v>315087663.28049469</v>
      </c>
      <c r="K104" s="19">
        <v>372432837.20680022</v>
      </c>
      <c r="L104" s="19">
        <v>7022598.4858339289</v>
      </c>
      <c r="M104" s="17"/>
    </row>
    <row r="106" spans="1:13" ht="21" customHeight="1" x14ac:dyDescent="0.3">
      <c r="A106" s="1" t="s">
        <v>90</v>
      </c>
    </row>
    <row r="107" spans="1:13" x14ac:dyDescent="0.25">
      <c r="A107" s="2" t="s">
        <v>91</v>
      </c>
    </row>
    <row r="109" spans="1:13" ht="30" x14ac:dyDescent="0.25">
      <c r="B109" s="15" t="s">
        <v>92</v>
      </c>
    </row>
    <row r="110" spans="1:13" x14ac:dyDescent="0.25">
      <c r="A110" s="4" t="s">
        <v>92</v>
      </c>
      <c r="B110" s="19">
        <v>212330027.69963843</v>
      </c>
      <c r="C110" s="17"/>
    </row>
    <row r="112" spans="1:13" ht="21" customHeight="1" x14ac:dyDescent="0.3">
      <c r="A112" s="1" t="s">
        <v>93</v>
      </c>
    </row>
    <row r="113" spans="1:3" x14ac:dyDescent="0.25">
      <c r="A113" s="2" t="s">
        <v>94</v>
      </c>
    </row>
    <row r="114" spans="1:3" x14ac:dyDescent="0.25">
      <c r="A114" s="2" t="s">
        <v>95</v>
      </c>
    </row>
    <row r="116" spans="1:3" x14ac:dyDescent="0.25">
      <c r="B116" s="15" t="s">
        <v>96</v>
      </c>
    </row>
    <row r="117" spans="1:3" ht="30" x14ac:dyDescent="0.25">
      <c r="A117" s="4" t="s">
        <v>40</v>
      </c>
      <c r="B117" s="19">
        <v>0</v>
      </c>
      <c r="C117" s="17"/>
    </row>
    <row r="118" spans="1:3" x14ac:dyDescent="0.25">
      <c r="A118" s="4" t="s">
        <v>44</v>
      </c>
      <c r="B118" s="19">
        <v>32299999.999999996</v>
      </c>
      <c r="C118" s="17"/>
    </row>
    <row r="119" spans="1:3" x14ac:dyDescent="0.25">
      <c r="A119" s="4" t="s">
        <v>45</v>
      </c>
      <c r="B119" s="19">
        <v>3000000</v>
      </c>
      <c r="C119" s="17"/>
    </row>
    <row r="120" spans="1:3" x14ac:dyDescent="0.25">
      <c r="A120" s="4" t="s">
        <v>46</v>
      </c>
      <c r="B120" s="19">
        <v>8300000.0000000009</v>
      </c>
      <c r="C120" s="17"/>
    </row>
    <row r="121" spans="1:3" x14ac:dyDescent="0.25">
      <c r="A121" s="4" t="s">
        <v>47</v>
      </c>
      <c r="B121" s="19">
        <v>5500000</v>
      </c>
      <c r="C121" s="17"/>
    </row>
    <row r="122" spans="1:3" x14ac:dyDescent="0.25">
      <c r="A122" s="4" t="s">
        <v>48</v>
      </c>
      <c r="B122" s="19">
        <v>4099999.9999999995</v>
      </c>
      <c r="C122" s="17"/>
    </row>
    <row r="123" spans="1:3" x14ac:dyDescent="0.25">
      <c r="A123" s="4" t="s">
        <v>49</v>
      </c>
      <c r="B123" s="19">
        <v>600000</v>
      </c>
      <c r="C123" s="17"/>
    </row>
    <row r="124" spans="1:3" x14ac:dyDescent="0.25">
      <c r="A124" s="4" t="s">
        <v>50</v>
      </c>
      <c r="B124" s="19">
        <v>3500000</v>
      </c>
      <c r="C124" s="17"/>
    </row>
    <row r="125" spans="1:3" x14ac:dyDescent="0.25">
      <c r="A125" s="4" t="s">
        <v>51</v>
      </c>
      <c r="B125" s="19">
        <v>2900000</v>
      </c>
      <c r="C125" s="17"/>
    </row>
    <row r="126" spans="1:3" x14ac:dyDescent="0.25">
      <c r="A126" s="4" t="s">
        <v>52</v>
      </c>
      <c r="B126" s="19">
        <v>7200000</v>
      </c>
      <c r="C126" s="17"/>
    </row>
    <row r="127" spans="1:3" x14ac:dyDescent="0.25">
      <c r="A127" s="4" t="s">
        <v>53</v>
      </c>
      <c r="B127" s="19">
        <v>1900000</v>
      </c>
      <c r="C127" s="17"/>
    </row>
    <row r="128" spans="1:3" x14ac:dyDescent="0.25">
      <c r="A128" s="4" t="s">
        <v>54</v>
      </c>
      <c r="B128" s="19">
        <v>1000000</v>
      </c>
      <c r="C128" s="17"/>
    </row>
    <row r="129" spans="1:3" x14ac:dyDescent="0.25">
      <c r="A129" s="4" t="s">
        <v>55</v>
      </c>
      <c r="B129" s="19">
        <v>700000</v>
      </c>
      <c r="C129" s="17"/>
    </row>
    <row r="130" spans="1:3" x14ac:dyDescent="0.25">
      <c r="A130" s="4" t="s">
        <v>56</v>
      </c>
      <c r="B130" s="19">
        <v>900000</v>
      </c>
      <c r="C130" s="17"/>
    </row>
    <row r="131" spans="1:3" x14ac:dyDescent="0.25">
      <c r="A131" s="4" t="s">
        <v>57</v>
      </c>
      <c r="B131" s="19">
        <v>2700000</v>
      </c>
      <c r="C131" s="17"/>
    </row>
    <row r="132" spans="1:3" x14ac:dyDescent="0.25">
      <c r="A132" s="4" t="s">
        <v>58</v>
      </c>
      <c r="B132" s="19">
        <v>6800000</v>
      </c>
      <c r="C132" s="17"/>
    </row>
    <row r="133" spans="1:3" x14ac:dyDescent="0.25">
      <c r="A133" s="4" t="s">
        <v>59</v>
      </c>
      <c r="B133" s="19">
        <v>2100000</v>
      </c>
      <c r="C133" s="17"/>
    </row>
    <row r="134" spans="1:3" x14ac:dyDescent="0.25">
      <c r="A134" s="4" t="s">
        <v>60</v>
      </c>
      <c r="B134" s="19">
        <v>900000</v>
      </c>
      <c r="C134" s="17"/>
    </row>
    <row r="135" spans="1:3" x14ac:dyDescent="0.25">
      <c r="A135" s="4" t="s">
        <v>61</v>
      </c>
      <c r="B135" s="19">
        <v>1100000</v>
      </c>
      <c r="C135" s="17"/>
    </row>
    <row r="136" spans="1:3" x14ac:dyDescent="0.25">
      <c r="A136" s="4" t="s">
        <v>62</v>
      </c>
      <c r="B136" s="19">
        <v>5800000</v>
      </c>
      <c r="C136" s="17"/>
    </row>
    <row r="137" spans="1:3" x14ac:dyDescent="0.25">
      <c r="A137" s="4" t="s">
        <v>63</v>
      </c>
      <c r="B137" s="19">
        <v>1800000</v>
      </c>
      <c r="C137" s="17"/>
    </row>
    <row r="138" spans="1:3" x14ac:dyDescent="0.25">
      <c r="A138" s="4" t="s">
        <v>64</v>
      </c>
      <c r="B138" s="19">
        <v>4300000</v>
      </c>
      <c r="C138" s="17"/>
    </row>
    <row r="139" spans="1:3" x14ac:dyDescent="0.25">
      <c r="A139" s="4" t="s">
        <v>65</v>
      </c>
      <c r="B139" s="19">
        <v>13400000</v>
      </c>
      <c r="C139" s="17"/>
    </row>
    <row r="140" spans="1:3" x14ac:dyDescent="0.25">
      <c r="A140" s="4" t="s">
        <v>66</v>
      </c>
      <c r="B140" s="19">
        <v>1800000</v>
      </c>
      <c r="C140" s="17"/>
    </row>
    <row r="141" spans="1:3" x14ac:dyDescent="0.25">
      <c r="A141" s="4" t="s">
        <v>67</v>
      </c>
      <c r="B141" s="19">
        <v>8900000</v>
      </c>
      <c r="C141" s="17"/>
    </row>
    <row r="142" spans="1:3" x14ac:dyDescent="0.25">
      <c r="A142" s="4" t="s">
        <v>68</v>
      </c>
      <c r="B142" s="19">
        <v>-100000</v>
      </c>
      <c r="C142" s="17"/>
    </row>
    <row r="143" spans="1:3" x14ac:dyDescent="0.25">
      <c r="A143" s="4" t="s">
        <v>69</v>
      </c>
      <c r="B143" s="19">
        <v>100000</v>
      </c>
      <c r="C143" s="17"/>
    </row>
    <row r="144" spans="1:3" x14ac:dyDescent="0.25">
      <c r="A144" s="4" t="s">
        <v>70</v>
      </c>
      <c r="B144" s="19">
        <v>-2.7755575615628914E-11</v>
      </c>
      <c r="C144" s="17"/>
    </row>
    <row r="145" spans="1:4" x14ac:dyDescent="0.25">
      <c r="A145" s="4" t="s">
        <v>71</v>
      </c>
      <c r="B145" s="19">
        <v>25300000</v>
      </c>
      <c r="C145" s="17"/>
    </row>
    <row r="146" spans="1:4" x14ac:dyDescent="0.25">
      <c r="A146" s="4" t="s">
        <v>72</v>
      </c>
      <c r="B146" s="19">
        <v>15100000</v>
      </c>
      <c r="C146" s="17"/>
    </row>
    <row r="147" spans="1:4" x14ac:dyDescent="0.25">
      <c r="A147" s="4" t="s">
        <v>73</v>
      </c>
      <c r="B147" s="19">
        <v>4200000</v>
      </c>
      <c r="C147" s="17"/>
    </row>
    <row r="148" spans="1:4" x14ac:dyDescent="0.25">
      <c r="A148" s="4" t="s">
        <v>74</v>
      </c>
      <c r="B148" s="19">
        <v>0</v>
      </c>
      <c r="C148" s="17"/>
    </row>
    <row r="149" spans="1:4" x14ac:dyDescent="0.25">
      <c r="A149" s="4" t="s">
        <v>75</v>
      </c>
      <c r="B149" s="19">
        <v>-2900000.0000000056</v>
      </c>
      <c r="C149" s="17"/>
    </row>
    <row r="151" spans="1:4" ht="21" customHeight="1" x14ac:dyDescent="0.3">
      <c r="A151" s="1" t="s">
        <v>97</v>
      </c>
    </row>
    <row r="152" spans="1:4" x14ac:dyDescent="0.25">
      <c r="A152" s="2" t="s">
        <v>98</v>
      </c>
    </row>
    <row r="154" spans="1:4" x14ac:dyDescent="0.25">
      <c r="B154" s="15" t="s">
        <v>99</v>
      </c>
      <c r="C154" s="15" t="s">
        <v>100</v>
      </c>
    </row>
    <row r="155" spans="1:4" x14ac:dyDescent="0.25">
      <c r="A155" s="4" t="s">
        <v>101</v>
      </c>
      <c r="B155" s="19">
        <v>3192</v>
      </c>
      <c r="C155" s="19">
        <v>19990</v>
      </c>
      <c r="D155" s="17"/>
    </row>
    <row r="156" spans="1:4" x14ac:dyDescent="0.25">
      <c r="A156" s="4" t="s">
        <v>102</v>
      </c>
      <c r="B156" s="19">
        <v>317000</v>
      </c>
      <c r="C156" s="19">
        <v>320</v>
      </c>
      <c r="D156" s="17"/>
    </row>
    <row r="157" spans="1:4" x14ac:dyDescent="0.25">
      <c r="A157" s="4" t="s">
        <v>103</v>
      </c>
      <c r="B157" s="19">
        <v>97546</v>
      </c>
      <c r="C157" s="19">
        <v>1920</v>
      </c>
      <c r="D157" s="17"/>
    </row>
    <row r="158" spans="1:4" x14ac:dyDescent="0.25">
      <c r="A158" s="4" t="s">
        <v>104</v>
      </c>
      <c r="B158" s="19">
        <v>0</v>
      </c>
      <c r="C158" s="19"/>
      <c r="D158" s="17"/>
    </row>
    <row r="159" spans="1:4" x14ac:dyDescent="0.25">
      <c r="A159" s="4" t="s">
        <v>105</v>
      </c>
      <c r="B159" s="19">
        <v>4772.09</v>
      </c>
      <c r="C159" s="19">
        <v>67220</v>
      </c>
      <c r="D159" s="17"/>
    </row>
    <row r="160" spans="1:4" x14ac:dyDescent="0.25">
      <c r="A160" s="4" t="s">
        <v>106</v>
      </c>
      <c r="B160" s="19">
        <v>6194.5</v>
      </c>
      <c r="C160" s="19">
        <v>75910</v>
      </c>
      <c r="D160" s="17"/>
    </row>
    <row r="161" spans="1:4" x14ac:dyDescent="0.25">
      <c r="A161" s="4" t="s">
        <v>107</v>
      </c>
      <c r="B161" s="19">
        <v>778846</v>
      </c>
      <c r="C161" s="19">
        <v>710</v>
      </c>
      <c r="D161" s="17"/>
    </row>
    <row r="162" spans="1:4" x14ac:dyDescent="0.25">
      <c r="A162" s="4" t="s">
        <v>108</v>
      </c>
      <c r="B162" s="19">
        <v>4081</v>
      </c>
      <c r="C162" s="19">
        <v>8060.0000000000009</v>
      </c>
      <c r="D162" s="17"/>
    </row>
    <row r="163" spans="1:4" x14ac:dyDescent="0.25">
      <c r="A163" s="4" t="s">
        <v>109</v>
      </c>
      <c r="B163" s="19">
        <v>3785</v>
      </c>
      <c r="C163" s="19">
        <v>8470</v>
      </c>
      <c r="D163" s="17"/>
    </row>
    <row r="164" spans="1:4" x14ac:dyDescent="0.25">
      <c r="A164" s="4" t="s">
        <v>110</v>
      </c>
      <c r="B164" s="19">
        <v>199</v>
      </c>
      <c r="C164" s="19">
        <v>10530</v>
      </c>
      <c r="D164" s="17"/>
    </row>
    <row r="165" spans="1:4" x14ac:dyDescent="0.25">
      <c r="A165" s="4" t="s">
        <v>111</v>
      </c>
      <c r="B165" s="19">
        <v>3645</v>
      </c>
      <c r="C165" s="19"/>
      <c r="D165" s="17"/>
    </row>
    <row r="166" spans="1:4" x14ac:dyDescent="0.25">
      <c r="A166" s="4" t="s">
        <v>112</v>
      </c>
      <c r="B166" s="19">
        <v>31376</v>
      </c>
      <c r="C166" s="19"/>
      <c r="D166" s="17"/>
    </row>
    <row r="167" spans="1:4" x14ac:dyDescent="0.25">
      <c r="A167" s="4" t="s">
        <v>113</v>
      </c>
      <c r="B167" s="19">
        <v>2653</v>
      </c>
      <c r="C167" s="19"/>
      <c r="D167" s="17"/>
    </row>
    <row r="168" spans="1:4" x14ac:dyDescent="0.25">
      <c r="A168" s="4" t="s">
        <v>114</v>
      </c>
      <c r="B168" s="19">
        <v>12207</v>
      </c>
      <c r="C168" s="19">
        <v>20820</v>
      </c>
      <c r="D168" s="17"/>
    </row>
    <row r="169" spans="1:4" x14ac:dyDescent="0.25">
      <c r="A169" s="4" t="s">
        <v>115</v>
      </c>
      <c r="B169" s="19">
        <v>0</v>
      </c>
      <c r="C169" s="19"/>
      <c r="D169" s="17"/>
    </row>
    <row r="170" spans="1:4" x14ac:dyDescent="0.25">
      <c r="A170" s="4" t="s">
        <v>116</v>
      </c>
      <c r="B170" s="19">
        <v>0</v>
      </c>
      <c r="C170" s="19"/>
      <c r="D170" s="17"/>
    </row>
    <row r="171" spans="1:4" x14ac:dyDescent="0.25">
      <c r="A171" s="4" t="s">
        <v>117</v>
      </c>
      <c r="B171" s="19">
        <v>0</v>
      </c>
      <c r="C171" s="19"/>
      <c r="D171" s="17"/>
    </row>
    <row r="172" spans="1:4" x14ac:dyDescent="0.25">
      <c r="A172" s="4" t="s">
        <v>118</v>
      </c>
      <c r="B172" s="19">
        <v>162533</v>
      </c>
      <c r="C172" s="19">
        <v>2050</v>
      </c>
      <c r="D172" s="17"/>
    </row>
    <row r="173" spans="1:4" x14ac:dyDescent="0.25">
      <c r="A173" s="4" t="s">
        <v>119</v>
      </c>
      <c r="B173" s="19">
        <v>0</v>
      </c>
      <c r="C173" s="19"/>
      <c r="D173" s="17"/>
    </row>
    <row r="174" spans="1:4" x14ac:dyDescent="0.25">
      <c r="A174" s="4" t="s">
        <v>120</v>
      </c>
      <c r="B174" s="19">
        <v>5461.7</v>
      </c>
      <c r="C174" s="19">
        <v>84360</v>
      </c>
      <c r="D174" s="17"/>
    </row>
    <row r="175" spans="1:4" x14ac:dyDescent="0.25">
      <c r="A175" s="4" t="s">
        <v>121</v>
      </c>
      <c r="B175" s="19">
        <v>0</v>
      </c>
      <c r="C175" s="19"/>
      <c r="D175" s="17"/>
    </row>
    <row r="176" spans="1:4" x14ac:dyDescent="0.25">
      <c r="A176" s="4" t="s">
        <v>122</v>
      </c>
      <c r="B176" s="19">
        <v>5</v>
      </c>
      <c r="C176" s="19">
        <v>535690</v>
      </c>
      <c r="D176" s="17"/>
    </row>
    <row r="177" spans="1:4" x14ac:dyDescent="0.25">
      <c r="A177" s="4" t="s">
        <v>123</v>
      </c>
      <c r="B177" s="19">
        <v>913</v>
      </c>
      <c r="C177" s="19">
        <v>8310</v>
      </c>
      <c r="D177" s="17"/>
    </row>
    <row r="178" spans="1:4" x14ac:dyDescent="0.25">
      <c r="A178" s="4" t="s">
        <v>124</v>
      </c>
      <c r="B178" s="19">
        <v>3015</v>
      </c>
      <c r="C178" s="19">
        <v>24520</v>
      </c>
      <c r="D178" s="17"/>
    </row>
    <row r="179" spans="1:4" x14ac:dyDescent="0.25">
      <c r="A179" s="4" t="s">
        <v>125</v>
      </c>
      <c r="B179" s="19">
        <v>148</v>
      </c>
      <c r="C179" s="19">
        <v>7060</v>
      </c>
      <c r="D179" s="17"/>
    </row>
    <row r="180" spans="1:4" x14ac:dyDescent="0.25">
      <c r="A180" s="4" t="s">
        <v>126</v>
      </c>
      <c r="B180" s="19">
        <v>2330</v>
      </c>
      <c r="C180" s="19">
        <v>10150</v>
      </c>
      <c r="D180" s="17"/>
    </row>
    <row r="181" spans="1:4" x14ac:dyDescent="0.25">
      <c r="A181" s="4" t="s">
        <v>127</v>
      </c>
      <c r="B181" s="19">
        <v>7526</v>
      </c>
      <c r="C181" s="19">
        <v>12280</v>
      </c>
      <c r="D181" s="17"/>
    </row>
    <row r="182" spans="1:4" x14ac:dyDescent="0.25">
      <c r="A182" s="4" t="s">
        <v>128</v>
      </c>
      <c r="B182" s="19">
        <v>5702</v>
      </c>
      <c r="C182" s="19"/>
      <c r="D182" s="17"/>
    </row>
    <row r="183" spans="1:4" x14ac:dyDescent="0.25">
      <c r="A183" s="4" t="s">
        <v>129</v>
      </c>
      <c r="B183" s="19">
        <v>1</v>
      </c>
      <c r="C183" s="19"/>
      <c r="D183" s="17"/>
    </row>
    <row r="184" spans="1:4" x14ac:dyDescent="0.25">
      <c r="A184" s="4" t="s">
        <v>130</v>
      </c>
      <c r="B184" s="19">
        <v>0</v>
      </c>
      <c r="C184" s="19"/>
      <c r="D184" s="17"/>
    </row>
    <row r="185" spans="1:4" x14ac:dyDescent="0.25">
      <c r="A185" s="4" t="s">
        <v>131</v>
      </c>
      <c r="B185" s="19">
        <v>0</v>
      </c>
      <c r="C185" s="19"/>
      <c r="D185" s="17"/>
    </row>
    <row r="186" spans="1:4" x14ac:dyDescent="0.25">
      <c r="A186" s="4" t="s">
        <v>132</v>
      </c>
      <c r="B186" s="19">
        <v>0</v>
      </c>
      <c r="C186" s="19"/>
      <c r="D186" s="17"/>
    </row>
    <row r="187" spans="1:4" x14ac:dyDescent="0.25">
      <c r="A187" s="4" t="s">
        <v>133</v>
      </c>
      <c r="B187" s="19">
        <v>0</v>
      </c>
      <c r="C187" s="19"/>
      <c r="D187" s="17"/>
    </row>
    <row r="188" spans="1:4" x14ac:dyDescent="0.25">
      <c r="A188" s="4" t="s">
        <v>134</v>
      </c>
      <c r="B188" s="19">
        <v>0</v>
      </c>
      <c r="C188" s="19"/>
      <c r="D188" s="17"/>
    </row>
    <row r="189" spans="1:4" x14ac:dyDescent="0.25">
      <c r="A189" s="4" t="s">
        <v>135</v>
      </c>
      <c r="B189" s="19">
        <v>0</v>
      </c>
      <c r="C189" s="19"/>
      <c r="D189" s="17"/>
    </row>
    <row r="190" spans="1:4" x14ac:dyDescent="0.25">
      <c r="A190" s="4" t="s">
        <v>136</v>
      </c>
      <c r="B190" s="19">
        <v>0</v>
      </c>
      <c r="C190" s="19"/>
      <c r="D190" s="17"/>
    </row>
    <row r="191" spans="1:4" x14ac:dyDescent="0.25">
      <c r="A191" s="4" t="s">
        <v>137</v>
      </c>
      <c r="B191" s="19">
        <v>31541</v>
      </c>
      <c r="C191" s="19">
        <v>1780</v>
      </c>
      <c r="D191" s="17"/>
    </row>
    <row r="192" spans="1:4" x14ac:dyDescent="0.25">
      <c r="A192" s="4" t="s">
        <v>138</v>
      </c>
      <c r="B192" s="19">
        <v>8203</v>
      </c>
      <c r="C192" s="19">
        <v>12820</v>
      </c>
      <c r="D192" s="17"/>
    </row>
    <row r="193" spans="1:4" x14ac:dyDescent="0.25">
      <c r="A193" s="4" t="s">
        <v>139</v>
      </c>
      <c r="B193" s="19">
        <v>0</v>
      </c>
      <c r="C193" s="19"/>
      <c r="D193" s="17"/>
    </row>
    <row r="194" spans="1:4" x14ac:dyDescent="0.25">
      <c r="A194" s="4" t="s">
        <v>140</v>
      </c>
      <c r="B194" s="19">
        <v>0</v>
      </c>
      <c r="C194" s="19"/>
      <c r="D194" s="17"/>
    </row>
    <row r="195" spans="1:4" x14ac:dyDescent="0.25">
      <c r="A195" s="4" t="s">
        <v>141</v>
      </c>
      <c r="B195" s="19">
        <v>1186</v>
      </c>
      <c r="C195" s="19">
        <v>26880</v>
      </c>
      <c r="D195" s="17"/>
    </row>
    <row r="196" spans="1:4" x14ac:dyDescent="0.25">
      <c r="A196" s="4" t="s">
        <v>142</v>
      </c>
      <c r="B196" s="19">
        <v>41</v>
      </c>
      <c r="C196" s="19">
        <v>33670</v>
      </c>
      <c r="D196" s="17"/>
    </row>
    <row r="197" spans="1:4" x14ac:dyDescent="0.25">
      <c r="A197" s="4" t="s">
        <v>143</v>
      </c>
      <c r="B197" s="19">
        <v>329</v>
      </c>
      <c r="C197" s="19">
        <v>41550</v>
      </c>
      <c r="D197" s="17"/>
    </row>
    <row r="198" spans="1:4" x14ac:dyDescent="0.25">
      <c r="A198" s="4" t="s">
        <v>144</v>
      </c>
      <c r="B198" s="19">
        <v>28</v>
      </c>
      <c r="C198" s="19">
        <v>52490</v>
      </c>
      <c r="D198" s="17"/>
    </row>
    <row r="199" spans="1:4" x14ac:dyDescent="0.25">
      <c r="A199" s="4" t="s">
        <v>145</v>
      </c>
      <c r="B199" s="19">
        <v>15324</v>
      </c>
      <c r="C199" s="19">
        <v>2610</v>
      </c>
      <c r="D199" s="17"/>
    </row>
    <row r="200" spans="1:4" x14ac:dyDescent="0.25">
      <c r="A200" s="4" t="s">
        <v>146</v>
      </c>
      <c r="B200" s="19">
        <v>190</v>
      </c>
      <c r="C200" s="19">
        <v>45360</v>
      </c>
      <c r="D200" s="17"/>
    </row>
    <row r="201" spans="1:4" x14ac:dyDescent="0.25">
      <c r="A201" s="4" t="s">
        <v>147</v>
      </c>
      <c r="B201" s="19">
        <v>4318</v>
      </c>
      <c r="C201" s="19">
        <v>3610</v>
      </c>
      <c r="D201" s="17"/>
    </row>
    <row r="202" spans="1:4" x14ac:dyDescent="0.25">
      <c r="A202" s="4" t="s">
        <v>148</v>
      </c>
      <c r="B202" s="19">
        <v>251</v>
      </c>
      <c r="C202" s="19">
        <v>74530</v>
      </c>
      <c r="D202" s="17"/>
    </row>
    <row r="203" spans="1:4" x14ac:dyDescent="0.25">
      <c r="A203" s="4" t="s">
        <v>149</v>
      </c>
      <c r="B203" s="19">
        <v>386.84</v>
      </c>
      <c r="C203" s="19">
        <v>173040</v>
      </c>
      <c r="D203" s="17"/>
    </row>
    <row r="204" spans="1:4" x14ac:dyDescent="0.25">
      <c r="A204" s="4" t="s">
        <v>150</v>
      </c>
      <c r="B204" s="19">
        <v>0</v>
      </c>
      <c r="C204" s="19">
        <v>152890</v>
      </c>
      <c r="D204" s="17"/>
    </row>
    <row r="205" spans="1:4" x14ac:dyDescent="0.25">
      <c r="A205" s="4" t="s">
        <v>151</v>
      </c>
      <c r="B205" s="19">
        <v>8.1240000000000006</v>
      </c>
      <c r="C205" s="19">
        <v>173420</v>
      </c>
      <c r="D205" s="17"/>
    </row>
    <row r="206" spans="1:4" x14ac:dyDescent="0.25">
      <c r="A206" s="4" t="s">
        <v>152</v>
      </c>
      <c r="B206" s="19">
        <v>6</v>
      </c>
      <c r="C206" s="19">
        <v>444450</v>
      </c>
      <c r="D206" s="17"/>
    </row>
    <row r="207" spans="1:4" x14ac:dyDescent="0.25">
      <c r="A207" s="4" t="s">
        <v>153</v>
      </c>
      <c r="B207" s="19">
        <v>2</v>
      </c>
      <c r="C207" s="19">
        <v>444450</v>
      </c>
      <c r="D207" s="17"/>
    </row>
    <row r="208" spans="1:4" x14ac:dyDescent="0.25">
      <c r="A208" s="4" t="s">
        <v>154</v>
      </c>
      <c r="B208" s="19">
        <v>1</v>
      </c>
      <c r="C208" s="19">
        <v>444450</v>
      </c>
      <c r="D208" s="17"/>
    </row>
    <row r="209" spans="1:4" x14ac:dyDescent="0.25">
      <c r="A209" s="4" t="s">
        <v>155</v>
      </c>
      <c r="B209" s="19">
        <v>1.3</v>
      </c>
      <c r="C209" s="19">
        <v>1134520</v>
      </c>
      <c r="D209" s="17"/>
    </row>
    <row r="210" spans="1:4" x14ac:dyDescent="0.25">
      <c r="A210" s="4" t="s">
        <v>156</v>
      </c>
      <c r="B210" s="19">
        <v>311</v>
      </c>
      <c r="C210" s="19">
        <v>66580</v>
      </c>
      <c r="D210" s="17"/>
    </row>
    <row r="211" spans="1:4" x14ac:dyDescent="0.25">
      <c r="A211" s="4" t="s">
        <v>157</v>
      </c>
      <c r="B211" s="19">
        <v>274</v>
      </c>
      <c r="C211" s="19">
        <v>51400</v>
      </c>
      <c r="D211" s="17"/>
    </row>
    <row r="212" spans="1:4" x14ac:dyDescent="0.25">
      <c r="A212" s="4" t="s">
        <v>158</v>
      </c>
      <c r="B212" s="19">
        <v>16</v>
      </c>
      <c r="C212" s="19">
        <v>33170</v>
      </c>
      <c r="D212" s="17"/>
    </row>
    <row r="213" spans="1:4" x14ac:dyDescent="0.25">
      <c r="A213" s="4" t="s">
        <v>159</v>
      </c>
      <c r="B213" s="19">
        <v>0</v>
      </c>
      <c r="C213" s="19"/>
      <c r="D213" s="17"/>
    </row>
    <row r="214" spans="1:4" x14ac:dyDescent="0.25">
      <c r="A214" s="4" t="s">
        <v>160</v>
      </c>
      <c r="B214" s="19">
        <v>0</v>
      </c>
      <c r="C214" s="19"/>
      <c r="D214" s="17"/>
    </row>
    <row r="215" spans="1:4" x14ac:dyDescent="0.25">
      <c r="A215" s="4" t="s">
        <v>161</v>
      </c>
      <c r="B215" s="19">
        <v>1074</v>
      </c>
      <c r="C215" s="19"/>
      <c r="D215" s="17"/>
    </row>
    <row r="216" spans="1:4" x14ac:dyDescent="0.25">
      <c r="A216" s="4" t="s">
        <v>162</v>
      </c>
      <c r="B216" s="19">
        <v>53</v>
      </c>
      <c r="C216" s="19">
        <v>88110</v>
      </c>
      <c r="D216" s="17"/>
    </row>
    <row r="217" spans="1:4" x14ac:dyDescent="0.25">
      <c r="A217" s="4" t="s">
        <v>163</v>
      </c>
      <c r="B217" s="19">
        <v>233</v>
      </c>
      <c r="C217" s="19"/>
      <c r="D217" s="17"/>
    </row>
    <row r="218" spans="1:4" x14ac:dyDescent="0.25">
      <c r="A218" s="4" t="s">
        <v>164</v>
      </c>
      <c r="B218" s="19">
        <v>0</v>
      </c>
      <c r="C218" s="19"/>
      <c r="D218" s="17"/>
    </row>
    <row r="219" spans="1:4" x14ac:dyDescent="0.25">
      <c r="A219" s="4" t="s">
        <v>165</v>
      </c>
      <c r="B219" s="19">
        <v>247</v>
      </c>
      <c r="C219" s="19">
        <v>262730</v>
      </c>
      <c r="D219" s="17"/>
    </row>
    <row r="220" spans="1:4" x14ac:dyDescent="0.25">
      <c r="A220" s="4" t="s">
        <v>166</v>
      </c>
      <c r="B220" s="19">
        <v>244</v>
      </c>
      <c r="C220" s="19"/>
      <c r="D220" s="17"/>
    </row>
    <row r="221" spans="1:4" x14ac:dyDescent="0.25">
      <c r="A221" s="4" t="s">
        <v>167</v>
      </c>
      <c r="B221" s="19">
        <v>30</v>
      </c>
      <c r="C221" s="19">
        <v>457920</v>
      </c>
      <c r="D221" s="17"/>
    </row>
    <row r="222" spans="1:4" x14ac:dyDescent="0.25">
      <c r="A222" s="4" t="s">
        <v>168</v>
      </c>
      <c r="B222" s="19">
        <v>0</v>
      </c>
      <c r="C222" s="19"/>
      <c r="D222" s="17"/>
    </row>
    <row r="223" spans="1:4" x14ac:dyDescent="0.25">
      <c r="A223" s="4" t="s">
        <v>169</v>
      </c>
      <c r="B223" s="19">
        <v>91</v>
      </c>
      <c r="C223" s="19">
        <v>52850</v>
      </c>
      <c r="D223" s="17"/>
    </row>
    <row r="224" spans="1:4" x14ac:dyDescent="0.25">
      <c r="A224" s="4" t="s">
        <v>170</v>
      </c>
      <c r="B224" s="19">
        <v>1089</v>
      </c>
      <c r="C224" s="19">
        <v>53510</v>
      </c>
      <c r="D224" s="17"/>
    </row>
    <row r="225" spans="1:4" x14ac:dyDescent="0.25">
      <c r="A225" s="4" t="s">
        <v>171</v>
      </c>
      <c r="B225" s="19">
        <v>835</v>
      </c>
      <c r="C225" s="19">
        <v>3640</v>
      </c>
      <c r="D225" s="17"/>
    </row>
    <row r="226" spans="1:4" x14ac:dyDescent="0.25">
      <c r="A226" s="4" t="s">
        <v>172</v>
      </c>
      <c r="B226" s="19">
        <v>2354</v>
      </c>
      <c r="C226" s="19">
        <v>98620</v>
      </c>
      <c r="D226" s="17"/>
    </row>
    <row r="227" spans="1:4" x14ac:dyDescent="0.25">
      <c r="A227" s="4" t="s">
        <v>173</v>
      </c>
      <c r="B227" s="19">
        <v>4708</v>
      </c>
      <c r="C227" s="19">
        <v>3800</v>
      </c>
      <c r="D227" s="17"/>
    </row>
    <row r="228" spans="1:4" x14ac:dyDescent="0.25">
      <c r="A228" s="4" t="s">
        <v>174</v>
      </c>
      <c r="B228" s="19">
        <v>35.4</v>
      </c>
      <c r="C228" s="19">
        <v>0</v>
      </c>
      <c r="D228" s="17"/>
    </row>
    <row r="229" spans="1:4" x14ac:dyDescent="0.25">
      <c r="A229" s="4" t="s">
        <v>175</v>
      </c>
      <c r="B229" s="19">
        <v>58</v>
      </c>
      <c r="C229" s="19">
        <v>1323440</v>
      </c>
      <c r="D229" s="17"/>
    </row>
    <row r="230" spans="1:4" x14ac:dyDescent="0.25">
      <c r="A230" s="4" t="s">
        <v>176</v>
      </c>
      <c r="B230" s="19">
        <v>0</v>
      </c>
      <c r="C230" s="19"/>
      <c r="D230" s="17"/>
    </row>
    <row r="231" spans="1:4" x14ac:dyDescent="0.25">
      <c r="A231" s="4" t="s">
        <v>177</v>
      </c>
      <c r="B231" s="19">
        <v>0</v>
      </c>
      <c r="C231" s="19"/>
      <c r="D231" s="17"/>
    </row>
    <row r="232" spans="1:4" x14ac:dyDescent="0.25">
      <c r="A232" s="4" t="s">
        <v>178</v>
      </c>
      <c r="B232" s="19">
        <v>222</v>
      </c>
      <c r="C232" s="19">
        <v>146880</v>
      </c>
      <c r="D232" s="17"/>
    </row>
    <row r="233" spans="1:4" x14ac:dyDescent="0.25">
      <c r="A233" s="4" t="s">
        <v>179</v>
      </c>
      <c r="B233" s="19">
        <v>727</v>
      </c>
      <c r="C233" s="19"/>
      <c r="D233" s="17"/>
    </row>
    <row r="234" spans="1:4" x14ac:dyDescent="0.25">
      <c r="A234" s="4" t="s">
        <v>180</v>
      </c>
      <c r="B234" s="19">
        <v>131</v>
      </c>
      <c r="C234" s="19">
        <v>1139950</v>
      </c>
      <c r="D234" s="17"/>
    </row>
    <row r="235" spans="1:4" x14ac:dyDescent="0.25">
      <c r="A235" s="4" t="s">
        <v>181</v>
      </c>
      <c r="B235" s="19">
        <v>140</v>
      </c>
      <c r="C235" s="19"/>
      <c r="D235" s="17"/>
    </row>
    <row r="236" spans="1:4" x14ac:dyDescent="0.25">
      <c r="A236" s="4" t="s">
        <v>182</v>
      </c>
      <c r="B236" s="19">
        <v>1</v>
      </c>
      <c r="C236" s="19"/>
      <c r="D236" s="17"/>
    </row>
    <row r="237" spans="1:4" x14ac:dyDescent="0.25">
      <c r="A237" s="4" t="s">
        <v>183</v>
      </c>
      <c r="B237" s="19">
        <v>272</v>
      </c>
      <c r="C237" s="19"/>
      <c r="D237" s="17"/>
    </row>
    <row r="238" spans="1:4" x14ac:dyDescent="0.25">
      <c r="A238" s="4" t="s">
        <v>184</v>
      </c>
      <c r="B238" s="19">
        <v>1246</v>
      </c>
      <c r="C238" s="19"/>
      <c r="D238" s="17"/>
    </row>
    <row r="239" spans="1:4" x14ac:dyDescent="0.25">
      <c r="A239" s="4" t="s">
        <v>185</v>
      </c>
      <c r="B239" s="19">
        <v>143</v>
      </c>
      <c r="C239" s="19"/>
      <c r="D239" s="17"/>
    </row>
    <row r="241" spans="1:3" ht="21" customHeight="1" x14ac:dyDescent="0.3">
      <c r="A241" s="1" t="s">
        <v>186</v>
      </c>
    </row>
    <row r="242" spans="1:3" x14ac:dyDescent="0.25">
      <c r="A242" s="2" t="s">
        <v>187</v>
      </c>
    </row>
    <row r="244" spans="1:3" ht="30" x14ac:dyDescent="0.25">
      <c r="B244" s="15" t="s">
        <v>188</v>
      </c>
    </row>
    <row r="245" spans="1:3" x14ac:dyDescent="0.25">
      <c r="A245" s="4" t="s">
        <v>28</v>
      </c>
      <c r="B245" s="19">
        <v>49299918.108546756</v>
      </c>
      <c r="C245" s="17"/>
    </row>
    <row r="246" spans="1:3" x14ac:dyDescent="0.25">
      <c r="A246" s="4" t="s">
        <v>189</v>
      </c>
      <c r="B246" s="19">
        <v>23067824.613711819</v>
      </c>
      <c r="C246" s="17"/>
    </row>
    <row r="247" spans="1:3" x14ac:dyDescent="0.25">
      <c r="A247" s="4" t="s">
        <v>27</v>
      </c>
      <c r="B247" s="19">
        <v>93064880.701504499</v>
      </c>
      <c r="C247" s="17"/>
    </row>
    <row r="248" spans="1:3" x14ac:dyDescent="0.25">
      <c r="A248" s="4" t="s">
        <v>190</v>
      </c>
      <c r="B248" s="19">
        <v>58049577.21807123</v>
      </c>
      <c r="C248" s="17"/>
    </row>
    <row r="249" spans="1:3" x14ac:dyDescent="0.25">
      <c r="A249" s="4" t="s">
        <v>191</v>
      </c>
      <c r="B249" s="19">
        <v>42157608.691195436</v>
      </c>
      <c r="C249" s="17"/>
    </row>
    <row r="251" spans="1:3" ht="21" customHeight="1" x14ac:dyDescent="0.3">
      <c r="A251" s="1" t="s">
        <v>192</v>
      </c>
    </row>
    <row r="252" spans="1:3" x14ac:dyDescent="0.25">
      <c r="A252" s="2" t="s">
        <v>193</v>
      </c>
    </row>
    <row r="254" spans="1:3" x14ac:dyDescent="0.25">
      <c r="B254" s="15" t="s">
        <v>28</v>
      </c>
    </row>
    <row r="255" spans="1:3" x14ac:dyDescent="0.25">
      <c r="A255" s="4" t="s">
        <v>194</v>
      </c>
      <c r="B255" s="18">
        <v>0.41074973886567012</v>
      </c>
      <c r="C255" s="17"/>
    </row>
  </sheetData>
  <sheetProtection sheet="1" objects="1" scenarios="1"/>
  <dataValidations count="14">
    <dataValidation type="decimal" operator="greaterThanOrEqual" allowBlank="1" showInputMessage="1" showErrorMessage="1" sqref="B13">
      <formula1>0</formula1>
    </dataValidation>
    <dataValidation type="decimal" operator="greaterThanOrEqual" allowBlank="1" showInputMessage="1" showErrorMessage="1" sqref="B19">
      <formula1>0</formula1>
    </dataValidation>
    <dataValidation type="decimal" operator="greaterThanOrEqual" allowBlank="1" showInputMessage="1" showErrorMessage="1" sqref="B25">
      <formula1>0</formula1>
    </dataValidation>
    <dataValidation type="decimal" operator="greaterThanOrEqual" allowBlank="1" showInputMessage="1" showErrorMessage="1" sqref="C25">
      <formula1>0</formula1>
    </dataValidation>
    <dataValidation type="decimal" operator="greaterThanOrEqual" allowBlank="1" showInputMessage="1" showErrorMessage="1" sqref="D25">
      <formula1>0</formula1>
    </dataValidation>
    <dataValidation type="decimal" operator="greaterThanOrEqual" allowBlank="1" showInputMessage="1" showErrorMessage="1" sqref="B31">
      <formula1>0</formula1>
    </dataValidation>
    <dataValidation type="decimal" operator="greaterThanOrEqual" allowBlank="1" showInputMessage="1" showErrorMessage="1" sqref="B37:B39">
      <formula1>0</formula1>
    </dataValidation>
    <dataValidation type="decimal" operator="greaterThanOrEqual" allowBlank="1" showInputMessage="1" showErrorMessage="1" sqref="B45">
      <formula1>0</formula1>
    </dataValidation>
    <dataValidation type="decimal" operator="greaterThanOrEqual" allowBlank="1" showInputMessage="1" showErrorMessage="1" sqref="B104:L104">
      <formula1>0</formula1>
    </dataValidation>
    <dataValidation type="decimal" operator="greaterThanOrEqual" allowBlank="1" showInputMessage="1" showErrorMessage="1" sqref="B110">
      <formula1>0</formula1>
    </dataValidation>
    <dataValidation type="decimal" operator="greaterThanOrEqual" allowBlank="1" showInputMessage="1" showErrorMessage="1" sqref="B155:B239">
      <formula1>0</formula1>
    </dataValidation>
    <dataValidation type="decimal" operator="greaterThanOrEqual" allowBlank="1" showInputMessage="1" showErrorMessage="1" sqref="C155:C239">
      <formula1>0</formula1>
    </dataValidation>
    <dataValidation type="decimal" operator="greaterThanOrEqual" allowBlank="1" showInputMessage="1" showErrorMessage="1" sqref="B245:B249">
      <formula1>0</formula1>
    </dataValidation>
    <dataValidation type="decimal" operator="greaterThanOrEqual" allowBlank="1" showInputMessage="1" showErrorMessage="1" sqref="B255">
      <formula1>0</formula1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7"/>
  <sheetViews>
    <sheetView showGridLines="0" workbookViewId="0">
      <pane ySplit="1" topLeftCell="A47" activePane="bottomLeft" state="frozen"/>
      <selection pane="bottomLeft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(CDCM) for "&amp;Input!B7&amp;" in "&amp;Input!C7&amp;" ("&amp;Input!D7&amp;")"</f>
        <v>Calculations (CDCM) for SWAE in 2018/19 (no data version)</v>
      </c>
    </row>
    <row r="3" spans="1:6" ht="21" customHeight="1" x14ac:dyDescent="0.3">
      <c r="A3" s="1" t="s">
        <v>196</v>
      </c>
    </row>
    <row r="4" spans="1:6" x14ac:dyDescent="0.25">
      <c r="A4" s="2" t="s">
        <v>197</v>
      </c>
    </row>
    <row r="5" spans="1:6" x14ac:dyDescent="0.25">
      <c r="A5" s="21" t="s">
        <v>198</v>
      </c>
    </row>
    <row r="6" spans="1:6" x14ac:dyDescent="0.25">
      <c r="A6" s="21" t="s">
        <v>199</v>
      </c>
    </row>
    <row r="7" spans="1:6" x14ac:dyDescent="0.25">
      <c r="A7" s="2" t="s">
        <v>200</v>
      </c>
    </row>
    <row r="9" spans="1:6" x14ac:dyDescent="0.25">
      <c r="B9" s="15" t="s">
        <v>28</v>
      </c>
      <c r="C9" s="15" t="s">
        <v>38</v>
      </c>
      <c r="D9" s="15" t="s">
        <v>27</v>
      </c>
      <c r="E9" s="15" t="s">
        <v>39</v>
      </c>
    </row>
    <row r="10" spans="1:6" ht="30" x14ac:dyDescent="0.25">
      <c r="A10" s="4" t="s">
        <v>40</v>
      </c>
      <c r="B10" s="22">
        <f>Input!B$58</f>
        <v>609999.99999999942</v>
      </c>
      <c r="C10" s="22">
        <f>Input!C$58</f>
        <v>0</v>
      </c>
      <c r="D10" s="22">
        <f>Input!D$58</f>
        <v>1020000</v>
      </c>
      <c r="E10" s="22">
        <f>Input!E$58</f>
        <v>2655000.0000000005</v>
      </c>
      <c r="F10" s="17"/>
    </row>
    <row r="11" spans="1:6" ht="30" x14ac:dyDescent="0.25">
      <c r="A11" s="4" t="s">
        <v>44</v>
      </c>
      <c r="B11" s="22">
        <f>Input!B66</f>
        <v>5199999.9999999991</v>
      </c>
      <c r="C11" s="22">
        <f>Input!C66</f>
        <v>4200000</v>
      </c>
      <c r="D11" s="22">
        <f>Input!D66</f>
        <v>14299999.999999998</v>
      </c>
      <c r="E11" s="22">
        <f>Input!E66</f>
        <v>8500000</v>
      </c>
      <c r="F11" s="17"/>
    </row>
    <row r="12" spans="1:6" x14ac:dyDescent="0.25">
      <c r="A12" s="4" t="s">
        <v>45</v>
      </c>
      <c r="B12" s="22">
        <f>Input!B67</f>
        <v>0</v>
      </c>
      <c r="C12" s="22">
        <f>Input!C67</f>
        <v>0</v>
      </c>
      <c r="D12" s="22">
        <f>Input!D67</f>
        <v>0</v>
      </c>
      <c r="E12" s="22">
        <f>Input!E67</f>
        <v>0</v>
      </c>
      <c r="F12" s="17"/>
    </row>
    <row r="13" spans="1:6" x14ac:dyDescent="0.25">
      <c r="A13" s="4" t="s">
        <v>46</v>
      </c>
      <c r="B13" s="22">
        <f>Input!B68</f>
        <v>4899999.9999999991</v>
      </c>
      <c r="C13" s="22">
        <f>Input!C68</f>
        <v>200000</v>
      </c>
      <c r="D13" s="22">
        <f>Input!D68</f>
        <v>2300000</v>
      </c>
      <c r="E13" s="22">
        <f>Input!E68</f>
        <v>600000.00000000012</v>
      </c>
      <c r="F13" s="17"/>
    </row>
    <row r="14" spans="1:6" x14ac:dyDescent="0.25">
      <c r="A14" s="4" t="s">
        <v>47</v>
      </c>
      <c r="B14" s="22">
        <f>Input!B69</f>
        <v>700000.00000000012</v>
      </c>
      <c r="C14" s="22">
        <f>Input!C69</f>
        <v>1600000</v>
      </c>
      <c r="D14" s="22">
        <f>Input!D69</f>
        <v>600000</v>
      </c>
      <c r="E14" s="22">
        <f>Input!E69</f>
        <v>2300000.0000000005</v>
      </c>
      <c r="F14" s="17"/>
    </row>
    <row r="15" spans="1:6" x14ac:dyDescent="0.25">
      <c r="A15" s="4" t="s">
        <v>48</v>
      </c>
      <c r="B15" s="22">
        <f>Input!B70</f>
        <v>1165518.1170566711</v>
      </c>
      <c r="C15" s="22">
        <f>Input!C70</f>
        <v>0</v>
      </c>
      <c r="D15" s="22">
        <f>Input!D70</f>
        <v>2363069.33637506</v>
      </c>
      <c r="E15" s="22">
        <f>Input!E70</f>
        <v>629777.08916097635</v>
      </c>
      <c r="F15" s="17"/>
    </row>
    <row r="16" spans="1:6" x14ac:dyDescent="0.25">
      <c r="A16" s="4" t="s">
        <v>49</v>
      </c>
      <c r="B16" s="22">
        <f>Input!B71</f>
        <v>0</v>
      </c>
      <c r="C16" s="22">
        <f>Input!C71</f>
        <v>0</v>
      </c>
      <c r="D16" s="22">
        <f>Input!D71</f>
        <v>0</v>
      </c>
      <c r="E16" s="22">
        <f>Input!E71</f>
        <v>0</v>
      </c>
      <c r="F16" s="17"/>
    </row>
    <row r="17" spans="1:6" x14ac:dyDescent="0.25">
      <c r="A17" s="4" t="s">
        <v>50</v>
      </c>
      <c r="B17" s="22">
        <f>Input!B72</f>
        <v>0</v>
      </c>
      <c r="C17" s="22">
        <f>Input!C72</f>
        <v>0</v>
      </c>
      <c r="D17" s="22">
        <f>Input!D72</f>
        <v>0</v>
      </c>
      <c r="E17" s="22">
        <f>Input!E72</f>
        <v>0</v>
      </c>
      <c r="F17" s="17"/>
    </row>
    <row r="18" spans="1:6" x14ac:dyDescent="0.25">
      <c r="A18" s="4" t="s">
        <v>51</v>
      </c>
      <c r="B18" s="22">
        <f>Input!B73</f>
        <v>0</v>
      </c>
      <c r="C18" s="22">
        <f>Input!C73</f>
        <v>0</v>
      </c>
      <c r="D18" s="22">
        <f>Input!D73</f>
        <v>0</v>
      </c>
      <c r="E18" s="22">
        <f>Input!E73</f>
        <v>0</v>
      </c>
      <c r="F18" s="17"/>
    </row>
    <row r="19" spans="1:6" x14ac:dyDescent="0.25">
      <c r="A19" s="4" t="s">
        <v>52</v>
      </c>
      <c r="B19" s="22">
        <f>Input!B74</f>
        <v>0</v>
      </c>
      <c r="C19" s="22">
        <f>Input!C74</f>
        <v>0</v>
      </c>
      <c r="D19" s="22">
        <f>Input!D74</f>
        <v>0</v>
      </c>
      <c r="E19" s="22">
        <f>Input!E74</f>
        <v>0</v>
      </c>
      <c r="F19" s="17"/>
    </row>
    <row r="20" spans="1:6" x14ac:dyDescent="0.25">
      <c r="A20" s="4" t="s">
        <v>53</v>
      </c>
      <c r="B20" s="22">
        <f>Input!B75</f>
        <v>0</v>
      </c>
      <c r="C20" s="22">
        <f>Input!C75</f>
        <v>0</v>
      </c>
      <c r="D20" s="22">
        <f>Input!D75</f>
        <v>0</v>
      </c>
      <c r="E20" s="22">
        <f>Input!E75</f>
        <v>0</v>
      </c>
      <c r="F20" s="17"/>
    </row>
    <row r="21" spans="1:6" x14ac:dyDescent="0.25">
      <c r="A21" s="4" t="s">
        <v>54</v>
      </c>
      <c r="B21" s="22">
        <f>Input!B76</f>
        <v>0</v>
      </c>
      <c r="C21" s="22">
        <f>Input!C76</f>
        <v>0</v>
      </c>
      <c r="D21" s="22">
        <f>Input!D76</f>
        <v>0</v>
      </c>
      <c r="E21" s="22">
        <f>Input!E76</f>
        <v>0</v>
      </c>
      <c r="F21" s="17"/>
    </row>
    <row r="22" spans="1:6" x14ac:dyDescent="0.25">
      <c r="A22" s="4" t="s">
        <v>55</v>
      </c>
      <c r="B22" s="22">
        <f>Input!B77</f>
        <v>0</v>
      </c>
      <c r="C22" s="22">
        <f>Input!C77</f>
        <v>0</v>
      </c>
      <c r="D22" s="22">
        <f>Input!D77</f>
        <v>0</v>
      </c>
      <c r="E22" s="22">
        <f>Input!E77</f>
        <v>0</v>
      </c>
      <c r="F22" s="17"/>
    </row>
    <row r="23" spans="1:6" x14ac:dyDescent="0.25">
      <c r="A23" s="4" t="s">
        <v>56</v>
      </c>
      <c r="B23" s="22">
        <f>Input!B78</f>
        <v>0</v>
      </c>
      <c r="C23" s="22">
        <f>Input!C78</f>
        <v>0</v>
      </c>
      <c r="D23" s="22">
        <f>Input!D78</f>
        <v>0</v>
      </c>
      <c r="E23" s="22">
        <f>Input!E78</f>
        <v>0</v>
      </c>
      <c r="F23" s="17"/>
    </row>
    <row r="24" spans="1:6" x14ac:dyDescent="0.25">
      <c r="A24" s="4" t="s">
        <v>57</v>
      </c>
      <c r="B24" s="22">
        <f>Input!B79</f>
        <v>0</v>
      </c>
      <c r="C24" s="22">
        <f>Input!C79</f>
        <v>0</v>
      </c>
      <c r="D24" s="22">
        <f>Input!D79</f>
        <v>0</v>
      </c>
      <c r="E24" s="22">
        <f>Input!E79</f>
        <v>0</v>
      </c>
      <c r="F24" s="17"/>
    </row>
    <row r="25" spans="1:6" x14ac:dyDescent="0.25">
      <c r="A25" s="4" t="s">
        <v>58</v>
      </c>
      <c r="B25" s="22">
        <f>Input!B80</f>
        <v>0</v>
      </c>
      <c r="C25" s="22">
        <f>Input!C80</f>
        <v>0</v>
      </c>
      <c r="D25" s="22">
        <f>Input!D80</f>
        <v>0</v>
      </c>
      <c r="E25" s="22">
        <f>Input!E80</f>
        <v>0</v>
      </c>
      <c r="F25" s="17"/>
    </row>
    <row r="26" spans="1:6" x14ac:dyDescent="0.25">
      <c r="A26" s="4" t="s">
        <v>59</v>
      </c>
      <c r="B26" s="22">
        <f>Input!B81</f>
        <v>0</v>
      </c>
      <c r="C26" s="22">
        <f>Input!C81</f>
        <v>0</v>
      </c>
      <c r="D26" s="22">
        <f>Input!D81</f>
        <v>0</v>
      </c>
      <c r="E26" s="22">
        <f>Input!E81</f>
        <v>0</v>
      </c>
      <c r="F26" s="17"/>
    </row>
    <row r="27" spans="1:6" x14ac:dyDescent="0.25">
      <c r="A27" s="4" t="s">
        <v>60</v>
      </c>
      <c r="B27" s="22">
        <f>Input!B82</f>
        <v>0</v>
      </c>
      <c r="C27" s="22">
        <f>Input!C82</f>
        <v>0</v>
      </c>
      <c r="D27" s="22">
        <f>Input!D82</f>
        <v>0</v>
      </c>
      <c r="E27" s="22">
        <f>Input!E82</f>
        <v>0</v>
      </c>
      <c r="F27" s="17"/>
    </row>
    <row r="28" spans="1:6" x14ac:dyDescent="0.25">
      <c r="A28" s="4" t="s">
        <v>61</v>
      </c>
      <c r="B28" s="22">
        <f>Input!B83</f>
        <v>0</v>
      </c>
      <c r="C28" s="22">
        <f>Input!C83</f>
        <v>0</v>
      </c>
      <c r="D28" s="22">
        <f>Input!D83</f>
        <v>0</v>
      </c>
      <c r="E28" s="22">
        <f>Input!E83</f>
        <v>0</v>
      </c>
      <c r="F28" s="17"/>
    </row>
    <row r="29" spans="1:6" x14ac:dyDescent="0.25">
      <c r="A29" s="4" t="s">
        <v>62</v>
      </c>
      <c r="B29" s="22">
        <f>Input!B84</f>
        <v>0</v>
      </c>
      <c r="C29" s="22">
        <f>Input!C84</f>
        <v>0</v>
      </c>
      <c r="D29" s="22">
        <f>Input!D84</f>
        <v>0</v>
      </c>
      <c r="E29" s="22">
        <f>Input!E84</f>
        <v>0</v>
      </c>
      <c r="F29" s="17"/>
    </row>
    <row r="30" spans="1:6" x14ac:dyDescent="0.25">
      <c r="A30" s="4" t="s">
        <v>63</v>
      </c>
      <c r="B30" s="22">
        <f>Input!B85</f>
        <v>0</v>
      </c>
      <c r="C30" s="22">
        <f>Input!C85</f>
        <v>0</v>
      </c>
      <c r="D30" s="22">
        <f>Input!D85</f>
        <v>0</v>
      </c>
      <c r="E30" s="22">
        <f>Input!E85</f>
        <v>0</v>
      </c>
      <c r="F30" s="17"/>
    </row>
    <row r="31" spans="1:6" x14ac:dyDescent="0.25">
      <c r="A31" s="4" t="s">
        <v>64</v>
      </c>
      <c r="B31" s="22">
        <f>Input!B86</f>
        <v>0</v>
      </c>
      <c r="C31" s="22">
        <f>Input!C86</f>
        <v>0</v>
      </c>
      <c r="D31" s="22">
        <f>Input!D86</f>
        <v>0</v>
      </c>
      <c r="E31" s="22">
        <f>Input!E86</f>
        <v>0</v>
      </c>
      <c r="F31" s="17"/>
    </row>
    <row r="32" spans="1:6" x14ac:dyDescent="0.25">
      <c r="A32" s="4" t="s">
        <v>65</v>
      </c>
      <c r="B32" s="22">
        <f>Input!B87</f>
        <v>0</v>
      </c>
      <c r="C32" s="22">
        <f>Input!C87</f>
        <v>0</v>
      </c>
      <c r="D32" s="22">
        <f>Input!D87</f>
        <v>0</v>
      </c>
      <c r="E32" s="22">
        <f>Input!E87</f>
        <v>0</v>
      </c>
      <c r="F32" s="17"/>
    </row>
    <row r="33" spans="1:6" x14ac:dyDescent="0.25">
      <c r="A33" s="4" t="s">
        <v>66</v>
      </c>
      <c r="B33" s="22">
        <f>Input!B88</f>
        <v>0</v>
      </c>
      <c r="C33" s="22">
        <f>Input!C88</f>
        <v>0</v>
      </c>
      <c r="D33" s="22">
        <f>Input!D88</f>
        <v>0</v>
      </c>
      <c r="E33" s="22">
        <f>Input!E88</f>
        <v>0</v>
      </c>
      <c r="F33" s="17"/>
    </row>
    <row r="34" spans="1:6" x14ac:dyDescent="0.25">
      <c r="A34" s="4" t="s">
        <v>67</v>
      </c>
      <c r="B34" s="22">
        <f>Input!B89</f>
        <v>0</v>
      </c>
      <c r="C34" s="22">
        <f>Input!C89</f>
        <v>0</v>
      </c>
      <c r="D34" s="22">
        <f>Input!D89</f>
        <v>0</v>
      </c>
      <c r="E34" s="22">
        <f>Input!E89</f>
        <v>0</v>
      </c>
      <c r="F34" s="17"/>
    </row>
    <row r="35" spans="1:6" ht="30" x14ac:dyDescent="0.25">
      <c r="A35" s="4" t="s">
        <v>68</v>
      </c>
      <c r="B35" s="22">
        <f>Input!B90</f>
        <v>0</v>
      </c>
      <c r="C35" s="22">
        <f>Input!C90</f>
        <v>0</v>
      </c>
      <c r="D35" s="22">
        <f>Input!D90</f>
        <v>0</v>
      </c>
      <c r="E35" s="22">
        <f>Input!E90</f>
        <v>0</v>
      </c>
      <c r="F35" s="17"/>
    </row>
    <row r="36" spans="1:6" x14ac:dyDescent="0.25">
      <c r="A36" s="4" t="s">
        <v>69</v>
      </c>
      <c r="B36" s="22">
        <f>Input!B91</f>
        <v>0</v>
      </c>
      <c r="C36" s="22">
        <f>Input!C91</f>
        <v>0</v>
      </c>
      <c r="D36" s="22">
        <f>Input!D91</f>
        <v>0</v>
      </c>
      <c r="E36" s="22">
        <f>Input!E91</f>
        <v>0</v>
      </c>
      <c r="F36" s="17"/>
    </row>
    <row r="37" spans="1:6" x14ac:dyDescent="0.25">
      <c r="A37" s="4" t="s">
        <v>70</v>
      </c>
      <c r="B37" s="22">
        <f>Input!B92</f>
        <v>0</v>
      </c>
      <c r="C37" s="22">
        <f>Input!C92</f>
        <v>0</v>
      </c>
      <c r="D37" s="22">
        <f>Input!D92</f>
        <v>0</v>
      </c>
      <c r="E37" s="22">
        <f>Input!E92</f>
        <v>0</v>
      </c>
      <c r="F37" s="17"/>
    </row>
    <row r="38" spans="1:6" x14ac:dyDescent="0.25">
      <c r="A38" s="4" t="s">
        <v>71</v>
      </c>
      <c r="B38" s="22">
        <f>Input!B93</f>
        <v>0</v>
      </c>
      <c r="C38" s="22">
        <f>Input!C93</f>
        <v>0</v>
      </c>
      <c r="D38" s="22">
        <f>Input!D93</f>
        <v>0</v>
      </c>
      <c r="E38" s="22">
        <f>Input!E93</f>
        <v>0</v>
      </c>
      <c r="F38" s="17"/>
    </row>
    <row r="39" spans="1:6" x14ac:dyDescent="0.25">
      <c r="A39" s="4" t="s">
        <v>72</v>
      </c>
      <c r="B39" s="22">
        <f>Input!B94</f>
        <v>0</v>
      </c>
      <c r="C39" s="22">
        <f>Input!C94</f>
        <v>0</v>
      </c>
      <c r="D39" s="22">
        <f>Input!D94</f>
        <v>0</v>
      </c>
      <c r="E39" s="22">
        <f>Input!E94</f>
        <v>0</v>
      </c>
      <c r="F39" s="17"/>
    </row>
    <row r="40" spans="1:6" x14ac:dyDescent="0.25">
      <c r="A40" s="4" t="s">
        <v>73</v>
      </c>
      <c r="B40" s="22">
        <f>Input!B95</f>
        <v>0</v>
      </c>
      <c r="C40" s="22">
        <f>Input!C95</f>
        <v>0</v>
      </c>
      <c r="D40" s="22">
        <f>Input!D95</f>
        <v>0</v>
      </c>
      <c r="E40" s="22">
        <f>Input!E95</f>
        <v>0</v>
      </c>
      <c r="F40" s="17"/>
    </row>
    <row r="41" spans="1:6" ht="30" x14ac:dyDescent="0.25">
      <c r="A41" s="4" t="s">
        <v>74</v>
      </c>
      <c r="B41" s="22">
        <f>Input!B96</f>
        <v>0</v>
      </c>
      <c r="C41" s="22">
        <f>Input!C96</f>
        <v>0</v>
      </c>
      <c r="D41" s="22">
        <f>Input!D96</f>
        <v>0</v>
      </c>
      <c r="E41" s="22">
        <f>Input!E96</f>
        <v>0</v>
      </c>
      <c r="F41" s="17"/>
    </row>
    <row r="42" spans="1:6" ht="30" x14ac:dyDescent="0.25">
      <c r="A42" s="4" t="s">
        <v>75</v>
      </c>
      <c r="B42" s="22">
        <f>Input!B97</f>
        <v>0</v>
      </c>
      <c r="C42" s="22">
        <f>Input!C97</f>
        <v>0</v>
      </c>
      <c r="D42" s="22">
        <f>Input!D97</f>
        <v>0</v>
      </c>
      <c r="E42" s="22">
        <f>Input!E97</f>
        <v>0</v>
      </c>
      <c r="F42" s="17"/>
    </row>
    <row r="44" spans="1:6" ht="21" customHeight="1" x14ac:dyDescent="0.3">
      <c r="A44" s="1" t="s">
        <v>201</v>
      </c>
    </row>
    <row r="45" spans="1:6" x14ac:dyDescent="0.25">
      <c r="A45" s="2" t="s">
        <v>197</v>
      </c>
    </row>
    <row r="46" spans="1:6" x14ac:dyDescent="0.25">
      <c r="A46" s="21" t="s">
        <v>202</v>
      </c>
    </row>
    <row r="47" spans="1:6" x14ac:dyDescent="0.25">
      <c r="A47" s="21" t="s">
        <v>203</v>
      </c>
    </row>
    <row r="48" spans="1:6" x14ac:dyDescent="0.25">
      <c r="A48" s="23" t="s">
        <v>204</v>
      </c>
      <c r="B48" s="23" t="s">
        <v>205</v>
      </c>
      <c r="C48" s="23" t="s">
        <v>206</v>
      </c>
    </row>
    <row r="49" spans="1:4" x14ac:dyDescent="0.25">
      <c r="A49" s="23" t="s">
        <v>207</v>
      </c>
      <c r="B49" s="23" t="s">
        <v>208</v>
      </c>
      <c r="C49" s="23" t="s">
        <v>209</v>
      </c>
    </row>
    <row r="51" spans="1:4" ht="30" x14ac:dyDescent="0.25">
      <c r="B51" s="15" t="s">
        <v>96</v>
      </c>
      <c r="C51" s="15" t="s">
        <v>210</v>
      </c>
    </row>
    <row r="52" spans="1:4" ht="30" x14ac:dyDescent="0.25">
      <c r="A52" s="4" t="s">
        <v>40</v>
      </c>
      <c r="B52" s="22">
        <f>Input!B117</f>
        <v>0</v>
      </c>
      <c r="C52" s="24">
        <f t="shared" ref="C52:C84" si="0">SUM($B10:$E10)</f>
        <v>4285000</v>
      </c>
      <c r="D52" s="17"/>
    </row>
    <row r="53" spans="1:4" ht="30" x14ac:dyDescent="0.25">
      <c r="A53" s="4" t="s">
        <v>44</v>
      </c>
      <c r="B53" s="22">
        <f>Input!B118</f>
        <v>32299999.999999996</v>
      </c>
      <c r="C53" s="24">
        <f t="shared" si="0"/>
        <v>32200000</v>
      </c>
      <c r="D53" s="17"/>
    </row>
    <row r="54" spans="1:4" x14ac:dyDescent="0.25">
      <c r="A54" s="4" t="s">
        <v>45</v>
      </c>
      <c r="B54" s="22">
        <f>Input!B119</f>
        <v>3000000</v>
      </c>
      <c r="C54" s="24">
        <f t="shared" si="0"/>
        <v>0</v>
      </c>
      <c r="D54" s="17"/>
    </row>
    <row r="55" spans="1:4" x14ac:dyDescent="0.25">
      <c r="A55" s="4" t="s">
        <v>46</v>
      </c>
      <c r="B55" s="22">
        <f>Input!B120</f>
        <v>8300000.0000000009</v>
      </c>
      <c r="C55" s="24">
        <f t="shared" si="0"/>
        <v>7999999.9999999991</v>
      </c>
      <c r="D55" s="17"/>
    </row>
    <row r="56" spans="1:4" x14ac:dyDescent="0.25">
      <c r="A56" s="4" t="s">
        <v>47</v>
      </c>
      <c r="B56" s="22">
        <f>Input!B121</f>
        <v>5500000</v>
      </c>
      <c r="C56" s="24">
        <f t="shared" si="0"/>
        <v>5200000</v>
      </c>
      <c r="D56" s="17"/>
    </row>
    <row r="57" spans="1:4" x14ac:dyDescent="0.25">
      <c r="A57" s="4" t="s">
        <v>48</v>
      </c>
      <c r="B57" s="22">
        <f>Input!B122</f>
        <v>4099999.9999999995</v>
      </c>
      <c r="C57" s="24">
        <f t="shared" si="0"/>
        <v>4158364.5425927076</v>
      </c>
      <c r="D57" s="17"/>
    </row>
    <row r="58" spans="1:4" x14ac:dyDescent="0.25">
      <c r="A58" s="4" t="s">
        <v>49</v>
      </c>
      <c r="B58" s="22">
        <f>Input!B123</f>
        <v>600000</v>
      </c>
      <c r="C58" s="24">
        <f t="shared" si="0"/>
        <v>0</v>
      </c>
      <c r="D58" s="17"/>
    </row>
    <row r="59" spans="1:4" x14ac:dyDescent="0.25">
      <c r="A59" s="4" t="s">
        <v>50</v>
      </c>
      <c r="B59" s="22">
        <f>Input!B124</f>
        <v>3500000</v>
      </c>
      <c r="C59" s="24">
        <f t="shared" si="0"/>
        <v>0</v>
      </c>
      <c r="D59" s="17"/>
    </row>
    <row r="60" spans="1:4" x14ac:dyDescent="0.25">
      <c r="A60" s="4" t="s">
        <v>51</v>
      </c>
      <c r="B60" s="22">
        <f>Input!B125</f>
        <v>2900000</v>
      </c>
      <c r="C60" s="24">
        <f t="shared" si="0"/>
        <v>0</v>
      </c>
      <c r="D60" s="17"/>
    </row>
    <row r="61" spans="1:4" x14ac:dyDescent="0.25">
      <c r="A61" s="4" t="s">
        <v>52</v>
      </c>
      <c r="B61" s="22">
        <f>Input!B126</f>
        <v>7200000</v>
      </c>
      <c r="C61" s="24">
        <f t="shared" si="0"/>
        <v>0</v>
      </c>
      <c r="D61" s="17"/>
    </row>
    <row r="62" spans="1:4" x14ac:dyDescent="0.25">
      <c r="A62" s="4" t="s">
        <v>53</v>
      </c>
      <c r="B62" s="22">
        <f>Input!B127</f>
        <v>1900000</v>
      </c>
      <c r="C62" s="24">
        <f t="shared" si="0"/>
        <v>0</v>
      </c>
      <c r="D62" s="17"/>
    </row>
    <row r="63" spans="1:4" x14ac:dyDescent="0.25">
      <c r="A63" s="4" t="s">
        <v>54</v>
      </c>
      <c r="B63" s="22">
        <f>Input!B128</f>
        <v>1000000</v>
      </c>
      <c r="C63" s="24">
        <f t="shared" si="0"/>
        <v>0</v>
      </c>
      <c r="D63" s="17"/>
    </row>
    <row r="64" spans="1:4" x14ac:dyDescent="0.25">
      <c r="A64" s="4" t="s">
        <v>55</v>
      </c>
      <c r="B64" s="22">
        <f>Input!B129</f>
        <v>700000</v>
      </c>
      <c r="C64" s="24">
        <f t="shared" si="0"/>
        <v>0</v>
      </c>
      <c r="D64" s="17"/>
    </row>
    <row r="65" spans="1:4" x14ac:dyDescent="0.25">
      <c r="A65" s="4" t="s">
        <v>56</v>
      </c>
      <c r="B65" s="22">
        <f>Input!B130</f>
        <v>900000</v>
      </c>
      <c r="C65" s="24">
        <f t="shared" si="0"/>
        <v>0</v>
      </c>
      <c r="D65" s="17"/>
    </row>
    <row r="66" spans="1:4" x14ac:dyDescent="0.25">
      <c r="A66" s="4" t="s">
        <v>57</v>
      </c>
      <c r="B66" s="22">
        <f>Input!B131</f>
        <v>2700000</v>
      </c>
      <c r="C66" s="24">
        <f t="shared" si="0"/>
        <v>0</v>
      </c>
      <c r="D66" s="17"/>
    </row>
    <row r="67" spans="1:4" x14ac:dyDescent="0.25">
      <c r="A67" s="4" t="s">
        <v>58</v>
      </c>
      <c r="B67" s="22">
        <f>Input!B132</f>
        <v>6800000</v>
      </c>
      <c r="C67" s="24">
        <f t="shared" si="0"/>
        <v>0</v>
      </c>
      <c r="D67" s="17"/>
    </row>
    <row r="68" spans="1:4" x14ac:dyDescent="0.25">
      <c r="A68" s="4" t="s">
        <v>59</v>
      </c>
      <c r="B68" s="22">
        <f>Input!B133</f>
        <v>2100000</v>
      </c>
      <c r="C68" s="24">
        <f t="shared" si="0"/>
        <v>0</v>
      </c>
      <c r="D68" s="17"/>
    </row>
    <row r="69" spans="1:4" x14ac:dyDescent="0.25">
      <c r="A69" s="4" t="s">
        <v>60</v>
      </c>
      <c r="B69" s="22">
        <f>Input!B134</f>
        <v>900000</v>
      </c>
      <c r="C69" s="24">
        <f t="shared" si="0"/>
        <v>0</v>
      </c>
      <c r="D69" s="17"/>
    </row>
    <row r="70" spans="1:4" x14ac:dyDescent="0.25">
      <c r="A70" s="4" t="s">
        <v>61</v>
      </c>
      <c r="B70" s="22">
        <f>Input!B135</f>
        <v>1100000</v>
      </c>
      <c r="C70" s="24">
        <f t="shared" si="0"/>
        <v>0</v>
      </c>
      <c r="D70" s="17"/>
    </row>
    <row r="71" spans="1:4" x14ac:dyDescent="0.25">
      <c r="A71" s="4" t="s">
        <v>62</v>
      </c>
      <c r="B71" s="22">
        <f>Input!B136</f>
        <v>5800000</v>
      </c>
      <c r="C71" s="24">
        <f t="shared" si="0"/>
        <v>0</v>
      </c>
      <c r="D71" s="17"/>
    </row>
    <row r="72" spans="1:4" x14ac:dyDescent="0.25">
      <c r="A72" s="4" t="s">
        <v>63</v>
      </c>
      <c r="B72" s="22">
        <f>Input!B137</f>
        <v>1800000</v>
      </c>
      <c r="C72" s="24">
        <f t="shared" si="0"/>
        <v>0</v>
      </c>
      <c r="D72" s="17"/>
    </row>
    <row r="73" spans="1:4" x14ac:dyDescent="0.25">
      <c r="A73" s="4" t="s">
        <v>64</v>
      </c>
      <c r="B73" s="22">
        <f>Input!B138</f>
        <v>4300000</v>
      </c>
      <c r="C73" s="24">
        <f t="shared" si="0"/>
        <v>0</v>
      </c>
      <c r="D73" s="17"/>
    </row>
    <row r="74" spans="1:4" x14ac:dyDescent="0.25">
      <c r="A74" s="4" t="s">
        <v>65</v>
      </c>
      <c r="B74" s="22">
        <f>Input!B139</f>
        <v>13400000</v>
      </c>
      <c r="C74" s="24">
        <f t="shared" si="0"/>
        <v>0</v>
      </c>
      <c r="D74" s="17"/>
    </row>
    <row r="75" spans="1:4" x14ac:dyDescent="0.25">
      <c r="A75" s="4" t="s">
        <v>66</v>
      </c>
      <c r="B75" s="22">
        <f>Input!B140</f>
        <v>1800000</v>
      </c>
      <c r="C75" s="24">
        <f t="shared" si="0"/>
        <v>0</v>
      </c>
      <c r="D75" s="17"/>
    </row>
    <row r="76" spans="1:4" x14ac:dyDescent="0.25">
      <c r="A76" s="4" t="s">
        <v>67</v>
      </c>
      <c r="B76" s="22">
        <f>Input!B141</f>
        <v>8900000</v>
      </c>
      <c r="C76" s="24">
        <f t="shared" si="0"/>
        <v>0</v>
      </c>
      <c r="D76" s="17"/>
    </row>
    <row r="77" spans="1:4" ht="30" x14ac:dyDescent="0.25">
      <c r="A77" s="4" t="s">
        <v>68</v>
      </c>
      <c r="B77" s="22">
        <f>Input!B142</f>
        <v>-100000</v>
      </c>
      <c r="C77" s="24">
        <f t="shared" si="0"/>
        <v>0</v>
      </c>
      <c r="D77" s="17"/>
    </row>
    <row r="78" spans="1:4" x14ac:dyDescent="0.25">
      <c r="A78" s="4" t="s">
        <v>69</v>
      </c>
      <c r="B78" s="22">
        <f>Input!B143</f>
        <v>100000</v>
      </c>
      <c r="C78" s="24">
        <f t="shared" si="0"/>
        <v>0</v>
      </c>
      <c r="D78" s="17"/>
    </row>
    <row r="79" spans="1:4" x14ac:dyDescent="0.25">
      <c r="A79" s="4" t="s">
        <v>70</v>
      </c>
      <c r="B79" s="22">
        <f>Input!B144</f>
        <v>-2.7755575615628914E-11</v>
      </c>
      <c r="C79" s="24">
        <f t="shared" si="0"/>
        <v>0</v>
      </c>
      <c r="D79" s="17"/>
    </row>
    <row r="80" spans="1:4" x14ac:dyDescent="0.25">
      <c r="A80" s="4" t="s">
        <v>71</v>
      </c>
      <c r="B80" s="22">
        <f>Input!B145</f>
        <v>25300000</v>
      </c>
      <c r="C80" s="24">
        <f t="shared" si="0"/>
        <v>0</v>
      </c>
      <c r="D80" s="17"/>
    </row>
    <row r="81" spans="1:5" x14ac:dyDescent="0.25">
      <c r="A81" s="4" t="s">
        <v>72</v>
      </c>
      <c r="B81" s="22">
        <f>Input!B146</f>
        <v>15100000</v>
      </c>
      <c r="C81" s="24">
        <f t="shared" si="0"/>
        <v>0</v>
      </c>
      <c r="D81" s="17"/>
    </row>
    <row r="82" spans="1:5" x14ac:dyDescent="0.25">
      <c r="A82" s="4" t="s">
        <v>73</v>
      </c>
      <c r="B82" s="22">
        <f>Input!B147</f>
        <v>4200000</v>
      </c>
      <c r="C82" s="24">
        <f t="shared" si="0"/>
        <v>0</v>
      </c>
      <c r="D82" s="17"/>
    </row>
    <row r="83" spans="1:5" ht="30" x14ac:dyDescent="0.25">
      <c r="A83" s="4" t="s">
        <v>74</v>
      </c>
      <c r="B83" s="22">
        <f>Input!B148</f>
        <v>0</v>
      </c>
      <c r="C83" s="24">
        <f t="shared" si="0"/>
        <v>0</v>
      </c>
      <c r="D83" s="17"/>
    </row>
    <row r="84" spans="1:5" ht="30" x14ac:dyDescent="0.25">
      <c r="A84" s="4" t="s">
        <v>75</v>
      </c>
      <c r="B84" s="22">
        <f>Input!B149</f>
        <v>-2900000.0000000056</v>
      </c>
      <c r="C84" s="24">
        <f t="shared" si="0"/>
        <v>0</v>
      </c>
      <c r="D84" s="17"/>
    </row>
    <row r="86" spans="1:5" ht="21" customHeight="1" x14ac:dyDescent="0.3">
      <c r="A86" s="1" t="s">
        <v>211</v>
      </c>
    </row>
    <row r="88" spans="1:5" ht="30" x14ac:dyDescent="0.25">
      <c r="B88" s="15" t="s">
        <v>212</v>
      </c>
      <c r="C88" s="15" t="s">
        <v>213</v>
      </c>
      <c r="D88" s="15" t="s">
        <v>214</v>
      </c>
    </row>
    <row r="89" spans="1:5" ht="30" x14ac:dyDescent="0.25">
      <c r="A89" s="4" t="s">
        <v>40</v>
      </c>
      <c r="B89" s="6" t="s">
        <v>215</v>
      </c>
      <c r="C89" s="25">
        <v>1</v>
      </c>
      <c r="D89" s="26">
        <v>1</v>
      </c>
      <c r="E89" s="17"/>
    </row>
    <row r="90" spans="1:5" ht="30" x14ac:dyDescent="0.25">
      <c r="A90" s="4" t="s">
        <v>44</v>
      </c>
      <c r="B90" s="6" t="s">
        <v>216</v>
      </c>
      <c r="C90" s="25">
        <v>1</v>
      </c>
      <c r="D90" s="26">
        <v>1</v>
      </c>
      <c r="E90" s="17"/>
    </row>
    <row r="91" spans="1:5" x14ac:dyDescent="0.25">
      <c r="A91" s="4" t="s">
        <v>45</v>
      </c>
      <c r="B91" s="6" t="s">
        <v>216</v>
      </c>
      <c r="C91" s="25">
        <v>0.23499999999999999</v>
      </c>
      <c r="D91" s="26">
        <v>1</v>
      </c>
      <c r="E91" s="17"/>
    </row>
    <row r="92" spans="1:5" x14ac:dyDescent="0.25">
      <c r="A92" s="4" t="s">
        <v>46</v>
      </c>
      <c r="B92" s="6" t="s">
        <v>216</v>
      </c>
      <c r="C92" s="25">
        <v>0.23499999999999999</v>
      </c>
      <c r="D92" s="26">
        <v>1</v>
      </c>
      <c r="E92" s="17"/>
    </row>
    <row r="93" spans="1:5" x14ac:dyDescent="0.25">
      <c r="A93" s="4" t="s">
        <v>47</v>
      </c>
      <c r="B93" s="6" t="s">
        <v>216</v>
      </c>
      <c r="C93" s="25">
        <v>0.23499999999999999</v>
      </c>
      <c r="D93" s="26">
        <v>1</v>
      </c>
      <c r="E93" s="17"/>
    </row>
    <row r="94" spans="1:5" x14ac:dyDescent="0.25">
      <c r="A94" s="4" t="s">
        <v>48</v>
      </c>
      <c r="B94" s="6" t="s">
        <v>216</v>
      </c>
      <c r="C94" s="25">
        <v>0.23499999999999999</v>
      </c>
      <c r="D94" s="26">
        <v>1</v>
      </c>
      <c r="E94" s="17"/>
    </row>
    <row r="95" spans="1:5" x14ac:dyDescent="0.25">
      <c r="A95" s="4" t="s">
        <v>49</v>
      </c>
      <c r="B95" s="6" t="s">
        <v>216</v>
      </c>
      <c r="C95" s="25">
        <v>0.52569999999999995</v>
      </c>
      <c r="D95" s="26">
        <v>0</v>
      </c>
      <c r="E95" s="17"/>
    </row>
    <row r="96" spans="1:5" x14ac:dyDescent="0.25">
      <c r="A96" s="4" t="s">
        <v>50</v>
      </c>
      <c r="B96" s="6" t="s">
        <v>216</v>
      </c>
      <c r="C96" s="25">
        <v>0.52569999999999995</v>
      </c>
      <c r="D96" s="26">
        <v>0</v>
      </c>
      <c r="E96" s="17"/>
    </row>
    <row r="97" spans="1:5" x14ac:dyDescent="0.25">
      <c r="A97" s="4" t="s">
        <v>51</v>
      </c>
      <c r="B97" s="6" t="s">
        <v>216</v>
      </c>
      <c r="C97" s="25">
        <v>0.52569999999999995</v>
      </c>
      <c r="D97" s="26">
        <v>0</v>
      </c>
      <c r="E97" s="17"/>
    </row>
    <row r="98" spans="1:5" x14ac:dyDescent="0.25">
      <c r="A98" s="4" t="s">
        <v>52</v>
      </c>
      <c r="B98" s="6" t="s">
        <v>216</v>
      </c>
      <c r="C98" s="25">
        <v>0.52569999999999995</v>
      </c>
      <c r="D98" s="26">
        <v>0</v>
      </c>
      <c r="E98" s="17"/>
    </row>
    <row r="99" spans="1:5" x14ac:dyDescent="0.25">
      <c r="A99" s="4" t="s">
        <v>53</v>
      </c>
      <c r="B99" s="6" t="s">
        <v>216</v>
      </c>
      <c r="C99" s="25">
        <v>0.52569999999999995</v>
      </c>
      <c r="D99" s="26">
        <v>0</v>
      </c>
      <c r="E99" s="17"/>
    </row>
    <row r="100" spans="1:5" x14ac:dyDescent="0.25">
      <c r="A100" s="4" t="s">
        <v>54</v>
      </c>
      <c r="B100" s="6" t="s">
        <v>216</v>
      </c>
      <c r="C100" s="25">
        <v>0.52569999999999995</v>
      </c>
      <c r="D100" s="26">
        <v>0</v>
      </c>
      <c r="E100" s="17"/>
    </row>
    <row r="101" spans="1:5" x14ac:dyDescent="0.25">
      <c r="A101" s="4" t="s">
        <v>55</v>
      </c>
      <c r="B101" s="6" t="s">
        <v>216</v>
      </c>
      <c r="C101" s="25">
        <v>0.52569999999999995</v>
      </c>
      <c r="D101" s="26">
        <v>0</v>
      </c>
      <c r="E101" s="17"/>
    </row>
    <row r="102" spans="1:5" x14ac:dyDescent="0.25">
      <c r="A102" s="4" t="s">
        <v>56</v>
      </c>
      <c r="B102" s="6" t="s">
        <v>216</v>
      </c>
      <c r="C102" s="25">
        <v>0.52569999999999995</v>
      </c>
      <c r="D102" s="26">
        <v>0</v>
      </c>
      <c r="E102" s="17"/>
    </row>
    <row r="103" spans="1:5" x14ac:dyDescent="0.25">
      <c r="A103" s="4" t="s">
        <v>57</v>
      </c>
      <c r="B103" s="6" t="s">
        <v>216</v>
      </c>
      <c r="C103" s="25">
        <v>0.52569999999999995</v>
      </c>
      <c r="D103" s="26">
        <v>0</v>
      </c>
      <c r="E103" s="17"/>
    </row>
    <row r="104" spans="1:5" x14ac:dyDescent="0.25">
      <c r="A104" s="4" t="s">
        <v>58</v>
      </c>
      <c r="B104" s="6" t="s">
        <v>215</v>
      </c>
      <c r="C104" s="25">
        <v>0.52569999999999995</v>
      </c>
      <c r="D104" s="26">
        <v>0</v>
      </c>
      <c r="E104" s="17"/>
    </row>
    <row r="105" spans="1:5" x14ac:dyDescent="0.25">
      <c r="A105" s="4" t="s">
        <v>59</v>
      </c>
      <c r="B105" s="6" t="s">
        <v>215</v>
      </c>
      <c r="C105" s="25">
        <v>0.52569999999999995</v>
      </c>
      <c r="D105" s="26">
        <v>0</v>
      </c>
      <c r="E105" s="17"/>
    </row>
    <row r="106" spans="1:5" x14ac:dyDescent="0.25">
      <c r="A106" s="4" t="s">
        <v>60</v>
      </c>
      <c r="B106" s="6" t="s">
        <v>216</v>
      </c>
      <c r="C106" s="25">
        <v>0.52569999999999995</v>
      </c>
      <c r="D106" s="26">
        <v>0</v>
      </c>
      <c r="E106" s="17"/>
    </row>
    <row r="107" spans="1:5" x14ac:dyDescent="0.25">
      <c r="A107" s="4" t="s">
        <v>61</v>
      </c>
      <c r="B107" s="6" t="s">
        <v>216</v>
      </c>
      <c r="C107" s="25">
        <v>0.52569999999999995</v>
      </c>
      <c r="D107" s="26">
        <v>0</v>
      </c>
      <c r="E107" s="17"/>
    </row>
    <row r="108" spans="1:5" x14ac:dyDescent="0.25">
      <c r="A108" s="4" t="s">
        <v>62</v>
      </c>
      <c r="B108" s="6" t="s">
        <v>216</v>
      </c>
      <c r="C108" s="25">
        <v>0.52569999999999995</v>
      </c>
      <c r="D108" s="26">
        <v>0</v>
      </c>
      <c r="E108" s="17"/>
    </row>
    <row r="109" spans="1:5" x14ac:dyDescent="0.25">
      <c r="A109" s="4" t="s">
        <v>63</v>
      </c>
      <c r="B109" s="6" t="s">
        <v>216</v>
      </c>
      <c r="C109" s="25">
        <v>0.52569999999999995</v>
      </c>
      <c r="D109" s="26">
        <v>0</v>
      </c>
      <c r="E109" s="17"/>
    </row>
    <row r="110" spans="1:5" x14ac:dyDescent="0.25">
      <c r="A110" s="4" t="s">
        <v>64</v>
      </c>
      <c r="B110" s="6" t="s">
        <v>215</v>
      </c>
      <c r="C110" s="25">
        <v>0</v>
      </c>
      <c r="D110" s="26">
        <v>1</v>
      </c>
      <c r="E110" s="17"/>
    </row>
    <row r="111" spans="1:5" x14ac:dyDescent="0.25">
      <c r="A111" s="4" t="s">
        <v>65</v>
      </c>
      <c r="B111" s="6" t="s">
        <v>215</v>
      </c>
      <c r="C111" s="25">
        <v>0.57699999999999996</v>
      </c>
      <c r="D111" s="26">
        <v>1</v>
      </c>
      <c r="E111" s="17"/>
    </row>
    <row r="112" spans="1:5" x14ac:dyDescent="0.25">
      <c r="A112" s="4" t="s">
        <v>66</v>
      </c>
      <c r="B112" s="6" t="s">
        <v>215</v>
      </c>
      <c r="C112" s="25">
        <v>0</v>
      </c>
      <c r="D112" s="26">
        <v>1</v>
      </c>
      <c r="E112" s="17"/>
    </row>
    <row r="113" spans="1:8" x14ac:dyDescent="0.25">
      <c r="A113" s="4" t="s">
        <v>67</v>
      </c>
      <c r="B113" s="6" t="s">
        <v>215</v>
      </c>
      <c r="C113" s="25">
        <v>0</v>
      </c>
      <c r="D113" s="26">
        <v>1</v>
      </c>
      <c r="E113" s="17"/>
    </row>
    <row r="114" spans="1:8" ht="30" x14ac:dyDescent="0.25">
      <c r="A114" s="4" t="s">
        <v>68</v>
      </c>
      <c r="B114" s="6" t="s">
        <v>215</v>
      </c>
      <c r="C114" s="25">
        <v>0</v>
      </c>
      <c r="D114" s="26">
        <v>1</v>
      </c>
      <c r="E114" s="17"/>
    </row>
    <row r="115" spans="1:8" x14ac:dyDescent="0.25">
      <c r="A115" s="4" t="s">
        <v>69</v>
      </c>
      <c r="B115" s="6" t="s">
        <v>215</v>
      </c>
      <c r="C115" s="25">
        <v>0</v>
      </c>
      <c r="D115" s="26">
        <v>1</v>
      </c>
      <c r="E115" s="17"/>
    </row>
    <row r="116" spans="1:8" x14ac:dyDescent="0.25">
      <c r="A116" s="4" t="s">
        <v>70</v>
      </c>
      <c r="B116" s="6" t="s">
        <v>215</v>
      </c>
      <c r="C116" s="25">
        <v>0</v>
      </c>
      <c r="D116" s="26">
        <v>1</v>
      </c>
      <c r="E116" s="17"/>
    </row>
    <row r="117" spans="1:8" x14ac:dyDescent="0.25">
      <c r="A117" s="4" t="s">
        <v>71</v>
      </c>
      <c r="B117" s="6" t="s">
        <v>215</v>
      </c>
      <c r="C117" s="25">
        <v>0</v>
      </c>
      <c r="D117" s="26">
        <v>1</v>
      </c>
      <c r="E117" s="17"/>
    </row>
    <row r="118" spans="1:8" x14ac:dyDescent="0.25">
      <c r="A118" s="4" t="s">
        <v>72</v>
      </c>
      <c r="B118" s="6" t="s">
        <v>215</v>
      </c>
      <c r="C118" s="25">
        <v>0</v>
      </c>
      <c r="D118" s="26">
        <v>1</v>
      </c>
      <c r="E118" s="17"/>
    </row>
    <row r="119" spans="1:8" x14ac:dyDescent="0.25">
      <c r="A119" s="4" t="s">
        <v>73</v>
      </c>
      <c r="B119" s="6" t="s">
        <v>217</v>
      </c>
      <c r="C119" s="25">
        <v>0</v>
      </c>
      <c r="D119" s="26">
        <v>1</v>
      </c>
      <c r="E119" s="17"/>
    </row>
    <row r="120" spans="1:8" ht="30" x14ac:dyDescent="0.25">
      <c r="A120" s="4" t="s">
        <v>74</v>
      </c>
      <c r="B120" s="6" t="s">
        <v>215</v>
      </c>
      <c r="C120" s="25">
        <v>0</v>
      </c>
      <c r="D120" s="26">
        <v>1</v>
      </c>
      <c r="E120" s="17"/>
    </row>
    <row r="121" spans="1:8" ht="30" x14ac:dyDescent="0.25">
      <c r="A121" s="4" t="s">
        <v>75</v>
      </c>
      <c r="B121" s="6" t="s">
        <v>215</v>
      </c>
      <c r="C121" s="25">
        <v>0</v>
      </c>
      <c r="D121" s="26">
        <v>1</v>
      </c>
      <c r="E121" s="17"/>
    </row>
    <row r="123" spans="1:8" ht="21" customHeight="1" x14ac:dyDescent="0.3">
      <c r="A123" s="1" t="s">
        <v>218</v>
      </c>
    </row>
    <row r="124" spans="1:8" x14ac:dyDescent="0.25">
      <c r="A124" s="2" t="s">
        <v>197</v>
      </c>
    </row>
    <row r="125" spans="1:8" x14ac:dyDescent="0.25">
      <c r="A125" s="21" t="s">
        <v>219</v>
      </c>
    </row>
    <row r="126" spans="1:8" x14ac:dyDescent="0.25">
      <c r="A126" s="21" t="s">
        <v>220</v>
      </c>
    </row>
    <row r="127" spans="1:8" x14ac:dyDescent="0.25">
      <c r="A127" s="23" t="s">
        <v>204</v>
      </c>
      <c r="B127" s="23" t="s">
        <v>221</v>
      </c>
      <c r="C127" s="27" t="s">
        <v>222</v>
      </c>
      <c r="D127" s="27"/>
      <c r="E127" s="27"/>
      <c r="F127" s="27"/>
      <c r="G127" s="23" t="s">
        <v>222</v>
      </c>
      <c r="H127" s="23" t="s">
        <v>222</v>
      </c>
    </row>
    <row r="128" spans="1:8" x14ac:dyDescent="0.25">
      <c r="A128" s="23" t="s">
        <v>207</v>
      </c>
      <c r="B128" s="23" t="s">
        <v>223</v>
      </c>
      <c r="C128" s="27" t="s">
        <v>224</v>
      </c>
      <c r="D128" s="27"/>
      <c r="E128" s="27"/>
      <c r="F128" s="27"/>
      <c r="G128" s="23" t="s">
        <v>224</v>
      </c>
      <c r="H128" s="23" t="s">
        <v>224</v>
      </c>
    </row>
    <row r="130" spans="1:9" x14ac:dyDescent="0.25">
      <c r="C130" s="28" t="s">
        <v>226</v>
      </c>
      <c r="D130" s="28"/>
      <c r="E130" s="28"/>
      <c r="F130" s="28"/>
    </row>
    <row r="131" spans="1:9" ht="30" x14ac:dyDescent="0.25">
      <c r="B131" s="15" t="s">
        <v>225</v>
      </c>
      <c r="C131" s="15" t="s">
        <v>28</v>
      </c>
      <c r="D131" s="15" t="s">
        <v>38</v>
      </c>
      <c r="E131" s="15" t="s">
        <v>27</v>
      </c>
      <c r="F131" s="15" t="s">
        <v>39</v>
      </c>
      <c r="G131" s="15" t="s">
        <v>227</v>
      </c>
      <c r="H131" s="15" t="s">
        <v>228</v>
      </c>
    </row>
    <row r="132" spans="1:9" x14ac:dyDescent="0.25">
      <c r="A132" s="4" t="s">
        <v>101</v>
      </c>
      <c r="B132" s="29">
        <f>Input!B155*Input!C155</f>
        <v>63808080</v>
      </c>
      <c r="C132" s="26">
        <v>1</v>
      </c>
      <c r="D132" s="26">
        <v>0</v>
      </c>
      <c r="E132" s="26">
        <v>0</v>
      </c>
      <c r="F132" s="26">
        <v>0</v>
      </c>
      <c r="G132" s="10"/>
      <c r="H132" s="26">
        <v>1</v>
      </c>
      <c r="I132" s="17"/>
    </row>
    <row r="133" spans="1:9" x14ac:dyDescent="0.25">
      <c r="A133" s="4" t="s">
        <v>102</v>
      </c>
      <c r="B133" s="29">
        <f>Input!B156*Input!C156</f>
        <v>101440000</v>
      </c>
      <c r="C133" s="26">
        <v>1</v>
      </c>
      <c r="D133" s="26">
        <v>0</v>
      </c>
      <c r="E133" s="26">
        <v>0</v>
      </c>
      <c r="F133" s="26">
        <v>0</v>
      </c>
      <c r="G133" s="26">
        <v>1</v>
      </c>
      <c r="H133" s="26">
        <v>1</v>
      </c>
      <c r="I133" s="17"/>
    </row>
    <row r="134" spans="1:9" x14ac:dyDescent="0.25">
      <c r="A134" s="4" t="s">
        <v>103</v>
      </c>
      <c r="B134" s="29">
        <f>Input!B157*Input!C157</f>
        <v>187288320</v>
      </c>
      <c r="C134" s="26">
        <v>1</v>
      </c>
      <c r="D134" s="26">
        <v>0</v>
      </c>
      <c r="E134" s="26">
        <v>0</v>
      </c>
      <c r="F134" s="26">
        <v>0</v>
      </c>
      <c r="G134" s="10"/>
      <c r="H134" s="26">
        <v>1</v>
      </c>
      <c r="I134" s="17"/>
    </row>
    <row r="135" spans="1:9" x14ac:dyDescent="0.25">
      <c r="A135" s="4" t="s">
        <v>104</v>
      </c>
      <c r="B135" s="29">
        <f>Input!B158*Input!C158</f>
        <v>0</v>
      </c>
      <c r="C135" s="26">
        <v>1</v>
      </c>
      <c r="D135" s="26">
        <v>0</v>
      </c>
      <c r="E135" s="26">
        <v>0</v>
      </c>
      <c r="F135" s="26">
        <v>0</v>
      </c>
      <c r="G135" s="10"/>
      <c r="H135" s="26">
        <v>1</v>
      </c>
      <c r="I135" s="17"/>
    </row>
    <row r="136" spans="1:9" x14ac:dyDescent="0.25">
      <c r="A136" s="4" t="s">
        <v>105</v>
      </c>
      <c r="B136" s="29">
        <f>Input!B159*Input!C159</f>
        <v>320779889.80000001</v>
      </c>
      <c r="C136" s="26">
        <v>1</v>
      </c>
      <c r="D136" s="26">
        <v>0</v>
      </c>
      <c r="E136" s="26">
        <v>0</v>
      </c>
      <c r="F136" s="26">
        <v>0</v>
      </c>
      <c r="G136" s="10"/>
      <c r="H136" s="26">
        <v>1</v>
      </c>
      <c r="I136" s="17"/>
    </row>
    <row r="137" spans="1:9" x14ac:dyDescent="0.25">
      <c r="A137" s="4" t="s">
        <v>106</v>
      </c>
      <c r="B137" s="29">
        <f>Input!B160*Input!C160</f>
        <v>470224495</v>
      </c>
      <c r="C137" s="26">
        <v>1</v>
      </c>
      <c r="D137" s="26">
        <v>0</v>
      </c>
      <c r="E137" s="26">
        <v>0</v>
      </c>
      <c r="F137" s="26">
        <v>0</v>
      </c>
      <c r="G137" s="10"/>
      <c r="H137" s="26">
        <v>1</v>
      </c>
      <c r="I137" s="17"/>
    </row>
    <row r="138" spans="1:9" x14ac:dyDescent="0.25">
      <c r="A138" s="4" t="s">
        <v>107</v>
      </c>
      <c r="B138" s="29">
        <f>Input!B161*Input!C161</f>
        <v>552980660</v>
      </c>
      <c r="C138" s="26">
        <v>1</v>
      </c>
      <c r="D138" s="26">
        <v>0</v>
      </c>
      <c r="E138" s="26">
        <v>0</v>
      </c>
      <c r="F138" s="26">
        <v>0</v>
      </c>
      <c r="G138" s="26">
        <v>1</v>
      </c>
      <c r="H138" s="26">
        <v>1</v>
      </c>
      <c r="I138" s="17"/>
    </row>
    <row r="139" spans="1:9" x14ac:dyDescent="0.25">
      <c r="A139" s="4" t="s">
        <v>108</v>
      </c>
      <c r="B139" s="29">
        <f>Input!B162*Input!C162</f>
        <v>32892860.000000004</v>
      </c>
      <c r="C139" s="26">
        <v>1</v>
      </c>
      <c r="D139" s="26">
        <v>0</v>
      </c>
      <c r="E139" s="26">
        <v>0</v>
      </c>
      <c r="F139" s="26">
        <v>0</v>
      </c>
      <c r="G139" s="10"/>
      <c r="H139" s="26">
        <v>1</v>
      </c>
      <c r="I139" s="17"/>
    </row>
    <row r="140" spans="1:9" x14ac:dyDescent="0.25">
      <c r="A140" s="4" t="s">
        <v>109</v>
      </c>
      <c r="B140" s="29">
        <f>Input!B163*Input!C163</f>
        <v>32058950</v>
      </c>
      <c r="C140" s="26">
        <v>1</v>
      </c>
      <c r="D140" s="26">
        <v>0</v>
      </c>
      <c r="E140" s="26">
        <v>0</v>
      </c>
      <c r="F140" s="26">
        <v>0</v>
      </c>
      <c r="G140" s="10"/>
      <c r="H140" s="26">
        <v>1</v>
      </c>
      <c r="I140" s="17"/>
    </row>
    <row r="141" spans="1:9" x14ac:dyDescent="0.25">
      <c r="A141" s="4" t="s">
        <v>110</v>
      </c>
      <c r="B141" s="29">
        <f>Input!B164*Input!C164</f>
        <v>2095470</v>
      </c>
      <c r="C141" s="26">
        <v>1</v>
      </c>
      <c r="D141" s="26">
        <v>0</v>
      </c>
      <c r="E141" s="26">
        <v>0</v>
      </c>
      <c r="F141" s="26">
        <v>0</v>
      </c>
      <c r="G141" s="10"/>
      <c r="H141" s="26">
        <v>1</v>
      </c>
      <c r="I141" s="17"/>
    </row>
    <row r="142" spans="1:9" x14ac:dyDescent="0.25">
      <c r="A142" s="4" t="s">
        <v>111</v>
      </c>
      <c r="B142" s="29">
        <f>Input!B165*Input!C165</f>
        <v>0</v>
      </c>
      <c r="C142" s="26">
        <v>1</v>
      </c>
      <c r="D142" s="26">
        <v>0</v>
      </c>
      <c r="E142" s="26">
        <v>0</v>
      </c>
      <c r="F142" s="26">
        <v>0</v>
      </c>
      <c r="G142" s="10"/>
      <c r="H142" s="26">
        <v>1</v>
      </c>
      <c r="I142" s="17"/>
    </row>
    <row r="143" spans="1:9" x14ac:dyDescent="0.25">
      <c r="A143" s="4" t="s">
        <v>112</v>
      </c>
      <c r="B143" s="29">
        <f>Input!B166*Input!C166</f>
        <v>0</v>
      </c>
      <c r="C143" s="26">
        <v>1</v>
      </c>
      <c r="D143" s="26">
        <v>0</v>
      </c>
      <c r="E143" s="26">
        <v>0</v>
      </c>
      <c r="F143" s="26">
        <v>0</v>
      </c>
      <c r="G143" s="10"/>
      <c r="H143" s="26">
        <v>1</v>
      </c>
      <c r="I143" s="17"/>
    </row>
    <row r="144" spans="1:9" x14ac:dyDescent="0.25">
      <c r="A144" s="4" t="s">
        <v>113</v>
      </c>
      <c r="B144" s="29">
        <f>Input!B167*Input!C167</f>
        <v>0</v>
      </c>
      <c r="C144" s="26">
        <v>1</v>
      </c>
      <c r="D144" s="26">
        <v>0</v>
      </c>
      <c r="E144" s="26">
        <v>0</v>
      </c>
      <c r="F144" s="26">
        <v>0</v>
      </c>
      <c r="G144" s="10"/>
      <c r="H144" s="26">
        <v>1</v>
      </c>
      <c r="I144" s="17"/>
    </row>
    <row r="145" spans="1:9" x14ac:dyDescent="0.25">
      <c r="A145" s="4" t="s">
        <v>114</v>
      </c>
      <c r="B145" s="29">
        <f>Input!B168*Input!C168</f>
        <v>254149740</v>
      </c>
      <c r="C145" s="26">
        <v>0</v>
      </c>
      <c r="D145" s="26">
        <v>0</v>
      </c>
      <c r="E145" s="26">
        <v>1</v>
      </c>
      <c r="F145" s="26">
        <v>0</v>
      </c>
      <c r="G145" s="10"/>
      <c r="H145" s="10"/>
      <c r="I145" s="17"/>
    </row>
    <row r="146" spans="1:9" x14ac:dyDescent="0.25">
      <c r="A146" s="4" t="s">
        <v>115</v>
      </c>
      <c r="B146" s="29">
        <f>Input!B169*Input!C169</f>
        <v>0</v>
      </c>
      <c r="C146" s="26">
        <v>0</v>
      </c>
      <c r="D146" s="26">
        <v>0</v>
      </c>
      <c r="E146" s="26">
        <v>1</v>
      </c>
      <c r="F146" s="26">
        <v>0</v>
      </c>
      <c r="G146" s="10"/>
      <c r="H146" s="10"/>
      <c r="I146" s="17"/>
    </row>
    <row r="147" spans="1:9" x14ac:dyDescent="0.25">
      <c r="A147" s="4" t="s">
        <v>116</v>
      </c>
      <c r="B147" s="29">
        <f>Input!B170*Input!C170</f>
        <v>0</v>
      </c>
      <c r="C147" s="26">
        <v>0</v>
      </c>
      <c r="D147" s="26">
        <v>0</v>
      </c>
      <c r="E147" s="26">
        <v>1</v>
      </c>
      <c r="F147" s="26">
        <v>0</v>
      </c>
      <c r="G147" s="10"/>
      <c r="H147" s="10"/>
      <c r="I147" s="17"/>
    </row>
    <row r="148" spans="1:9" x14ac:dyDescent="0.25">
      <c r="A148" s="4" t="s">
        <v>117</v>
      </c>
      <c r="B148" s="29">
        <f>Input!B171*Input!C171</f>
        <v>0</v>
      </c>
      <c r="C148" s="26">
        <v>0</v>
      </c>
      <c r="D148" s="26">
        <v>0</v>
      </c>
      <c r="E148" s="26">
        <v>1</v>
      </c>
      <c r="F148" s="26">
        <v>0</v>
      </c>
      <c r="G148" s="10"/>
      <c r="H148" s="10"/>
      <c r="I148" s="17"/>
    </row>
    <row r="149" spans="1:9" x14ac:dyDescent="0.25">
      <c r="A149" s="4" t="s">
        <v>118</v>
      </c>
      <c r="B149" s="29">
        <f>Input!B172*Input!C172</f>
        <v>333192650</v>
      </c>
      <c r="C149" s="26">
        <v>0</v>
      </c>
      <c r="D149" s="26">
        <v>0</v>
      </c>
      <c r="E149" s="26">
        <v>1</v>
      </c>
      <c r="F149" s="26">
        <v>0</v>
      </c>
      <c r="G149" s="10"/>
      <c r="H149" s="10"/>
      <c r="I149" s="17"/>
    </row>
    <row r="150" spans="1:9" x14ac:dyDescent="0.25">
      <c r="A150" s="4" t="s">
        <v>119</v>
      </c>
      <c r="B150" s="29">
        <f>Input!B173*Input!C173</f>
        <v>0</v>
      </c>
      <c r="C150" s="26">
        <v>0</v>
      </c>
      <c r="D150" s="26">
        <v>0</v>
      </c>
      <c r="E150" s="26">
        <v>1</v>
      </c>
      <c r="F150" s="26">
        <v>0</v>
      </c>
      <c r="G150" s="10"/>
      <c r="H150" s="10"/>
      <c r="I150" s="17"/>
    </row>
    <row r="151" spans="1:9" x14ac:dyDescent="0.25">
      <c r="A151" s="4" t="s">
        <v>120</v>
      </c>
      <c r="B151" s="29">
        <f>Input!B174*Input!C174</f>
        <v>460749012</v>
      </c>
      <c r="C151" s="26">
        <v>0</v>
      </c>
      <c r="D151" s="26">
        <v>0</v>
      </c>
      <c r="E151" s="26">
        <v>1</v>
      </c>
      <c r="F151" s="26">
        <v>0</v>
      </c>
      <c r="G151" s="10"/>
      <c r="H151" s="10"/>
      <c r="I151" s="17"/>
    </row>
    <row r="152" spans="1:9" x14ac:dyDescent="0.25">
      <c r="A152" s="4" t="s">
        <v>121</v>
      </c>
      <c r="B152" s="29">
        <f>Input!B175*Input!C175</f>
        <v>0</v>
      </c>
      <c r="C152" s="26">
        <v>0</v>
      </c>
      <c r="D152" s="26">
        <v>0</v>
      </c>
      <c r="E152" s="26">
        <v>1</v>
      </c>
      <c r="F152" s="26">
        <v>0</v>
      </c>
      <c r="G152" s="10"/>
      <c r="H152" s="10"/>
      <c r="I152" s="17"/>
    </row>
    <row r="153" spans="1:9" x14ac:dyDescent="0.25">
      <c r="A153" s="4" t="s">
        <v>122</v>
      </c>
      <c r="B153" s="29">
        <f>Input!B176*Input!C176</f>
        <v>2678450</v>
      </c>
      <c r="C153" s="26">
        <v>0</v>
      </c>
      <c r="D153" s="26">
        <v>0</v>
      </c>
      <c r="E153" s="26">
        <v>1</v>
      </c>
      <c r="F153" s="26">
        <v>0</v>
      </c>
      <c r="G153" s="10"/>
      <c r="H153" s="10"/>
      <c r="I153" s="17"/>
    </row>
    <row r="154" spans="1:9" x14ac:dyDescent="0.25">
      <c r="A154" s="4" t="s">
        <v>123</v>
      </c>
      <c r="B154" s="29">
        <f>Input!B177*Input!C177</f>
        <v>7587030</v>
      </c>
      <c r="C154" s="26">
        <v>0</v>
      </c>
      <c r="D154" s="26">
        <v>0</v>
      </c>
      <c r="E154" s="26">
        <v>1</v>
      </c>
      <c r="F154" s="26">
        <v>0</v>
      </c>
      <c r="G154" s="10"/>
      <c r="H154" s="10"/>
      <c r="I154" s="17"/>
    </row>
    <row r="155" spans="1:9" x14ac:dyDescent="0.25">
      <c r="A155" s="4" t="s">
        <v>124</v>
      </c>
      <c r="B155" s="29">
        <f>Input!B178*Input!C178</f>
        <v>73927800</v>
      </c>
      <c r="C155" s="26">
        <v>0</v>
      </c>
      <c r="D155" s="26">
        <v>0</v>
      </c>
      <c r="E155" s="26">
        <v>1</v>
      </c>
      <c r="F155" s="26">
        <v>0</v>
      </c>
      <c r="G155" s="10"/>
      <c r="H155" s="10"/>
      <c r="I155" s="17"/>
    </row>
    <row r="156" spans="1:9" x14ac:dyDescent="0.25">
      <c r="A156" s="4" t="s">
        <v>125</v>
      </c>
      <c r="B156" s="29">
        <f>Input!B179*Input!C179</f>
        <v>1044880</v>
      </c>
      <c r="C156" s="26">
        <v>0</v>
      </c>
      <c r="D156" s="26">
        <v>0</v>
      </c>
      <c r="E156" s="26">
        <v>1</v>
      </c>
      <c r="F156" s="26">
        <v>0</v>
      </c>
      <c r="G156" s="10"/>
      <c r="H156" s="10"/>
      <c r="I156" s="17"/>
    </row>
    <row r="157" spans="1:9" x14ac:dyDescent="0.25">
      <c r="A157" s="4" t="s">
        <v>126</v>
      </c>
      <c r="B157" s="29">
        <f>Input!B180*Input!C180</f>
        <v>23649500</v>
      </c>
      <c r="C157" s="26">
        <v>0</v>
      </c>
      <c r="D157" s="26">
        <v>1</v>
      </c>
      <c r="E157" s="26">
        <v>0</v>
      </c>
      <c r="F157" s="26">
        <v>0</v>
      </c>
      <c r="G157" s="10"/>
      <c r="H157" s="10"/>
      <c r="I157" s="17"/>
    </row>
    <row r="158" spans="1:9" x14ac:dyDescent="0.25">
      <c r="A158" s="4" t="s">
        <v>127</v>
      </c>
      <c r="B158" s="29">
        <f>Input!B181*Input!C181</f>
        <v>92419280</v>
      </c>
      <c r="C158" s="26">
        <v>0</v>
      </c>
      <c r="D158" s="26">
        <v>1</v>
      </c>
      <c r="E158" s="26">
        <v>0</v>
      </c>
      <c r="F158" s="26">
        <v>0</v>
      </c>
      <c r="G158" s="10"/>
      <c r="H158" s="10"/>
      <c r="I158" s="17"/>
    </row>
    <row r="159" spans="1:9" ht="30" x14ac:dyDescent="0.25">
      <c r="A159" s="4" t="s">
        <v>128</v>
      </c>
      <c r="B159" s="29">
        <f>Input!B182*Input!C182</f>
        <v>0</v>
      </c>
      <c r="C159" s="26">
        <v>0</v>
      </c>
      <c r="D159" s="26">
        <v>0</v>
      </c>
      <c r="E159" s="26">
        <v>1</v>
      </c>
      <c r="F159" s="26">
        <v>0</v>
      </c>
      <c r="G159" s="10"/>
      <c r="H159" s="10"/>
      <c r="I159" s="17"/>
    </row>
    <row r="160" spans="1:9" ht="30" x14ac:dyDescent="0.25">
      <c r="A160" s="4" t="s">
        <v>129</v>
      </c>
      <c r="B160" s="29">
        <f>Input!B183*Input!C183</f>
        <v>0</v>
      </c>
      <c r="C160" s="26">
        <v>0</v>
      </c>
      <c r="D160" s="26">
        <v>0</v>
      </c>
      <c r="E160" s="26">
        <v>1</v>
      </c>
      <c r="F160" s="26">
        <v>0</v>
      </c>
      <c r="G160" s="10"/>
      <c r="H160" s="10"/>
      <c r="I160" s="17"/>
    </row>
    <row r="161" spans="1:9" x14ac:dyDescent="0.25">
      <c r="A161" s="4" t="s">
        <v>130</v>
      </c>
      <c r="B161" s="29">
        <f>Input!B184*Input!C184</f>
        <v>0</v>
      </c>
      <c r="C161" s="26">
        <v>0</v>
      </c>
      <c r="D161" s="26">
        <v>0</v>
      </c>
      <c r="E161" s="26">
        <v>1</v>
      </c>
      <c r="F161" s="26">
        <v>0</v>
      </c>
      <c r="G161" s="10"/>
      <c r="H161" s="10"/>
      <c r="I161" s="17"/>
    </row>
    <row r="162" spans="1:9" x14ac:dyDescent="0.25">
      <c r="A162" s="4" t="s">
        <v>131</v>
      </c>
      <c r="B162" s="29">
        <f>Input!B185*Input!C185</f>
        <v>0</v>
      </c>
      <c r="C162" s="26">
        <v>0</v>
      </c>
      <c r="D162" s="26">
        <v>0</v>
      </c>
      <c r="E162" s="26">
        <v>1</v>
      </c>
      <c r="F162" s="26">
        <v>0</v>
      </c>
      <c r="G162" s="10"/>
      <c r="H162" s="10"/>
      <c r="I162" s="17"/>
    </row>
    <row r="163" spans="1:9" x14ac:dyDescent="0.25">
      <c r="A163" s="4" t="s">
        <v>132</v>
      </c>
      <c r="B163" s="29">
        <f>Input!B186*Input!C186</f>
        <v>0</v>
      </c>
      <c r="C163" s="26">
        <v>0</v>
      </c>
      <c r="D163" s="26">
        <v>0</v>
      </c>
      <c r="E163" s="26">
        <v>1</v>
      </c>
      <c r="F163" s="26">
        <v>0</v>
      </c>
      <c r="G163" s="10"/>
      <c r="H163" s="10"/>
      <c r="I163" s="17"/>
    </row>
    <row r="164" spans="1:9" x14ac:dyDescent="0.25">
      <c r="A164" s="4" t="s">
        <v>133</v>
      </c>
      <c r="B164" s="29">
        <f>Input!B187*Input!C187</f>
        <v>0</v>
      </c>
      <c r="C164" s="26">
        <v>0</v>
      </c>
      <c r="D164" s="26">
        <v>1</v>
      </c>
      <c r="E164" s="26">
        <v>0</v>
      </c>
      <c r="F164" s="26">
        <v>0</v>
      </c>
      <c r="G164" s="10"/>
      <c r="H164" s="10"/>
      <c r="I164" s="17"/>
    </row>
    <row r="165" spans="1:9" x14ac:dyDescent="0.25">
      <c r="A165" s="4" t="s">
        <v>134</v>
      </c>
      <c r="B165" s="29">
        <f>Input!B188*Input!C188</f>
        <v>0</v>
      </c>
      <c r="C165" s="26">
        <v>0</v>
      </c>
      <c r="D165" s="26">
        <v>1</v>
      </c>
      <c r="E165" s="26">
        <v>0</v>
      </c>
      <c r="F165" s="26">
        <v>0</v>
      </c>
      <c r="G165" s="10"/>
      <c r="H165" s="10"/>
      <c r="I165" s="17"/>
    </row>
    <row r="166" spans="1:9" x14ac:dyDescent="0.25">
      <c r="A166" s="4" t="s">
        <v>135</v>
      </c>
      <c r="B166" s="29">
        <f>Input!B189*Input!C189</f>
        <v>0</v>
      </c>
      <c r="C166" s="26">
        <v>0</v>
      </c>
      <c r="D166" s="26">
        <v>0</v>
      </c>
      <c r="E166" s="26">
        <v>1</v>
      </c>
      <c r="F166" s="26">
        <v>0</v>
      </c>
      <c r="G166" s="10"/>
      <c r="H166" s="10"/>
      <c r="I166" s="17"/>
    </row>
    <row r="167" spans="1:9" ht="30" x14ac:dyDescent="0.25">
      <c r="A167" s="4" t="s">
        <v>136</v>
      </c>
      <c r="B167" s="29">
        <f>Input!B190*Input!C190</f>
        <v>0</v>
      </c>
      <c r="C167" s="26">
        <v>0</v>
      </c>
      <c r="D167" s="26">
        <v>0</v>
      </c>
      <c r="E167" s="26">
        <v>1</v>
      </c>
      <c r="F167" s="26">
        <v>0</v>
      </c>
      <c r="G167" s="10"/>
      <c r="H167" s="10"/>
      <c r="I167" s="17"/>
    </row>
    <row r="168" spans="1:9" x14ac:dyDescent="0.25">
      <c r="A168" s="4" t="s">
        <v>137</v>
      </c>
      <c r="B168" s="29">
        <f>Input!B191*Input!C191</f>
        <v>56142980</v>
      </c>
      <c r="C168" s="26">
        <v>0</v>
      </c>
      <c r="D168" s="26">
        <v>1</v>
      </c>
      <c r="E168" s="26">
        <v>0</v>
      </c>
      <c r="F168" s="26">
        <v>0</v>
      </c>
      <c r="G168" s="10"/>
      <c r="H168" s="10"/>
      <c r="I168" s="17"/>
    </row>
    <row r="169" spans="1:9" x14ac:dyDescent="0.25">
      <c r="A169" s="4" t="s">
        <v>138</v>
      </c>
      <c r="B169" s="29">
        <f>Input!B192*Input!C192</f>
        <v>105162460</v>
      </c>
      <c r="C169" s="26">
        <v>0</v>
      </c>
      <c r="D169" s="26">
        <v>1</v>
      </c>
      <c r="E169" s="26">
        <v>0</v>
      </c>
      <c r="F169" s="26">
        <v>0</v>
      </c>
      <c r="G169" s="10"/>
      <c r="H169" s="10"/>
      <c r="I169" s="17"/>
    </row>
    <row r="170" spans="1:9" x14ac:dyDescent="0.25">
      <c r="A170" s="4" t="s">
        <v>139</v>
      </c>
      <c r="B170" s="29">
        <f>Input!B193*Input!C193</f>
        <v>0</v>
      </c>
      <c r="C170" s="26">
        <v>0</v>
      </c>
      <c r="D170" s="26">
        <v>1</v>
      </c>
      <c r="E170" s="26">
        <v>0</v>
      </c>
      <c r="F170" s="26">
        <v>0</v>
      </c>
      <c r="G170" s="10"/>
      <c r="H170" s="10"/>
      <c r="I170" s="17"/>
    </row>
    <row r="171" spans="1:9" x14ac:dyDescent="0.25">
      <c r="A171" s="4" t="s">
        <v>140</v>
      </c>
      <c r="B171" s="29">
        <f>Input!B194*Input!C194</f>
        <v>0</v>
      </c>
      <c r="C171" s="26">
        <v>0</v>
      </c>
      <c r="D171" s="26">
        <v>1</v>
      </c>
      <c r="E171" s="26">
        <v>0</v>
      </c>
      <c r="F171" s="26">
        <v>0</v>
      </c>
      <c r="G171" s="10"/>
      <c r="H171" s="10"/>
      <c r="I171" s="17"/>
    </row>
    <row r="172" spans="1:9" x14ac:dyDescent="0.25">
      <c r="A172" s="4" t="s">
        <v>141</v>
      </c>
      <c r="B172" s="29">
        <f>Input!B195*Input!C195</f>
        <v>31879680</v>
      </c>
      <c r="C172" s="26">
        <v>0</v>
      </c>
      <c r="D172" s="26">
        <v>0</v>
      </c>
      <c r="E172" s="26">
        <v>0</v>
      </c>
      <c r="F172" s="26">
        <v>1</v>
      </c>
      <c r="G172" s="10"/>
      <c r="H172" s="10"/>
      <c r="I172" s="17"/>
    </row>
    <row r="173" spans="1:9" x14ac:dyDescent="0.25">
      <c r="A173" s="4" t="s">
        <v>142</v>
      </c>
      <c r="B173" s="29">
        <f>Input!B196*Input!C196</f>
        <v>1380470</v>
      </c>
      <c r="C173" s="26">
        <v>0</v>
      </c>
      <c r="D173" s="26">
        <v>0</v>
      </c>
      <c r="E173" s="26">
        <v>0</v>
      </c>
      <c r="F173" s="26">
        <v>1</v>
      </c>
      <c r="G173" s="10"/>
      <c r="H173" s="10"/>
      <c r="I173" s="17"/>
    </row>
    <row r="174" spans="1:9" x14ac:dyDescent="0.25">
      <c r="A174" s="4" t="s">
        <v>143</v>
      </c>
      <c r="B174" s="29">
        <f>Input!B197*Input!C197</f>
        <v>13669950</v>
      </c>
      <c r="C174" s="26">
        <v>0</v>
      </c>
      <c r="D174" s="26">
        <v>0</v>
      </c>
      <c r="E174" s="26">
        <v>0</v>
      </c>
      <c r="F174" s="26">
        <v>1</v>
      </c>
      <c r="G174" s="10"/>
      <c r="H174" s="10"/>
      <c r="I174" s="17"/>
    </row>
    <row r="175" spans="1:9" x14ac:dyDescent="0.25">
      <c r="A175" s="4" t="s">
        <v>144</v>
      </c>
      <c r="B175" s="29">
        <f>Input!B198*Input!C198</f>
        <v>1469720</v>
      </c>
      <c r="C175" s="26">
        <v>0</v>
      </c>
      <c r="D175" s="26">
        <v>0</v>
      </c>
      <c r="E175" s="26">
        <v>0</v>
      </c>
      <c r="F175" s="26">
        <v>1</v>
      </c>
      <c r="G175" s="10"/>
      <c r="H175" s="10"/>
      <c r="I175" s="17"/>
    </row>
    <row r="176" spans="1:9" x14ac:dyDescent="0.25">
      <c r="A176" s="4" t="s">
        <v>145</v>
      </c>
      <c r="B176" s="29">
        <f>Input!B199*Input!C199</f>
        <v>39995640</v>
      </c>
      <c r="C176" s="26">
        <v>0</v>
      </c>
      <c r="D176" s="26">
        <v>0</v>
      </c>
      <c r="E176" s="26">
        <v>0</v>
      </c>
      <c r="F176" s="26">
        <v>1</v>
      </c>
      <c r="G176" s="10"/>
      <c r="H176" s="10"/>
      <c r="I176" s="17"/>
    </row>
    <row r="177" spans="1:9" x14ac:dyDescent="0.25">
      <c r="A177" s="4" t="s">
        <v>146</v>
      </c>
      <c r="B177" s="29">
        <f>Input!B200*Input!C200</f>
        <v>8618400</v>
      </c>
      <c r="C177" s="26">
        <v>0</v>
      </c>
      <c r="D177" s="26">
        <v>0</v>
      </c>
      <c r="E177" s="26">
        <v>0</v>
      </c>
      <c r="F177" s="26">
        <v>1</v>
      </c>
      <c r="G177" s="10"/>
      <c r="H177" s="10"/>
      <c r="I177" s="17"/>
    </row>
    <row r="178" spans="1:9" x14ac:dyDescent="0.25">
      <c r="A178" s="4" t="s">
        <v>147</v>
      </c>
      <c r="B178" s="29">
        <f>Input!B201*Input!C201</f>
        <v>15587980</v>
      </c>
      <c r="C178" s="26">
        <v>0</v>
      </c>
      <c r="D178" s="26">
        <v>0</v>
      </c>
      <c r="E178" s="26">
        <v>0</v>
      </c>
      <c r="F178" s="26">
        <v>1</v>
      </c>
      <c r="G178" s="10"/>
      <c r="H178" s="10"/>
      <c r="I178" s="17"/>
    </row>
    <row r="179" spans="1:9" x14ac:dyDescent="0.25">
      <c r="A179" s="4" t="s">
        <v>148</v>
      </c>
      <c r="B179" s="29">
        <f>Input!B202*Input!C202</f>
        <v>18707030</v>
      </c>
      <c r="C179" s="26">
        <v>0</v>
      </c>
      <c r="D179" s="26">
        <v>0</v>
      </c>
      <c r="E179" s="26">
        <v>0</v>
      </c>
      <c r="F179" s="26">
        <v>1</v>
      </c>
      <c r="G179" s="10"/>
      <c r="H179" s="10"/>
      <c r="I179" s="17"/>
    </row>
    <row r="180" spans="1:9" x14ac:dyDescent="0.25">
      <c r="A180" s="4" t="s">
        <v>149</v>
      </c>
      <c r="B180" s="29">
        <f>Input!B203*Input!C203</f>
        <v>66938793.599999994</v>
      </c>
      <c r="C180" s="26">
        <v>0</v>
      </c>
      <c r="D180" s="26">
        <v>0</v>
      </c>
      <c r="E180" s="26">
        <v>0</v>
      </c>
      <c r="F180" s="26">
        <v>1</v>
      </c>
      <c r="G180" s="10"/>
      <c r="H180" s="10"/>
      <c r="I180" s="17"/>
    </row>
    <row r="181" spans="1:9" x14ac:dyDescent="0.25">
      <c r="A181" s="4" t="s">
        <v>150</v>
      </c>
      <c r="B181" s="29">
        <f>Input!B204*Input!C204</f>
        <v>0</v>
      </c>
      <c r="C181" s="26">
        <v>0</v>
      </c>
      <c r="D181" s="26">
        <v>0</v>
      </c>
      <c r="E181" s="26">
        <v>0</v>
      </c>
      <c r="F181" s="26">
        <v>1</v>
      </c>
      <c r="G181" s="10"/>
      <c r="H181" s="10"/>
      <c r="I181" s="17"/>
    </row>
    <row r="182" spans="1:9" x14ac:dyDescent="0.25">
      <c r="A182" s="4" t="s">
        <v>151</v>
      </c>
      <c r="B182" s="29">
        <f>Input!B205*Input!C205</f>
        <v>1408864.08</v>
      </c>
      <c r="C182" s="26">
        <v>0</v>
      </c>
      <c r="D182" s="26">
        <v>0</v>
      </c>
      <c r="E182" s="26">
        <v>0</v>
      </c>
      <c r="F182" s="26">
        <v>1</v>
      </c>
      <c r="G182" s="10"/>
      <c r="H182" s="10"/>
      <c r="I182" s="17"/>
    </row>
    <row r="183" spans="1:9" x14ac:dyDescent="0.25">
      <c r="A183" s="4" t="s">
        <v>152</v>
      </c>
      <c r="B183" s="29">
        <f>Input!B206*Input!C206</f>
        <v>2666700</v>
      </c>
      <c r="C183" s="26">
        <v>0</v>
      </c>
      <c r="D183" s="26">
        <v>0</v>
      </c>
      <c r="E183" s="26">
        <v>0</v>
      </c>
      <c r="F183" s="26">
        <v>1</v>
      </c>
      <c r="G183" s="10"/>
      <c r="H183" s="10"/>
      <c r="I183" s="17"/>
    </row>
    <row r="184" spans="1:9" x14ac:dyDescent="0.25">
      <c r="A184" s="4" t="s">
        <v>153</v>
      </c>
      <c r="B184" s="29">
        <f>Input!B207*Input!C207</f>
        <v>888900</v>
      </c>
      <c r="C184" s="26">
        <v>0</v>
      </c>
      <c r="D184" s="26">
        <v>0</v>
      </c>
      <c r="E184" s="26">
        <v>0</v>
      </c>
      <c r="F184" s="26">
        <v>1</v>
      </c>
      <c r="G184" s="10"/>
      <c r="H184" s="10"/>
      <c r="I184" s="17"/>
    </row>
    <row r="185" spans="1:9" x14ac:dyDescent="0.25">
      <c r="A185" s="4" t="s">
        <v>154</v>
      </c>
      <c r="B185" s="29">
        <f>Input!B208*Input!C208</f>
        <v>444450</v>
      </c>
      <c r="C185" s="26">
        <v>0</v>
      </c>
      <c r="D185" s="26">
        <v>0</v>
      </c>
      <c r="E185" s="26">
        <v>0</v>
      </c>
      <c r="F185" s="26">
        <v>1</v>
      </c>
      <c r="G185" s="10"/>
      <c r="H185" s="10"/>
      <c r="I185" s="17"/>
    </row>
    <row r="186" spans="1:9" x14ac:dyDescent="0.25">
      <c r="A186" s="4" t="s">
        <v>155</v>
      </c>
      <c r="B186" s="29">
        <f>Input!B209*Input!C209</f>
        <v>1474876</v>
      </c>
      <c r="C186" s="26">
        <v>0</v>
      </c>
      <c r="D186" s="26">
        <v>0</v>
      </c>
      <c r="E186" s="26">
        <v>0</v>
      </c>
      <c r="F186" s="26">
        <v>1</v>
      </c>
      <c r="G186" s="10"/>
      <c r="H186" s="10"/>
      <c r="I186" s="17"/>
    </row>
    <row r="187" spans="1:9" x14ac:dyDescent="0.25">
      <c r="A187" s="4" t="s">
        <v>156</v>
      </c>
      <c r="B187" s="29">
        <f>Input!B210*Input!C210</f>
        <v>20706380</v>
      </c>
      <c r="C187" s="26">
        <v>0</v>
      </c>
      <c r="D187" s="26">
        <v>0</v>
      </c>
      <c r="E187" s="26">
        <v>0</v>
      </c>
      <c r="F187" s="26">
        <v>1</v>
      </c>
      <c r="G187" s="10"/>
      <c r="H187" s="10"/>
      <c r="I187" s="17"/>
    </row>
    <row r="188" spans="1:9" x14ac:dyDescent="0.25">
      <c r="A188" s="4" t="s">
        <v>157</v>
      </c>
      <c r="B188" s="29">
        <f>Input!B211*Input!C211</f>
        <v>14083600</v>
      </c>
      <c r="C188" s="26">
        <v>0</v>
      </c>
      <c r="D188" s="26">
        <v>0</v>
      </c>
      <c r="E188" s="26">
        <v>0</v>
      </c>
      <c r="F188" s="26">
        <v>1</v>
      </c>
      <c r="G188" s="10"/>
      <c r="H188" s="10"/>
      <c r="I188" s="17"/>
    </row>
    <row r="189" spans="1:9" x14ac:dyDescent="0.25">
      <c r="A189" s="4" t="s">
        <v>158</v>
      </c>
      <c r="B189" s="29">
        <f>Input!B212*Input!C212</f>
        <v>530720</v>
      </c>
      <c r="C189" s="26">
        <v>0</v>
      </c>
      <c r="D189" s="26">
        <v>0</v>
      </c>
      <c r="E189" s="26">
        <v>0</v>
      </c>
      <c r="F189" s="26">
        <v>1</v>
      </c>
      <c r="G189" s="10"/>
      <c r="H189" s="10"/>
      <c r="I189" s="17"/>
    </row>
    <row r="190" spans="1:9" x14ac:dyDescent="0.25">
      <c r="A190" s="4" t="s">
        <v>159</v>
      </c>
      <c r="B190" s="29">
        <f>Input!B213*Input!C213</f>
        <v>0</v>
      </c>
      <c r="C190" s="26">
        <v>0</v>
      </c>
      <c r="D190" s="26">
        <v>0</v>
      </c>
      <c r="E190" s="26">
        <v>0</v>
      </c>
      <c r="F190" s="26">
        <v>1</v>
      </c>
      <c r="G190" s="10"/>
      <c r="H190" s="10"/>
      <c r="I190" s="17"/>
    </row>
    <row r="191" spans="1:9" x14ac:dyDescent="0.25">
      <c r="A191" s="4" t="s">
        <v>160</v>
      </c>
      <c r="B191" s="29">
        <f>Input!B214*Input!C214</f>
        <v>0</v>
      </c>
      <c r="C191" s="26">
        <v>0</v>
      </c>
      <c r="D191" s="26">
        <v>0</v>
      </c>
      <c r="E191" s="26">
        <v>0</v>
      </c>
      <c r="F191" s="26">
        <v>1</v>
      </c>
      <c r="G191" s="10"/>
      <c r="H191" s="10"/>
      <c r="I191" s="17"/>
    </row>
    <row r="192" spans="1:9" x14ac:dyDescent="0.25">
      <c r="A192" s="4" t="s">
        <v>161</v>
      </c>
      <c r="B192" s="29">
        <f>Input!B215*Input!C215</f>
        <v>0</v>
      </c>
      <c r="C192" s="26">
        <v>0</v>
      </c>
      <c r="D192" s="26">
        <v>0</v>
      </c>
      <c r="E192" s="26">
        <v>0</v>
      </c>
      <c r="F192" s="26">
        <v>1</v>
      </c>
      <c r="G192" s="10"/>
      <c r="H192" s="10"/>
      <c r="I192" s="17"/>
    </row>
    <row r="193" spans="1:9" x14ac:dyDescent="0.25">
      <c r="A193" s="4" t="s">
        <v>162</v>
      </c>
      <c r="B193" s="29">
        <f>Input!B216*Input!C216</f>
        <v>4669830</v>
      </c>
      <c r="C193" s="26">
        <v>0</v>
      </c>
      <c r="D193" s="26">
        <v>0</v>
      </c>
      <c r="E193" s="26">
        <v>0</v>
      </c>
      <c r="F193" s="26">
        <v>1</v>
      </c>
      <c r="G193" s="10"/>
      <c r="H193" s="10"/>
      <c r="I193" s="17"/>
    </row>
    <row r="194" spans="1:9" x14ac:dyDescent="0.25">
      <c r="A194" s="4" t="s">
        <v>163</v>
      </c>
      <c r="B194" s="29">
        <f>Input!B217*Input!C217</f>
        <v>0</v>
      </c>
      <c r="C194" s="26">
        <v>0</v>
      </c>
      <c r="D194" s="26">
        <v>0</v>
      </c>
      <c r="E194" s="26">
        <v>0</v>
      </c>
      <c r="F194" s="26">
        <v>1</v>
      </c>
      <c r="G194" s="10"/>
      <c r="H194" s="10"/>
      <c r="I194" s="17"/>
    </row>
    <row r="195" spans="1:9" x14ac:dyDescent="0.25">
      <c r="A195" s="4" t="s">
        <v>164</v>
      </c>
      <c r="B195" s="29">
        <f>Input!B218*Input!C218</f>
        <v>0</v>
      </c>
      <c r="C195" s="26">
        <v>0</v>
      </c>
      <c r="D195" s="26">
        <v>0</v>
      </c>
      <c r="E195" s="26">
        <v>0</v>
      </c>
      <c r="F195" s="26">
        <v>1</v>
      </c>
      <c r="G195" s="10"/>
      <c r="H195" s="10"/>
      <c r="I195" s="17"/>
    </row>
    <row r="196" spans="1:9" x14ac:dyDescent="0.25">
      <c r="A196" s="4" t="s">
        <v>165</v>
      </c>
      <c r="B196" s="29">
        <f>Input!B219*Input!C219</f>
        <v>64894310</v>
      </c>
      <c r="C196" s="26">
        <v>0</v>
      </c>
      <c r="D196" s="26">
        <v>0</v>
      </c>
      <c r="E196" s="26">
        <v>0</v>
      </c>
      <c r="F196" s="26">
        <v>1</v>
      </c>
      <c r="G196" s="10"/>
      <c r="H196" s="10"/>
      <c r="I196" s="17"/>
    </row>
    <row r="197" spans="1:9" x14ac:dyDescent="0.25">
      <c r="A197" s="4" t="s">
        <v>166</v>
      </c>
      <c r="B197" s="29">
        <f>Input!B220*Input!C220</f>
        <v>0</v>
      </c>
      <c r="C197" s="26">
        <v>0</v>
      </c>
      <c r="D197" s="26">
        <v>0</v>
      </c>
      <c r="E197" s="26">
        <v>0</v>
      </c>
      <c r="F197" s="26">
        <v>1</v>
      </c>
      <c r="G197" s="10"/>
      <c r="H197" s="10"/>
      <c r="I197" s="17"/>
    </row>
    <row r="198" spans="1:9" x14ac:dyDescent="0.25">
      <c r="A198" s="4" t="s">
        <v>167</v>
      </c>
      <c r="B198" s="29">
        <f>Input!B221*Input!C221</f>
        <v>13737600</v>
      </c>
      <c r="C198" s="26">
        <v>0</v>
      </c>
      <c r="D198" s="26">
        <v>0</v>
      </c>
      <c r="E198" s="26">
        <v>0</v>
      </c>
      <c r="F198" s="26">
        <v>1</v>
      </c>
      <c r="G198" s="10"/>
      <c r="H198" s="10"/>
      <c r="I198" s="17"/>
    </row>
    <row r="199" spans="1:9" x14ac:dyDescent="0.25">
      <c r="A199" s="4" t="s">
        <v>168</v>
      </c>
      <c r="B199" s="29">
        <f>Input!B222*Input!C222</f>
        <v>0</v>
      </c>
      <c r="C199" s="26">
        <v>0</v>
      </c>
      <c r="D199" s="26">
        <v>0</v>
      </c>
      <c r="E199" s="26">
        <v>0</v>
      </c>
      <c r="F199" s="26">
        <v>1</v>
      </c>
      <c r="G199" s="10"/>
      <c r="H199" s="10"/>
      <c r="I199" s="17"/>
    </row>
    <row r="200" spans="1:9" x14ac:dyDescent="0.25">
      <c r="A200" s="4" t="s">
        <v>169</v>
      </c>
      <c r="B200" s="29">
        <f>Input!B223*Input!C223</f>
        <v>4809350</v>
      </c>
      <c r="C200" s="26">
        <v>0</v>
      </c>
      <c r="D200" s="26">
        <v>0</v>
      </c>
      <c r="E200" s="26">
        <v>0</v>
      </c>
      <c r="F200" s="26">
        <v>1</v>
      </c>
      <c r="G200" s="10"/>
      <c r="H200" s="10"/>
      <c r="I200" s="17"/>
    </row>
    <row r="201" spans="1:9" x14ac:dyDescent="0.25">
      <c r="A201" s="4" t="s">
        <v>170</v>
      </c>
      <c r="B201" s="29">
        <f>Input!B224*Input!C224</f>
        <v>58272390</v>
      </c>
      <c r="C201" s="26">
        <v>0</v>
      </c>
      <c r="D201" s="26">
        <v>0</v>
      </c>
      <c r="E201" s="26">
        <v>0</v>
      </c>
      <c r="F201" s="26">
        <v>1</v>
      </c>
      <c r="G201" s="10"/>
      <c r="H201" s="10"/>
      <c r="I201" s="17"/>
    </row>
    <row r="202" spans="1:9" x14ac:dyDescent="0.25">
      <c r="A202" s="4" t="s">
        <v>171</v>
      </c>
      <c r="B202" s="29">
        <f>Input!B225*Input!C225</f>
        <v>3039400</v>
      </c>
      <c r="C202" s="26">
        <v>0</v>
      </c>
      <c r="D202" s="26">
        <v>0</v>
      </c>
      <c r="E202" s="26">
        <v>0</v>
      </c>
      <c r="F202" s="26">
        <v>1</v>
      </c>
      <c r="G202" s="10"/>
      <c r="H202" s="10"/>
      <c r="I202" s="17"/>
    </row>
    <row r="203" spans="1:9" x14ac:dyDescent="0.25">
      <c r="A203" s="4" t="s">
        <v>172</v>
      </c>
      <c r="B203" s="29">
        <f>Input!B226*Input!C226</f>
        <v>232151480</v>
      </c>
      <c r="C203" s="26">
        <v>0</v>
      </c>
      <c r="D203" s="26">
        <v>0</v>
      </c>
      <c r="E203" s="26">
        <v>0</v>
      </c>
      <c r="F203" s="26">
        <v>1</v>
      </c>
      <c r="G203" s="10"/>
      <c r="H203" s="10"/>
      <c r="I203" s="17"/>
    </row>
    <row r="204" spans="1:9" x14ac:dyDescent="0.25">
      <c r="A204" s="4" t="s">
        <v>173</v>
      </c>
      <c r="B204" s="29">
        <f>Input!B227*Input!C227</f>
        <v>17890400</v>
      </c>
      <c r="C204" s="26">
        <v>0</v>
      </c>
      <c r="D204" s="26">
        <v>0</v>
      </c>
      <c r="E204" s="26">
        <v>0</v>
      </c>
      <c r="F204" s="26">
        <v>1</v>
      </c>
      <c r="G204" s="10"/>
      <c r="H204" s="10"/>
      <c r="I204" s="17"/>
    </row>
    <row r="205" spans="1:9" ht="30" x14ac:dyDescent="0.25">
      <c r="A205" s="4" t="s">
        <v>174</v>
      </c>
      <c r="B205" s="29">
        <f>Input!B228*Input!C228</f>
        <v>0</v>
      </c>
      <c r="C205" s="26">
        <v>0</v>
      </c>
      <c r="D205" s="26">
        <v>0</v>
      </c>
      <c r="E205" s="26">
        <v>0</v>
      </c>
      <c r="F205" s="26">
        <v>1</v>
      </c>
      <c r="G205" s="10"/>
      <c r="H205" s="10"/>
      <c r="I205" s="17"/>
    </row>
    <row r="206" spans="1:9" x14ac:dyDescent="0.25">
      <c r="A206" s="4" t="s">
        <v>175</v>
      </c>
      <c r="B206" s="29">
        <f>Input!B229*Input!C229</f>
        <v>76759520</v>
      </c>
      <c r="C206" s="26">
        <v>0</v>
      </c>
      <c r="D206" s="26">
        <v>0</v>
      </c>
      <c r="E206" s="26">
        <v>0</v>
      </c>
      <c r="F206" s="26">
        <v>1</v>
      </c>
      <c r="G206" s="10"/>
      <c r="H206" s="10"/>
      <c r="I206" s="17"/>
    </row>
    <row r="207" spans="1:9" x14ac:dyDescent="0.25">
      <c r="A207" s="4" t="s">
        <v>176</v>
      </c>
      <c r="B207" s="29">
        <f>Input!B230*Input!C230</f>
        <v>0</v>
      </c>
      <c r="C207" s="26">
        <v>0</v>
      </c>
      <c r="D207" s="26">
        <v>0</v>
      </c>
      <c r="E207" s="26">
        <v>0</v>
      </c>
      <c r="F207" s="26">
        <v>1</v>
      </c>
      <c r="G207" s="10"/>
      <c r="H207" s="10"/>
      <c r="I207" s="17"/>
    </row>
    <row r="208" spans="1:9" x14ac:dyDescent="0.25">
      <c r="A208" s="4" t="s">
        <v>177</v>
      </c>
      <c r="B208" s="29">
        <f>Input!B231*Input!C231</f>
        <v>0</v>
      </c>
      <c r="C208" s="26">
        <v>0</v>
      </c>
      <c r="D208" s="26">
        <v>0</v>
      </c>
      <c r="E208" s="26">
        <v>0</v>
      </c>
      <c r="F208" s="26">
        <v>1</v>
      </c>
      <c r="G208" s="10"/>
      <c r="H208" s="10"/>
      <c r="I208" s="17"/>
    </row>
    <row r="209" spans="1:9" x14ac:dyDescent="0.25">
      <c r="A209" s="4" t="s">
        <v>178</v>
      </c>
      <c r="B209" s="29">
        <f>Input!B232*Input!C232</f>
        <v>32607360</v>
      </c>
      <c r="C209" s="26">
        <v>0</v>
      </c>
      <c r="D209" s="26">
        <v>0</v>
      </c>
      <c r="E209" s="26">
        <v>0</v>
      </c>
      <c r="F209" s="26">
        <v>1</v>
      </c>
      <c r="G209" s="10"/>
      <c r="H209" s="10"/>
      <c r="I209" s="17"/>
    </row>
    <row r="210" spans="1:9" x14ac:dyDescent="0.25">
      <c r="A210" s="4" t="s">
        <v>179</v>
      </c>
      <c r="B210" s="29">
        <f>Input!B233*Input!C233</f>
        <v>0</v>
      </c>
      <c r="C210" s="26">
        <v>0</v>
      </c>
      <c r="D210" s="26">
        <v>0</v>
      </c>
      <c r="E210" s="26">
        <v>0</v>
      </c>
      <c r="F210" s="26">
        <v>1</v>
      </c>
      <c r="G210" s="10"/>
      <c r="H210" s="10"/>
      <c r="I210" s="17"/>
    </row>
    <row r="211" spans="1:9" x14ac:dyDescent="0.25">
      <c r="A211" s="4" t="s">
        <v>180</v>
      </c>
      <c r="B211" s="29">
        <f>Input!B234*Input!C234</f>
        <v>149333450</v>
      </c>
      <c r="C211" s="26">
        <v>0</v>
      </c>
      <c r="D211" s="26">
        <v>0</v>
      </c>
      <c r="E211" s="26">
        <v>0</v>
      </c>
      <c r="F211" s="26">
        <v>1</v>
      </c>
      <c r="G211" s="10"/>
      <c r="H211" s="10"/>
      <c r="I211" s="17"/>
    </row>
    <row r="212" spans="1:9" x14ac:dyDescent="0.25">
      <c r="A212" s="4" t="s">
        <v>181</v>
      </c>
      <c r="B212" s="29">
        <f>Input!B235*Input!C235</f>
        <v>0</v>
      </c>
      <c r="C212" s="26">
        <v>0</v>
      </c>
      <c r="D212" s="26">
        <v>0</v>
      </c>
      <c r="E212" s="26">
        <v>0</v>
      </c>
      <c r="F212" s="26">
        <v>1</v>
      </c>
      <c r="G212" s="10"/>
      <c r="H212" s="10"/>
      <c r="I212" s="17"/>
    </row>
    <row r="213" spans="1:9" ht="30" x14ac:dyDescent="0.25">
      <c r="A213" s="4" t="s">
        <v>182</v>
      </c>
      <c r="B213" s="29">
        <f>Input!B236*Input!C236</f>
        <v>0</v>
      </c>
      <c r="C213" s="26">
        <v>0</v>
      </c>
      <c r="D213" s="26">
        <v>0</v>
      </c>
      <c r="E213" s="26">
        <v>0</v>
      </c>
      <c r="F213" s="26">
        <v>1</v>
      </c>
      <c r="G213" s="10"/>
      <c r="H213" s="10"/>
      <c r="I213" s="17"/>
    </row>
    <row r="214" spans="1:9" ht="30" x14ac:dyDescent="0.25">
      <c r="A214" s="4" t="s">
        <v>183</v>
      </c>
      <c r="B214" s="29">
        <f>Input!B237*Input!C237</f>
        <v>0</v>
      </c>
      <c r="C214" s="26">
        <v>0</v>
      </c>
      <c r="D214" s="26">
        <v>0</v>
      </c>
      <c r="E214" s="26">
        <v>0</v>
      </c>
      <c r="F214" s="26">
        <v>1</v>
      </c>
      <c r="G214" s="10"/>
      <c r="H214" s="10"/>
      <c r="I214" s="17"/>
    </row>
    <row r="215" spans="1:9" x14ac:dyDescent="0.25">
      <c r="A215" s="4" t="s">
        <v>184</v>
      </c>
      <c r="B215" s="29">
        <f>Input!B238*Input!C238</f>
        <v>0</v>
      </c>
      <c r="C215" s="26">
        <v>0</v>
      </c>
      <c r="D215" s="26">
        <v>0</v>
      </c>
      <c r="E215" s="26">
        <v>1</v>
      </c>
      <c r="F215" s="26">
        <v>0</v>
      </c>
      <c r="G215" s="10"/>
      <c r="H215" s="10"/>
      <c r="I215" s="17"/>
    </row>
    <row r="216" spans="1:9" ht="30" x14ac:dyDescent="0.25">
      <c r="A216" s="4" t="s">
        <v>185</v>
      </c>
      <c r="B216" s="29">
        <f>Input!B239*Input!C239</f>
        <v>0</v>
      </c>
      <c r="C216" s="26">
        <v>0</v>
      </c>
      <c r="D216" s="26">
        <v>0</v>
      </c>
      <c r="E216" s="26">
        <v>1</v>
      </c>
      <c r="F216" s="26">
        <v>0</v>
      </c>
      <c r="G216" s="10"/>
      <c r="H216" s="10"/>
      <c r="I216" s="17"/>
    </row>
    <row r="218" spans="1:9" ht="21" customHeight="1" x14ac:dyDescent="0.3">
      <c r="A218" s="1" t="s">
        <v>229</v>
      </c>
    </row>
    <row r="219" spans="1:9" x14ac:dyDescent="0.25">
      <c r="A219" s="2" t="s">
        <v>197</v>
      </c>
    </row>
    <row r="220" spans="1:9" x14ac:dyDescent="0.25">
      <c r="A220" s="21" t="s">
        <v>230</v>
      </c>
    </row>
    <row r="221" spans="1:9" x14ac:dyDescent="0.25">
      <c r="A221" s="21" t="s">
        <v>231</v>
      </c>
    </row>
    <row r="222" spans="1:9" x14ac:dyDescent="0.25">
      <c r="A222" s="2" t="s">
        <v>232</v>
      </c>
    </row>
    <row r="224" spans="1:9" x14ac:dyDescent="0.25">
      <c r="B224" s="15" t="s">
        <v>28</v>
      </c>
      <c r="C224" s="15" t="s">
        <v>38</v>
      </c>
      <c r="D224" s="15" t="s">
        <v>27</v>
      </c>
      <c r="E224" s="15" t="s">
        <v>39</v>
      </c>
    </row>
    <row r="225" spans="1:13" x14ac:dyDescent="0.25">
      <c r="A225" s="4" t="s">
        <v>233</v>
      </c>
      <c r="B225" s="29">
        <f>SUMPRODUCT(C$132:C$216,$B$132:$B$216)</f>
        <v>1763568724.8</v>
      </c>
      <c r="C225" s="29">
        <f>SUMPRODUCT(D$132:D$216,$B$132:$B$216)</f>
        <v>277374220</v>
      </c>
      <c r="D225" s="29">
        <f>SUMPRODUCT(E$132:E$216,$B$132:$B$216)</f>
        <v>1133329562</v>
      </c>
      <c r="E225" s="29">
        <f>SUMPRODUCT(F$132:F$216,$B$132:$B$216)</f>
        <v>898617243.68000007</v>
      </c>
      <c r="F225" s="17"/>
    </row>
    <row r="227" spans="1:13" ht="21" customHeight="1" x14ac:dyDescent="0.3">
      <c r="A227" s="1" t="s">
        <v>234</v>
      </c>
    </row>
    <row r="228" spans="1:13" x14ac:dyDescent="0.25">
      <c r="A228" s="2" t="s">
        <v>197</v>
      </c>
    </row>
    <row r="229" spans="1:13" x14ac:dyDescent="0.25">
      <c r="A229" s="21" t="s">
        <v>235</v>
      </c>
    </row>
    <row r="230" spans="1:13" x14ac:dyDescent="0.25">
      <c r="A230" s="2" t="s">
        <v>236</v>
      </c>
    </row>
    <row r="232" spans="1:13" x14ac:dyDescent="0.25">
      <c r="B232" s="15" t="s">
        <v>28</v>
      </c>
      <c r="C232" s="15" t="s">
        <v>38</v>
      </c>
      <c r="D232" s="15" t="s">
        <v>27</v>
      </c>
      <c r="E232" s="15" t="s">
        <v>39</v>
      </c>
    </row>
    <row r="233" spans="1:13" x14ac:dyDescent="0.25">
      <c r="A233" s="4" t="s">
        <v>237</v>
      </c>
      <c r="B233" s="30">
        <f>B225/SUM($B$225:$E$225)</f>
        <v>0.4330018323211815</v>
      </c>
      <c r="C233" s="30">
        <f>C225/SUM($B$225:$E$225)</f>
        <v>6.8102560342398352E-2</v>
      </c>
      <c r="D233" s="30">
        <f>D225/SUM($B$225:$E$225)</f>
        <v>0.2782617825258919</v>
      </c>
      <c r="E233" s="30">
        <f>E225/SUM($B$225:$E$225)</f>
        <v>0.22063382481052812</v>
      </c>
      <c r="F233" s="17"/>
    </row>
    <row r="235" spans="1:13" ht="21" customHeight="1" x14ac:dyDescent="0.3">
      <c r="A235" s="1" t="s">
        <v>238</v>
      </c>
    </row>
    <row r="237" spans="1:13" x14ac:dyDescent="0.25">
      <c r="B237" s="15" t="s">
        <v>79</v>
      </c>
      <c r="C237" s="15" t="s">
        <v>80</v>
      </c>
      <c r="D237" s="15" t="s">
        <v>81</v>
      </c>
      <c r="E237" s="15" t="s">
        <v>82</v>
      </c>
      <c r="F237" s="15" t="s">
        <v>83</v>
      </c>
      <c r="G237" s="15" t="s">
        <v>84</v>
      </c>
      <c r="H237" s="15" t="s">
        <v>85</v>
      </c>
      <c r="I237" s="15" t="s">
        <v>38</v>
      </c>
      <c r="J237" s="15" t="s">
        <v>86</v>
      </c>
      <c r="K237" s="15" t="s">
        <v>87</v>
      </c>
      <c r="L237" s="15" t="s">
        <v>88</v>
      </c>
    </row>
    <row r="238" spans="1:13" x14ac:dyDescent="0.25">
      <c r="A238" s="4" t="s">
        <v>239</v>
      </c>
      <c r="B238" s="31">
        <v>0</v>
      </c>
      <c r="C238" s="31">
        <v>1</v>
      </c>
      <c r="D238" s="31">
        <v>1</v>
      </c>
      <c r="E238" s="31">
        <v>1</v>
      </c>
      <c r="F238" s="31">
        <v>1</v>
      </c>
      <c r="G238" s="31">
        <v>1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17"/>
    </row>
    <row r="240" spans="1:13" ht="21" customHeight="1" x14ac:dyDescent="0.3">
      <c r="A240" s="1" t="s">
        <v>240</v>
      </c>
    </row>
    <row r="241" spans="1:5" x14ac:dyDescent="0.25">
      <c r="A241" s="2" t="s">
        <v>197</v>
      </c>
    </row>
    <row r="242" spans="1:5" x14ac:dyDescent="0.25">
      <c r="A242" s="21" t="s">
        <v>241</v>
      </c>
    </row>
    <row r="243" spans="1:5" x14ac:dyDescent="0.25">
      <c r="A243" s="21" t="s">
        <v>242</v>
      </c>
    </row>
    <row r="244" spans="1:5" x14ac:dyDescent="0.25">
      <c r="A244" s="21" t="s">
        <v>243</v>
      </c>
    </row>
    <row r="245" spans="1:5" x14ac:dyDescent="0.25">
      <c r="A245" s="2" t="s">
        <v>244</v>
      </c>
    </row>
    <row r="247" spans="1:5" x14ac:dyDescent="0.25">
      <c r="B247" s="15" t="s">
        <v>39</v>
      </c>
    </row>
    <row r="248" spans="1:5" ht="30" x14ac:dyDescent="0.25">
      <c r="A248" s="4" t="s">
        <v>245</v>
      </c>
      <c r="B248" s="30">
        <f>1/(1+Input!$B110/SUMPRODUCT($B$238:$L$238,Input!$B$104:$L$104))</f>
        <v>0.77523432781749646</v>
      </c>
      <c r="C248" s="17"/>
    </row>
    <row r="250" spans="1:5" ht="21" customHeight="1" x14ac:dyDescent="0.3">
      <c r="A250" s="1" t="s">
        <v>246</v>
      </c>
    </row>
    <row r="251" spans="1:5" x14ac:dyDescent="0.25">
      <c r="A251" s="2" t="s">
        <v>197</v>
      </c>
    </row>
    <row r="252" spans="1:5" x14ac:dyDescent="0.25">
      <c r="A252" s="21" t="s">
        <v>247</v>
      </c>
    </row>
    <row r="253" spans="1:5" x14ac:dyDescent="0.25">
      <c r="A253" s="2" t="s">
        <v>248</v>
      </c>
    </row>
    <row r="254" spans="1:5" x14ac:dyDescent="0.25">
      <c r="A254" s="2" t="s">
        <v>200</v>
      </c>
    </row>
    <row r="256" spans="1:5" x14ac:dyDescent="0.25">
      <c r="B256" s="15" t="s">
        <v>28</v>
      </c>
      <c r="C256" s="15" t="s">
        <v>38</v>
      </c>
      <c r="D256" s="15" t="s">
        <v>27</v>
      </c>
      <c r="E256" s="15" t="s">
        <v>39</v>
      </c>
    </row>
    <row r="257" spans="1:6" x14ac:dyDescent="0.25">
      <c r="A257" s="4" t="s">
        <v>249</v>
      </c>
      <c r="B257" s="25">
        <v>1</v>
      </c>
      <c r="C257" s="25">
        <v>1</v>
      </c>
      <c r="D257" s="25">
        <v>1</v>
      </c>
      <c r="E257" s="32">
        <f>$B248</f>
        <v>0.77523432781749646</v>
      </c>
      <c r="F257" s="17"/>
    </row>
    <row r="259" spans="1:6" ht="21" customHeight="1" x14ac:dyDescent="0.3">
      <c r="A259" s="1" t="s">
        <v>250</v>
      </c>
    </row>
    <row r="260" spans="1:6" x14ac:dyDescent="0.25">
      <c r="A260" s="2" t="s">
        <v>197</v>
      </c>
    </row>
    <row r="261" spans="1:6" x14ac:dyDescent="0.25">
      <c r="A261" s="21" t="s">
        <v>251</v>
      </c>
    </row>
    <row r="262" spans="1:6" x14ac:dyDescent="0.25">
      <c r="A262" s="21" t="s">
        <v>252</v>
      </c>
    </row>
    <row r="263" spans="1:6" x14ac:dyDescent="0.25">
      <c r="A263" s="2" t="s">
        <v>253</v>
      </c>
    </row>
    <row r="265" spans="1:6" x14ac:dyDescent="0.25">
      <c r="B265" s="15" t="s">
        <v>28</v>
      </c>
      <c r="C265" s="15" t="s">
        <v>38</v>
      </c>
      <c r="D265" s="15" t="s">
        <v>27</v>
      </c>
      <c r="E265" s="15" t="s">
        <v>39</v>
      </c>
    </row>
    <row r="266" spans="1:6" ht="30" x14ac:dyDescent="0.25">
      <c r="A266" s="4" t="s">
        <v>254</v>
      </c>
      <c r="B266" s="30">
        <f>B233*B257/SUMPRODUCT($B$233:$E$233,$B$257:$E$257)</f>
        <v>0.45559521352402588</v>
      </c>
      <c r="C266" s="30">
        <f>C233*C257/SUMPRODUCT($B$233:$E$233,$B$257:$E$257)</f>
        <v>7.165604901577699E-2</v>
      </c>
      <c r="D266" s="30">
        <f>D233*D257/SUMPRODUCT($B$233:$E$233,$B$257:$E$257)</f>
        <v>0.29278106179334573</v>
      </c>
      <c r="E266" s="30">
        <f>E233*E257/SUMPRODUCT($B$233:$E$233,$B$257:$E$257)</f>
        <v>0.17996767566685132</v>
      </c>
      <c r="F266" s="17"/>
    </row>
    <row r="268" spans="1:6" ht="21" customHeight="1" x14ac:dyDescent="0.3">
      <c r="A268" s="1" t="s">
        <v>255</v>
      </c>
    </row>
    <row r="270" spans="1:6" x14ac:dyDescent="0.25">
      <c r="B270" s="15" t="s">
        <v>28</v>
      </c>
      <c r="C270" s="15" t="s">
        <v>38</v>
      </c>
      <c r="D270" s="15" t="s">
        <v>27</v>
      </c>
      <c r="E270" s="15" t="s">
        <v>39</v>
      </c>
    </row>
    <row r="271" spans="1:6" x14ac:dyDescent="0.25">
      <c r="A271" s="4" t="s">
        <v>256</v>
      </c>
      <c r="B271" s="26">
        <v>0</v>
      </c>
      <c r="C271" s="26">
        <v>0</v>
      </c>
      <c r="D271" s="26">
        <v>0</v>
      </c>
      <c r="E271" s="26">
        <v>1</v>
      </c>
      <c r="F271" s="17"/>
    </row>
    <row r="273" spans="1:6" ht="21" customHeight="1" x14ac:dyDescent="0.3">
      <c r="A273" s="1" t="s">
        <v>257</v>
      </c>
    </row>
    <row r="275" spans="1:6" x14ac:dyDescent="0.25">
      <c r="B275" s="15" t="s">
        <v>28</v>
      </c>
      <c r="C275" s="15" t="s">
        <v>38</v>
      </c>
      <c r="D275" s="15" t="s">
        <v>27</v>
      </c>
      <c r="E275" s="15" t="s">
        <v>39</v>
      </c>
    </row>
    <row r="276" spans="1:6" x14ac:dyDescent="0.25">
      <c r="A276" s="4" t="s">
        <v>258</v>
      </c>
      <c r="B276" s="26">
        <v>1</v>
      </c>
      <c r="C276" s="26">
        <v>0</v>
      </c>
      <c r="D276" s="26">
        <v>0</v>
      </c>
      <c r="E276" s="26">
        <v>0</v>
      </c>
      <c r="F276" s="17"/>
    </row>
    <row r="278" spans="1:6" ht="21" customHeight="1" x14ac:dyDescent="0.3">
      <c r="A278" s="1" t="s">
        <v>259</v>
      </c>
    </row>
    <row r="279" spans="1:6" x14ac:dyDescent="0.25">
      <c r="A279" s="2" t="s">
        <v>197</v>
      </c>
    </row>
    <row r="280" spans="1:6" x14ac:dyDescent="0.25">
      <c r="A280" s="21" t="s">
        <v>260</v>
      </c>
    </row>
    <row r="281" spans="1:6" x14ac:dyDescent="0.25">
      <c r="A281" s="21" t="s">
        <v>261</v>
      </c>
    </row>
    <row r="282" spans="1:6" x14ac:dyDescent="0.25">
      <c r="A282" s="21" t="s">
        <v>262</v>
      </c>
    </row>
    <row r="283" spans="1:6" x14ac:dyDescent="0.25">
      <c r="A283" s="21" t="s">
        <v>263</v>
      </c>
    </row>
    <row r="284" spans="1:6" x14ac:dyDescent="0.25">
      <c r="A284" s="2" t="s">
        <v>264</v>
      </c>
    </row>
    <row r="286" spans="1:6" x14ac:dyDescent="0.25">
      <c r="B286" s="15" t="s">
        <v>28</v>
      </c>
      <c r="C286" s="15" t="s">
        <v>38</v>
      </c>
      <c r="D286" s="15" t="s">
        <v>27</v>
      </c>
      <c r="E286" s="15" t="s">
        <v>39</v>
      </c>
    </row>
    <row r="287" spans="1:6" ht="30" x14ac:dyDescent="0.25">
      <c r="A287" s="4" t="s">
        <v>40</v>
      </c>
      <c r="B287" s="30">
        <f t="shared" ref="B287:E306" si="1">IF($B89="60%MEAV",0.4*B$276+B$266,IF($B89="MEAV",B$266,IF($B89="EHV only",B$271,IF($B89="LV only",B$276,0))))</f>
        <v>0</v>
      </c>
      <c r="C287" s="30">
        <f t="shared" si="1"/>
        <v>0</v>
      </c>
      <c r="D287" s="30">
        <f t="shared" si="1"/>
        <v>0</v>
      </c>
      <c r="E287" s="30">
        <f t="shared" si="1"/>
        <v>0</v>
      </c>
      <c r="F287" s="17"/>
    </row>
    <row r="288" spans="1:6" ht="30" x14ac:dyDescent="0.25">
      <c r="A288" s="4" t="s">
        <v>44</v>
      </c>
      <c r="B288" s="30">
        <f t="shared" si="1"/>
        <v>0.45559521352402588</v>
      </c>
      <c r="C288" s="30">
        <f t="shared" si="1"/>
        <v>7.165604901577699E-2</v>
      </c>
      <c r="D288" s="30">
        <f t="shared" si="1"/>
        <v>0.29278106179334573</v>
      </c>
      <c r="E288" s="30">
        <f t="shared" si="1"/>
        <v>0.17996767566685132</v>
      </c>
      <c r="F288" s="17"/>
    </row>
    <row r="289" spans="1:6" x14ac:dyDescent="0.25">
      <c r="A289" s="4" t="s">
        <v>45</v>
      </c>
      <c r="B289" s="30">
        <f t="shared" si="1"/>
        <v>0.45559521352402588</v>
      </c>
      <c r="C289" s="30">
        <f t="shared" si="1"/>
        <v>7.165604901577699E-2</v>
      </c>
      <c r="D289" s="30">
        <f t="shared" si="1"/>
        <v>0.29278106179334573</v>
      </c>
      <c r="E289" s="30">
        <f t="shared" si="1"/>
        <v>0.17996767566685132</v>
      </c>
      <c r="F289" s="17"/>
    </row>
    <row r="290" spans="1:6" x14ac:dyDescent="0.25">
      <c r="A290" s="4" t="s">
        <v>46</v>
      </c>
      <c r="B290" s="30">
        <f t="shared" si="1"/>
        <v>0.45559521352402588</v>
      </c>
      <c r="C290" s="30">
        <f t="shared" si="1"/>
        <v>7.165604901577699E-2</v>
      </c>
      <c r="D290" s="30">
        <f t="shared" si="1"/>
        <v>0.29278106179334573</v>
      </c>
      <c r="E290" s="30">
        <f t="shared" si="1"/>
        <v>0.17996767566685132</v>
      </c>
      <c r="F290" s="17"/>
    </row>
    <row r="291" spans="1:6" x14ac:dyDescent="0.25">
      <c r="A291" s="4" t="s">
        <v>47</v>
      </c>
      <c r="B291" s="30">
        <f t="shared" si="1"/>
        <v>0.45559521352402588</v>
      </c>
      <c r="C291" s="30">
        <f t="shared" si="1"/>
        <v>7.165604901577699E-2</v>
      </c>
      <c r="D291" s="30">
        <f t="shared" si="1"/>
        <v>0.29278106179334573</v>
      </c>
      <c r="E291" s="30">
        <f t="shared" si="1"/>
        <v>0.17996767566685132</v>
      </c>
      <c r="F291" s="17"/>
    </row>
    <row r="292" spans="1:6" x14ac:dyDescent="0.25">
      <c r="A292" s="4" t="s">
        <v>48</v>
      </c>
      <c r="B292" s="30">
        <f t="shared" si="1"/>
        <v>0.45559521352402588</v>
      </c>
      <c r="C292" s="30">
        <f t="shared" si="1"/>
        <v>7.165604901577699E-2</v>
      </c>
      <c r="D292" s="30">
        <f t="shared" si="1"/>
        <v>0.29278106179334573</v>
      </c>
      <c r="E292" s="30">
        <f t="shared" si="1"/>
        <v>0.17996767566685132</v>
      </c>
      <c r="F292" s="17"/>
    </row>
    <row r="293" spans="1:6" x14ac:dyDescent="0.25">
      <c r="A293" s="4" t="s">
        <v>49</v>
      </c>
      <c r="B293" s="30">
        <f t="shared" si="1"/>
        <v>0.45559521352402588</v>
      </c>
      <c r="C293" s="30">
        <f t="shared" si="1"/>
        <v>7.165604901577699E-2</v>
      </c>
      <c r="D293" s="30">
        <f t="shared" si="1"/>
        <v>0.29278106179334573</v>
      </c>
      <c r="E293" s="30">
        <f t="shared" si="1"/>
        <v>0.17996767566685132</v>
      </c>
      <c r="F293" s="17"/>
    </row>
    <row r="294" spans="1:6" x14ac:dyDescent="0.25">
      <c r="A294" s="4" t="s">
        <v>50</v>
      </c>
      <c r="B294" s="30">
        <f t="shared" si="1"/>
        <v>0.45559521352402588</v>
      </c>
      <c r="C294" s="30">
        <f t="shared" si="1"/>
        <v>7.165604901577699E-2</v>
      </c>
      <c r="D294" s="30">
        <f t="shared" si="1"/>
        <v>0.29278106179334573</v>
      </c>
      <c r="E294" s="30">
        <f t="shared" si="1"/>
        <v>0.17996767566685132</v>
      </c>
      <c r="F294" s="17"/>
    </row>
    <row r="295" spans="1:6" x14ac:dyDescent="0.25">
      <c r="A295" s="4" t="s">
        <v>51</v>
      </c>
      <c r="B295" s="30">
        <f t="shared" si="1"/>
        <v>0.45559521352402588</v>
      </c>
      <c r="C295" s="30">
        <f t="shared" si="1"/>
        <v>7.165604901577699E-2</v>
      </c>
      <c r="D295" s="30">
        <f t="shared" si="1"/>
        <v>0.29278106179334573</v>
      </c>
      <c r="E295" s="30">
        <f t="shared" si="1"/>
        <v>0.17996767566685132</v>
      </c>
      <c r="F295" s="17"/>
    </row>
    <row r="296" spans="1:6" x14ac:dyDescent="0.25">
      <c r="A296" s="4" t="s">
        <v>52</v>
      </c>
      <c r="B296" s="30">
        <f t="shared" si="1"/>
        <v>0.45559521352402588</v>
      </c>
      <c r="C296" s="30">
        <f t="shared" si="1"/>
        <v>7.165604901577699E-2</v>
      </c>
      <c r="D296" s="30">
        <f t="shared" si="1"/>
        <v>0.29278106179334573</v>
      </c>
      <c r="E296" s="30">
        <f t="shared" si="1"/>
        <v>0.17996767566685132</v>
      </c>
      <c r="F296" s="17"/>
    </row>
    <row r="297" spans="1:6" x14ac:dyDescent="0.25">
      <c r="A297" s="4" t="s">
        <v>53</v>
      </c>
      <c r="B297" s="30">
        <f t="shared" si="1"/>
        <v>0.45559521352402588</v>
      </c>
      <c r="C297" s="30">
        <f t="shared" si="1"/>
        <v>7.165604901577699E-2</v>
      </c>
      <c r="D297" s="30">
        <f t="shared" si="1"/>
        <v>0.29278106179334573</v>
      </c>
      <c r="E297" s="30">
        <f t="shared" si="1"/>
        <v>0.17996767566685132</v>
      </c>
      <c r="F297" s="17"/>
    </row>
    <row r="298" spans="1:6" x14ac:dyDescent="0.25">
      <c r="A298" s="4" t="s">
        <v>54</v>
      </c>
      <c r="B298" s="30">
        <f t="shared" si="1"/>
        <v>0.45559521352402588</v>
      </c>
      <c r="C298" s="30">
        <f t="shared" si="1"/>
        <v>7.165604901577699E-2</v>
      </c>
      <c r="D298" s="30">
        <f t="shared" si="1"/>
        <v>0.29278106179334573</v>
      </c>
      <c r="E298" s="30">
        <f t="shared" si="1"/>
        <v>0.17996767566685132</v>
      </c>
      <c r="F298" s="17"/>
    </row>
    <row r="299" spans="1:6" x14ac:dyDescent="0.25">
      <c r="A299" s="4" t="s">
        <v>55</v>
      </c>
      <c r="B299" s="30">
        <f t="shared" si="1"/>
        <v>0.45559521352402588</v>
      </c>
      <c r="C299" s="30">
        <f t="shared" si="1"/>
        <v>7.165604901577699E-2</v>
      </c>
      <c r="D299" s="30">
        <f t="shared" si="1"/>
        <v>0.29278106179334573</v>
      </c>
      <c r="E299" s="30">
        <f t="shared" si="1"/>
        <v>0.17996767566685132</v>
      </c>
      <c r="F299" s="17"/>
    </row>
    <row r="300" spans="1:6" x14ac:dyDescent="0.25">
      <c r="A300" s="4" t="s">
        <v>56</v>
      </c>
      <c r="B300" s="30">
        <f t="shared" si="1"/>
        <v>0.45559521352402588</v>
      </c>
      <c r="C300" s="30">
        <f t="shared" si="1"/>
        <v>7.165604901577699E-2</v>
      </c>
      <c r="D300" s="30">
        <f t="shared" si="1"/>
        <v>0.29278106179334573</v>
      </c>
      <c r="E300" s="30">
        <f t="shared" si="1"/>
        <v>0.17996767566685132</v>
      </c>
      <c r="F300" s="17"/>
    </row>
    <row r="301" spans="1:6" x14ac:dyDescent="0.25">
      <c r="A301" s="4" t="s">
        <v>57</v>
      </c>
      <c r="B301" s="30">
        <f t="shared" si="1"/>
        <v>0.45559521352402588</v>
      </c>
      <c r="C301" s="30">
        <f t="shared" si="1"/>
        <v>7.165604901577699E-2</v>
      </c>
      <c r="D301" s="30">
        <f t="shared" si="1"/>
        <v>0.29278106179334573</v>
      </c>
      <c r="E301" s="30">
        <f t="shared" si="1"/>
        <v>0.17996767566685132</v>
      </c>
      <c r="F301" s="17"/>
    </row>
    <row r="302" spans="1:6" x14ac:dyDescent="0.25">
      <c r="A302" s="4" t="s">
        <v>58</v>
      </c>
      <c r="B302" s="30">
        <f t="shared" si="1"/>
        <v>0</v>
      </c>
      <c r="C302" s="30">
        <f t="shared" si="1"/>
        <v>0</v>
      </c>
      <c r="D302" s="30">
        <f t="shared" si="1"/>
        <v>0</v>
      </c>
      <c r="E302" s="30">
        <f t="shared" si="1"/>
        <v>0</v>
      </c>
      <c r="F302" s="17"/>
    </row>
    <row r="303" spans="1:6" x14ac:dyDescent="0.25">
      <c r="A303" s="4" t="s">
        <v>59</v>
      </c>
      <c r="B303" s="30">
        <f t="shared" si="1"/>
        <v>0</v>
      </c>
      <c r="C303" s="30">
        <f t="shared" si="1"/>
        <v>0</v>
      </c>
      <c r="D303" s="30">
        <f t="shared" si="1"/>
        <v>0</v>
      </c>
      <c r="E303" s="30">
        <f t="shared" si="1"/>
        <v>0</v>
      </c>
      <c r="F303" s="17"/>
    </row>
    <row r="304" spans="1:6" x14ac:dyDescent="0.25">
      <c r="A304" s="4" t="s">
        <v>60</v>
      </c>
      <c r="B304" s="30">
        <f t="shared" si="1"/>
        <v>0.45559521352402588</v>
      </c>
      <c r="C304" s="30">
        <f t="shared" si="1"/>
        <v>7.165604901577699E-2</v>
      </c>
      <c r="D304" s="30">
        <f t="shared" si="1"/>
        <v>0.29278106179334573</v>
      </c>
      <c r="E304" s="30">
        <f t="shared" si="1"/>
        <v>0.17996767566685132</v>
      </c>
      <c r="F304" s="17"/>
    </row>
    <row r="305" spans="1:6" x14ac:dyDescent="0.25">
      <c r="A305" s="4" t="s">
        <v>61</v>
      </c>
      <c r="B305" s="30">
        <f t="shared" si="1"/>
        <v>0.45559521352402588</v>
      </c>
      <c r="C305" s="30">
        <f t="shared" si="1"/>
        <v>7.165604901577699E-2</v>
      </c>
      <c r="D305" s="30">
        <f t="shared" si="1"/>
        <v>0.29278106179334573</v>
      </c>
      <c r="E305" s="30">
        <f t="shared" si="1"/>
        <v>0.17996767566685132</v>
      </c>
      <c r="F305" s="17"/>
    </row>
    <row r="306" spans="1:6" x14ac:dyDescent="0.25">
      <c r="A306" s="4" t="s">
        <v>62</v>
      </c>
      <c r="B306" s="30">
        <f t="shared" si="1"/>
        <v>0.45559521352402588</v>
      </c>
      <c r="C306" s="30">
        <f t="shared" si="1"/>
        <v>7.165604901577699E-2</v>
      </c>
      <c r="D306" s="30">
        <f t="shared" si="1"/>
        <v>0.29278106179334573</v>
      </c>
      <c r="E306" s="30">
        <f t="shared" si="1"/>
        <v>0.17996767566685132</v>
      </c>
      <c r="F306" s="17"/>
    </row>
    <row r="307" spans="1:6" x14ac:dyDescent="0.25">
      <c r="A307" s="4" t="s">
        <v>63</v>
      </c>
      <c r="B307" s="30">
        <f t="shared" ref="B307:E319" si="2">IF($B109="60%MEAV",0.4*B$276+B$266,IF($B109="MEAV",B$266,IF($B109="EHV only",B$271,IF($B109="LV only",B$276,0))))</f>
        <v>0.45559521352402588</v>
      </c>
      <c r="C307" s="30">
        <f t="shared" si="2"/>
        <v>7.165604901577699E-2</v>
      </c>
      <c r="D307" s="30">
        <f t="shared" si="2"/>
        <v>0.29278106179334573</v>
      </c>
      <c r="E307" s="30">
        <f t="shared" si="2"/>
        <v>0.17996767566685132</v>
      </c>
      <c r="F307" s="17"/>
    </row>
    <row r="308" spans="1:6" x14ac:dyDescent="0.25">
      <c r="A308" s="4" t="s">
        <v>64</v>
      </c>
      <c r="B308" s="30">
        <f t="shared" si="2"/>
        <v>0</v>
      </c>
      <c r="C308" s="30">
        <f t="shared" si="2"/>
        <v>0</v>
      </c>
      <c r="D308" s="30">
        <f t="shared" si="2"/>
        <v>0</v>
      </c>
      <c r="E308" s="30">
        <f t="shared" si="2"/>
        <v>0</v>
      </c>
      <c r="F308" s="17"/>
    </row>
    <row r="309" spans="1:6" x14ac:dyDescent="0.25">
      <c r="A309" s="4" t="s">
        <v>65</v>
      </c>
      <c r="B309" s="30">
        <f t="shared" si="2"/>
        <v>0</v>
      </c>
      <c r="C309" s="30">
        <f t="shared" si="2"/>
        <v>0</v>
      </c>
      <c r="D309" s="30">
        <f t="shared" si="2"/>
        <v>0</v>
      </c>
      <c r="E309" s="30">
        <f t="shared" si="2"/>
        <v>0</v>
      </c>
      <c r="F309" s="17"/>
    </row>
    <row r="310" spans="1:6" x14ac:dyDescent="0.25">
      <c r="A310" s="4" t="s">
        <v>66</v>
      </c>
      <c r="B310" s="30">
        <f t="shared" si="2"/>
        <v>0</v>
      </c>
      <c r="C310" s="30">
        <f t="shared" si="2"/>
        <v>0</v>
      </c>
      <c r="D310" s="30">
        <f t="shared" si="2"/>
        <v>0</v>
      </c>
      <c r="E310" s="30">
        <f t="shared" si="2"/>
        <v>0</v>
      </c>
      <c r="F310" s="17"/>
    </row>
    <row r="311" spans="1:6" x14ac:dyDescent="0.25">
      <c r="A311" s="4" t="s">
        <v>67</v>
      </c>
      <c r="B311" s="30">
        <f t="shared" si="2"/>
        <v>0</v>
      </c>
      <c r="C311" s="30">
        <f t="shared" si="2"/>
        <v>0</v>
      </c>
      <c r="D311" s="30">
        <f t="shared" si="2"/>
        <v>0</v>
      </c>
      <c r="E311" s="30">
        <f t="shared" si="2"/>
        <v>0</v>
      </c>
      <c r="F311" s="17"/>
    </row>
    <row r="312" spans="1:6" ht="30" x14ac:dyDescent="0.25">
      <c r="A312" s="4" t="s">
        <v>68</v>
      </c>
      <c r="B312" s="30">
        <f t="shared" si="2"/>
        <v>0</v>
      </c>
      <c r="C312" s="30">
        <f t="shared" si="2"/>
        <v>0</v>
      </c>
      <c r="D312" s="30">
        <f t="shared" si="2"/>
        <v>0</v>
      </c>
      <c r="E312" s="30">
        <f t="shared" si="2"/>
        <v>0</v>
      </c>
      <c r="F312" s="17"/>
    </row>
    <row r="313" spans="1:6" x14ac:dyDescent="0.25">
      <c r="A313" s="4" t="s">
        <v>69</v>
      </c>
      <c r="B313" s="30">
        <f t="shared" si="2"/>
        <v>0</v>
      </c>
      <c r="C313" s="30">
        <f t="shared" si="2"/>
        <v>0</v>
      </c>
      <c r="D313" s="30">
        <f t="shared" si="2"/>
        <v>0</v>
      </c>
      <c r="E313" s="30">
        <f t="shared" si="2"/>
        <v>0</v>
      </c>
      <c r="F313" s="17"/>
    </row>
    <row r="314" spans="1:6" x14ac:dyDescent="0.25">
      <c r="A314" s="4" t="s">
        <v>70</v>
      </c>
      <c r="B314" s="30">
        <f t="shared" si="2"/>
        <v>0</v>
      </c>
      <c r="C314" s="30">
        <f t="shared" si="2"/>
        <v>0</v>
      </c>
      <c r="D314" s="30">
        <f t="shared" si="2"/>
        <v>0</v>
      </c>
      <c r="E314" s="30">
        <f t="shared" si="2"/>
        <v>0</v>
      </c>
      <c r="F314" s="17"/>
    </row>
    <row r="315" spans="1:6" x14ac:dyDescent="0.25">
      <c r="A315" s="4" t="s">
        <v>71</v>
      </c>
      <c r="B315" s="30">
        <f t="shared" si="2"/>
        <v>0</v>
      </c>
      <c r="C315" s="30">
        <f t="shared" si="2"/>
        <v>0</v>
      </c>
      <c r="D315" s="30">
        <f t="shared" si="2"/>
        <v>0</v>
      </c>
      <c r="E315" s="30">
        <f t="shared" si="2"/>
        <v>0</v>
      </c>
      <c r="F315" s="17"/>
    </row>
    <row r="316" spans="1:6" x14ac:dyDescent="0.25">
      <c r="A316" s="4" t="s">
        <v>72</v>
      </c>
      <c r="B316" s="30">
        <f t="shared" si="2"/>
        <v>0</v>
      </c>
      <c r="C316" s="30">
        <f t="shared" si="2"/>
        <v>0</v>
      </c>
      <c r="D316" s="30">
        <f t="shared" si="2"/>
        <v>0</v>
      </c>
      <c r="E316" s="30">
        <f t="shared" si="2"/>
        <v>0</v>
      </c>
      <c r="F316" s="17"/>
    </row>
    <row r="317" spans="1:6" x14ac:dyDescent="0.25">
      <c r="A317" s="4" t="s">
        <v>73</v>
      </c>
      <c r="B317" s="30">
        <f t="shared" si="2"/>
        <v>0</v>
      </c>
      <c r="C317" s="30">
        <f t="shared" si="2"/>
        <v>0</v>
      </c>
      <c r="D317" s="30">
        <f t="shared" si="2"/>
        <v>0</v>
      </c>
      <c r="E317" s="30">
        <f t="shared" si="2"/>
        <v>0</v>
      </c>
      <c r="F317" s="17"/>
    </row>
    <row r="318" spans="1:6" ht="30" x14ac:dyDescent="0.25">
      <c r="A318" s="4" t="s">
        <v>74</v>
      </c>
      <c r="B318" s="30">
        <f t="shared" si="2"/>
        <v>0</v>
      </c>
      <c r="C318" s="30">
        <f t="shared" si="2"/>
        <v>0</v>
      </c>
      <c r="D318" s="30">
        <f t="shared" si="2"/>
        <v>0</v>
      </c>
      <c r="E318" s="30">
        <f t="shared" si="2"/>
        <v>0</v>
      </c>
      <c r="F318" s="17"/>
    </row>
    <row r="319" spans="1:6" ht="30" x14ac:dyDescent="0.25">
      <c r="A319" s="4" t="s">
        <v>75</v>
      </c>
      <c r="B319" s="30">
        <f t="shared" si="2"/>
        <v>0</v>
      </c>
      <c r="C319" s="30">
        <f t="shared" si="2"/>
        <v>0</v>
      </c>
      <c r="D319" s="30">
        <f t="shared" si="2"/>
        <v>0</v>
      </c>
      <c r="E319" s="30">
        <f t="shared" si="2"/>
        <v>0</v>
      </c>
      <c r="F319" s="17"/>
    </row>
    <row r="321" spans="1:6" ht="21" customHeight="1" x14ac:dyDescent="0.3">
      <c r="A321" s="1" t="s">
        <v>265</v>
      </c>
    </row>
    <row r="322" spans="1:6" x14ac:dyDescent="0.25">
      <c r="A322" s="2" t="s">
        <v>197</v>
      </c>
    </row>
    <row r="323" spans="1:6" x14ac:dyDescent="0.25">
      <c r="A323" s="21" t="s">
        <v>260</v>
      </c>
    </row>
    <row r="324" spans="1:6" x14ac:dyDescent="0.25">
      <c r="A324" s="21" t="s">
        <v>203</v>
      </c>
    </row>
    <row r="325" spans="1:6" x14ac:dyDescent="0.25">
      <c r="A325" s="21" t="s">
        <v>266</v>
      </c>
    </row>
    <row r="326" spans="1:6" x14ac:dyDescent="0.25">
      <c r="A326" s="21" t="s">
        <v>267</v>
      </c>
    </row>
    <row r="327" spans="1:6" x14ac:dyDescent="0.25">
      <c r="A327" s="21" t="s">
        <v>268</v>
      </c>
    </row>
    <row r="328" spans="1:6" x14ac:dyDescent="0.25">
      <c r="A328" s="2" t="s">
        <v>269</v>
      </c>
    </row>
    <row r="330" spans="1:6" x14ac:dyDescent="0.25">
      <c r="B330" s="15" t="s">
        <v>28</v>
      </c>
      <c r="C330" s="15" t="s">
        <v>38</v>
      </c>
      <c r="D330" s="15" t="s">
        <v>27</v>
      </c>
      <c r="E330" s="15" t="s">
        <v>39</v>
      </c>
    </row>
    <row r="331" spans="1:6" ht="30" x14ac:dyDescent="0.25">
      <c r="A331" s="4" t="s">
        <v>40</v>
      </c>
      <c r="B331" s="24">
        <f t="shared" ref="B331:E350" si="3">IF($B89="Kill",0,B10+($B52-$C52)*B287)</f>
        <v>609999.99999999942</v>
      </c>
      <c r="C331" s="24">
        <f t="shared" si="3"/>
        <v>0</v>
      </c>
      <c r="D331" s="24">
        <f t="shared" si="3"/>
        <v>1020000</v>
      </c>
      <c r="E331" s="24">
        <f t="shared" si="3"/>
        <v>2655000.0000000005</v>
      </c>
      <c r="F331" s="17"/>
    </row>
    <row r="332" spans="1:6" ht="30" x14ac:dyDescent="0.25">
      <c r="A332" s="4" t="s">
        <v>44</v>
      </c>
      <c r="B332" s="24">
        <f t="shared" si="3"/>
        <v>5245559.5213524001</v>
      </c>
      <c r="C332" s="24">
        <f t="shared" si="3"/>
        <v>4207165.6049015773</v>
      </c>
      <c r="D332" s="24">
        <f t="shared" si="3"/>
        <v>14329278.106179332</v>
      </c>
      <c r="E332" s="24">
        <f t="shared" si="3"/>
        <v>8517996.7675666846</v>
      </c>
      <c r="F332" s="17"/>
    </row>
    <row r="333" spans="1:6" x14ac:dyDescent="0.25">
      <c r="A333" s="4" t="s">
        <v>45</v>
      </c>
      <c r="B333" s="24">
        <f t="shared" si="3"/>
        <v>1366785.6405720776</v>
      </c>
      <c r="C333" s="24">
        <f t="shared" si="3"/>
        <v>214968.14704733097</v>
      </c>
      <c r="D333" s="24">
        <f t="shared" si="3"/>
        <v>878343.18538003718</v>
      </c>
      <c r="E333" s="24">
        <f t="shared" si="3"/>
        <v>539903.02700055391</v>
      </c>
      <c r="F333" s="17"/>
    </row>
    <row r="334" spans="1:6" x14ac:dyDescent="0.25">
      <c r="A334" s="4" t="s">
        <v>46</v>
      </c>
      <c r="B334" s="24">
        <f t="shared" si="3"/>
        <v>5036678.5640572077</v>
      </c>
      <c r="C334" s="24">
        <f t="shared" si="3"/>
        <v>221496.81470473323</v>
      </c>
      <c r="D334" s="24">
        <f t="shared" si="3"/>
        <v>2387834.3185380041</v>
      </c>
      <c r="E334" s="24">
        <f t="shared" si="3"/>
        <v>653990.30270005588</v>
      </c>
      <c r="F334" s="17"/>
    </row>
    <row r="335" spans="1:6" x14ac:dyDescent="0.25">
      <c r="A335" s="4" t="s">
        <v>47</v>
      </c>
      <c r="B335" s="24">
        <f t="shared" si="3"/>
        <v>836678.5640572079</v>
      </c>
      <c r="C335" s="24">
        <f t="shared" si="3"/>
        <v>1621496.8147047332</v>
      </c>
      <c r="D335" s="24">
        <f t="shared" si="3"/>
        <v>687834.31853800372</v>
      </c>
      <c r="E335" s="24">
        <f t="shared" si="3"/>
        <v>2353990.3027000558</v>
      </c>
      <c r="F335" s="17"/>
    </row>
    <row r="336" spans="1:6" x14ac:dyDescent="0.25">
      <c r="A336" s="4" t="s">
        <v>48</v>
      </c>
      <c r="B336" s="24">
        <f t="shared" si="3"/>
        <v>1138927.5108119142</v>
      </c>
      <c r="C336" s="24">
        <f t="shared" si="3"/>
        <v>-4182.1725248064895</v>
      </c>
      <c r="D336" s="24">
        <f t="shared" si="3"/>
        <v>2345981.3036236842</v>
      </c>
      <c r="E336" s="24">
        <f t="shared" si="3"/>
        <v>619273.35808920779</v>
      </c>
      <c r="F336" s="17"/>
    </row>
    <row r="337" spans="1:6" x14ac:dyDescent="0.25">
      <c r="A337" s="4" t="s">
        <v>49</v>
      </c>
      <c r="B337" s="24">
        <f t="shared" si="3"/>
        <v>273357.12811441551</v>
      </c>
      <c r="C337" s="24">
        <f t="shared" si="3"/>
        <v>42993.629409466193</v>
      </c>
      <c r="D337" s="24">
        <f t="shared" si="3"/>
        <v>175668.63707600744</v>
      </c>
      <c r="E337" s="24">
        <f t="shared" si="3"/>
        <v>107980.60540011078</v>
      </c>
      <c r="F337" s="17"/>
    </row>
    <row r="338" spans="1:6" x14ac:dyDescent="0.25">
      <c r="A338" s="4" t="s">
        <v>50</v>
      </c>
      <c r="B338" s="24">
        <f t="shared" si="3"/>
        <v>1594583.2473340905</v>
      </c>
      <c r="C338" s="24">
        <f t="shared" si="3"/>
        <v>250796.17155521948</v>
      </c>
      <c r="D338" s="24">
        <f t="shared" si="3"/>
        <v>1024733.71627671</v>
      </c>
      <c r="E338" s="24">
        <f t="shared" si="3"/>
        <v>629886.86483397963</v>
      </c>
      <c r="F338" s="17"/>
    </row>
    <row r="339" spans="1:6" x14ac:dyDescent="0.25">
      <c r="A339" s="4" t="s">
        <v>51</v>
      </c>
      <c r="B339" s="24">
        <f t="shared" si="3"/>
        <v>1321226.119219675</v>
      </c>
      <c r="C339" s="24">
        <f t="shared" si="3"/>
        <v>207802.54214575328</v>
      </c>
      <c r="D339" s="24">
        <f t="shared" si="3"/>
        <v>849065.0792007026</v>
      </c>
      <c r="E339" s="24">
        <f t="shared" si="3"/>
        <v>521906.25943386881</v>
      </c>
      <c r="F339" s="17"/>
    </row>
    <row r="340" spans="1:6" x14ac:dyDescent="0.25">
      <c r="A340" s="4" t="s">
        <v>52</v>
      </c>
      <c r="B340" s="24">
        <f t="shared" si="3"/>
        <v>3280285.5373729863</v>
      </c>
      <c r="C340" s="24">
        <f t="shared" si="3"/>
        <v>515923.55291359435</v>
      </c>
      <c r="D340" s="24">
        <f t="shared" si="3"/>
        <v>2108023.6449120892</v>
      </c>
      <c r="E340" s="24">
        <f t="shared" si="3"/>
        <v>1295767.2648013295</v>
      </c>
      <c r="F340" s="17"/>
    </row>
    <row r="341" spans="1:6" x14ac:dyDescent="0.25">
      <c r="A341" s="4" t="s">
        <v>53</v>
      </c>
      <c r="B341" s="24">
        <f t="shared" si="3"/>
        <v>865630.90569564921</v>
      </c>
      <c r="C341" s="24">
        <f t="shared" si="3"/>
        <v>136146.49312997627</v>
      </c>
      <c r="D341" s="24">
        <f t="shared" si="3"/>
        <v>556284.01740735688</v>
      </c>
      <c r="E341" s="24">
        <f t="shared" si="3"/>
        <v>341938.58376701752</v>
      </c>
      <c r="F341" s="17"/>
    </row>
    <row r="342" spans="1:6" x14ac:dyDescent="0.25">
      <c r="A342" s="4" t="s">
        <v>54</v>
      </c>
      <c r="B342" s="24">
        <f t="shared" si="3"/>
        <v>455595.21352402586</v>
      </c>
      <c r="C342" s="24">
        <f t="shared" si="3"/>
        <v>71656.049015776996</v>
      </c>
      <c r="D342" s="24">
        <f t="shared" si="3"/>
        <v>292781.06179334573</v>
      </c>
      <c r="E342" s="24">
        <f t="shared" si="3"/>
        <v>179967.67566685131</v>
      </c>
      <c r="F342" s="17"/>
    </row>
    <row r="343" spans="1:6" x14ac:dyDescent="0.25">
      <c r="A343" s="4" t="s">
        <v>55</v>
      </c>
      <c r="B343" s="24">
        <f t="shared" si="3"/>
        <v>318916.64946681814</v>
      </c>
      <c r="C343" s="24">
        <f t="shared" si="3"/>
        <v>50159.234311043896</v>
      </c>
      <c r="D343" s="24">
        <f t="shared" si="3"/>
        <v>204946.74325534201</v>
      </c>
      <c r="E343" s="24">
        <f t="shared" si="3"/>
        <v>125977.37296679593</v>
      </c>
      <c r="F343" s="17"/>
    </row>
    <row r="344" spans="1:6" x14ac:dyDescent="0.25">
      <c r="A344" s="4" t="s">
        <v>56</v>
      </c>
      <c r="B344" s="24">
        <f t="shared" si="3"/>
        <v>410035.69217162329</v>
      </c>
      <c r="C344" s="24">
        <f t="shared" si="3"/>
        <v>64490.444114199294</v>
      </c>
      <c r="D344" s="24">
        <f t="shared" si="3"/>
        <v>263502.95561401115</v>
      </c>
      <c r="E344" s="24">
        <f t="shared" si="3"/>
        <v>161970.90810016618</v>
      </c>
      <c r="F344" s="17"/>
    </row>
    <row r="345" spans="1:6" x14ac:dyDescent="0.25">
      <c r="A345" s="4" t="s">
        <v>57</v>
      </c>
      <c r="B345" s="24">
        <f t="shared" si="3"/>
        <v>1230107.0765148699</v>
      </c>
      <c r="C345" s="24">
        <f t="shared" si="3"/>
        <v>193471.33234259786</v>
      </c>
      <c r="D345" s="24">
        <f t="shared" si="3"/>
        <v>790508.86684203346</v>
      </c>
      <c r="E345" s="24">
        <f t="shared" si="3"/>
        <v>485912.72430049855</v>
      </c>
      <c r="F345" s="17"/>
    </row>
    <row r="346" spans="1:6" x14ac:dyDescent="0.25">
      <c r="A346" s="4" t="s">
        <v>58</v>
      </c>
      <c r="B346" s="24">
        <f t="shared" si="3"/>
        <v>0</v>
      </c>
      <c r="C346" s="24">
        <f t="shared" si="3"/>
        <v>0</v>
      </c>
      <c r="D346" s="24">
        <f t="shared" si="3"/>
        <v>0</v>
      </c>
      <c r="E346" s="24">
        <f t="shared" si="3"/>
        <v>0</v>
      </c>
      <c r="F346" s="17"/>
    </row>
    <row r="347" spans="1:6" x14ac:dyDescent="0.25">
      <c r="A347" s="4" t="s">
        <v>59</v>
      </c>
      <c r="B347" s="24">
        <f t="shared" si="3"/>
        <v>0</v>
      </c>
      <c r="C347" s="24">
        <f t="shared" si="3"/>
        <v>0</v>
      </c>
      <c r="D347" s="24">
        <f t="shared" si="3"/>
        <v>0</v>
      </c>
      <c r="E347" s="24">
        <f t="shared" si="3"/>
        <v>0</v>
      </c>
      <c r="F347" s="17"/>
    </row>
    <row r="348" spans="1:6" x14ac:dyDescent="0.25">
      <c r="A348" s="4" t="s">
        <v>60</v>
      </c>
      <c r="B348" s="24">
        <f t="shared" si="3"/>
        <v>410035.69217162329</v>
      </c>
      <c r="C348" s="24">
        <f t="shared" si="3"/>
        <v>64490.444114199294</v>
      </c>
      <c r="D348" s="24">
        <f t="shared" si="3"/>
        <v>263502.95561401115</v>
      </c>
      <c r="E348" s="24">
        <f t="shared" si="3"/>
        <v>161970.90810016618</v>
      </c>
      <c r="F348" s="17"/>
    </row>
    <row r="349" spans="1:6" x14ac:dyDescent="0.25">
      <c r="A349" s="4" t="s">
        <v>61</v>
      </c>
      <c r="B349" s="24">
        <f t="shared" si="3"/>
        <v>501154.73487642844</v>
      </c>
      <c r="C349" s="24">
        <f t="shared" si="3"/>
        <v>78821.653917354692</v>
      </c>
      <c r="D349" s="24">
        <f t="shared" si="3"/>
        <v>322059.1679726803</v>
      </c>
      <c r="E349" s="24">
        <f t="shared" si="3"/>
        <v>197964.44323353644</v>
      </c>
      <c r="F349" s="17"/>
    </row>
    <row r="350" spans="1:6" x14ac:dyDescent="0.25">
      <c r="A350" s="4" t="s">
        <v>62</v>
      </c>
      <c r="B350" s="24">
        <f t="shared" si="3"/>
        <v>2642452.2384393499</v>
      </c>
      <c r="C350" s="24">
        <f t="shared" si="3"/>
        <v>415605.08429150656</v>
      </c>
      <c r="D350" s="24">
        <f t="shared" si="3"/>
        <v>1698130.1584014052</v>
      </c>
      <c r="E350" s="24">
        <f t="shared" si="3"/>
        <v>1043812.5188677376</v>
      </c>
      <c r="F350" s="17"/>
    </row>
    <row r="351" spans="1:6" x14ac:dyDescent="0.25">
      <c r="A351" s="4" t="s">
        <v>63</v>
      </c>
      <c r="B351" s="24">
        <f t="shared" ref="B351:E363" si="4">IF($B109="Kill",0,B30+($B72-$C72)*B307)</f>
        <v>820071.38434324658</v>
      </c>
      <c r="C351" s="24">
        <f t="shared" si="4"/>
        <v>128980.88822839859</v>
      </c>
      <c r="D351" s="24">
        <f t="shared" si="4"/>
        <v>527005.91122802231</v>
      </c>
      <c r="E351" s="24">
        <f t="shared" si="4"/>
        <v>323941.81620033237</v>
      </c>
      <c r="F351" s="17"/>
    </row>
    <row r="352" spans="1:6" x14ac:dyDescent="0.25">
      <c r="A352" s="4" t="s">
        <v>64</v>
      </c>
      <c r="B352" s="24">
        <f t="shared" si="4"/>
        <v>0</v>
      </c>
      <c r="C352" s="24">
        <f t="shared" si="4"/>
        <v>0</v>
      </c>
      <c r="D352" s="24">
        <f t="shared" si="4"/>
        <v>0</v>
      </c>
      <c r="E352" s="24">
        <f t="shared" si="4"/>
        <v>0</v>
      </c>
      <c r="F352" s="17"/>
    </row>
    <row r="353" spans="1:6" x14ac:dyDescent="0.25">
      <c r="A353" s="4" t="s">
        <v>65</v>
      </c>
      <c r="B353" s="24">
        <f t="shared" si="4"/>
        <v>0</v>
      </c>
      <c r="C353" s="24">
        <f t="shared" si="4"/>
        <v>0</v>
      </c>
      <c r="D353" s="24">
        <f t="shared" si="4"/>
        <v>0</v>
      </c>
      <c r="E353" s="24">
        <f t="shared" si="4"/>
        <v>0</v>
      </c>
      <c r="F353" s="17"/>
    </row>
    <row r="354" spans="1:6" x14ac:dyDescent="0.25">
      <c r="A354" s="4" t="s">
        <v>66</v>
      </c>
      <c r="B354" s="24">
        <f t="shared" si="4"/>
        <v>0</v>
      </c>
      <c r="C354" s="24">
        <f t="shared" si="4"/>
        <v>0</v>
      </c>
      <c r="D354" s="24">
        <f t="shared" si="4"/>
        <v>0</v>
      </c>
      <c r="E354" s="24">
        <f t="shared" si="4"/>
        <v>0</v>
      </c>
      <c r="F354" s="17"/>
    </row>
    <row r="355" spans="1:6" x14ac:dyDescent="0.25">
      <c r="A355" s="4" t="s">
        <v>67</v>
      </c>
      <c r="B355" s="24">
        <f t="shared" si="4"/>
        <v>0</v>
      </c>
      <c r="C355" s="24">
        <f t="shared" si="4"/>
        <v>0</v>
      </c>
      <c r="D355" s="24">
        <f t="shared" si="4"/>
        <v>0</v>
      </c>
      <c r="E355" s="24">
        <f t="shared" si="4"/>
        <v>0</v>
      </c>
      <c r="F355" s="17"/>
    </row>
    <row r="356" spans="1:6" ht="30" x14ac:dyDescent="0.25">
      <c r="A356" s="4" t="s">
        <v>68</v>
      </c>
      <c r="B356" s="24">
        <f t="shared" si="4"/>
        <v>0</v>
      </c>
      <c r="C356" s="24">
        <f t="shared" si="4"/>
        <v>0</v>
      </c>
      <c r="D356" s="24">
        <f t="shared" si="4"/>
        <v>0</v>
      </c>
      <c r="E356" s="24">
        <f t="shared" si="4"/>
        <v>0</v>
      </c>
      <c r="F356" s="17"/>
    </row>
    <row r="357" spans="1:6" x14ac:dyDescent="0.25">
      <c r="A357" s="4" t="s">
        <v>69</v>
      </c>
      <c r="B357" s="24">
        <f t="shared" si="4"/>
        <v>0</v>
      </c>
      <c r="C357" s="24">
        <f t="shared" si="4"/>
        <v>0</v>
      </c>
      <c r="D357" s="24">
        <f t="shared" si="4"/>
        <v>0</v>
      </c>
      <c r="E357" s="24">
        <f t="shared" si="4"/>
        <v>0</v>
      </c>
      <c r="F357" s="17"/>
    </row>
    <row r="358" spans="1:6" x14ac:dyDescent="0.25">
      <c r="A358" s="4" t="s">
        <v>70</v>
      </c>
      <c r="B358" s="24">
        <f t="shared" si="4"/>
        <v>0</v>
      </c>
      <c r="C358" s="24">
        <f t="shared" si="4"/>
        <v>0</v>
      </c>
      <c r="D358" s="24">
        <f t="shared" si="4"/>
        <v>0</v>
      </c>
      <c r="E358" s="24">
        <f t="shared" si="4"/>
        <v>0</v>
      </c>
      <c r="F358" s="17"/>
    </row>
    <row r="359" spans="1:6" x14ac:dyDescent="0.25">
      <c r="A359" s="4" t="s">
        <v>71</v>
      </c>
      <c r="B359" s="24">
        <f t="shared" si="4"/>
        <v>0</v>
      </c>
      <c r="C359" s="24">
        <f t="shared" si="4"/>
        <v>0</v>
      </c>
      <c r="D359" s="24">
        <f t="shared" si="4"/>
        <v>0</v>
      </c>
      <c r="E359" s="24">
        <f t="shared" si="4"/>
        <v>0</v>
      </c>
      <c r="F359" s="17"/>
    </row>
    <row r="360" spans="1:6" x14ac:dyDescent="0.25">
      <c r="A360" s="4" t="s">
        <v>72</v>
      </c>
      <c r="B360" s="24">
        <f t="shared" si="4"/>
        <v>0</v>
      </c>
      <c r="C360" s="24">
        <f t="shared" si="4"/>
        <v>0</v>
      </c>
      <c r="D360" s="24">
        <f t="shared" si="4"/>
        <v>0</v>
      </c>
      <c r="E360" s="24">
        <f t="shared" si="4"/>
        <v>0</v>
      </c>
      <c r="F360" s="17"/>
    </row>
    <row r="361" spans="1:6" x14ac:dyDescent="0.25">
      <c r="A361" s="4" t="s">
        <v>73</v>
      </c>
      <c r="B361" s="24">
        <f t="shared" si="4"/>
        <v>0</v>
      </c>
      <c r="C361" s="24">
        <f t="shared" si="4"/>
        <v>0</v>
      </c>
      <c r="D361" s="24">
        <f t="shared" si="4"/>
        <v>0</v>
      </c>
      <c r="E361" s="24">
        <f t="shared" si="4"/>
        <v>0</v>
      </c>
      <c r="F361" s="17"/>
    </row>
    <row r="362" spans="1:6" ht="30" x14ac:dyDescent="0.25">
      <c r="A362" s="4" t="s">
        <v>74</v>
      </c>
      <c r="B362" s="24">
        <f t="shared" si="4"/>
        <v>0</v>
      </c>
      <c r="C362" s="24">
        <f t="shared" si="4"/>
        <v>0</v>
      </c>
      <c r="D362" s="24">
        <f t="shared" si="4"/>
        <v>0</v>
      </c>
      <c r="E362" s="24">
        <f t="shared" si="4"/>
        <v>0</v>
      </c>
      <c r="F362" s="17"/>
    </row>
    <row r="363" spans="1:6" ht="30" x14ac:dyDescent="0.25">
      <c r="A363" s="4" t="s">
        <v>75</v>
      </c>
      <c r="B363" s="24">
        <f t="shared" si="4"/>
        <v>0</v>
      </c>
      <c r="C363" s="24">
        <f t="shared" si="4"/>
        <v>0</v>
      </c>
      <c r="D363" s="24">
        <f t="shared" si="4"/>
        <v>0</v>
      </c>
      <c r="E363" s="24">
        <f t="shared" si="4"/>
        <v>0</v>
      </c>
      <c r="F363" s="17"/>
    </row>
    <row r="365" spans="1:6" ht="21" customHeight="1" x14ac:dyDescent="0.3">
      <c r="A365" s="1" t="s">
        <v>270</v>
      </c>
    </row>
    <row r="366" spans="1:6" x14ac:dyDescent="0.25">
      <c r="A366" s="2" t="s">
        <v>197</v>
      </c>
    </row>
    <row r="367" spans="1:6" x14ac:dyDescent="0.25">
      <c r="A367" s="21" t="s">
        <v>271</v>
      </c>
    </row>
    <row r="368" spans="1:6" x14ac:dyDescent="0.25">
      <c r="A368" s="2" t="s">
        <v>272</v>
      </c>
    </row>
    <row r="370" spans="1:3" x14ac:dyDescent="0.25">
      <c r="B370" s="15" t="s">
        <v>28</v>
      </c>
    </row>
    <row r="371" spans="1:3" ht="30" x14ac:dyDescent="0.25">
      <c r="A371" s="4" t="s">
        <v>40</v>
      </c>
      <c r="B371" s="22">
        <f t="shared" ref="B371:B403" si="5">$B331</f>
        <v>609999.99999999942</v>
      </c>
      <c r="C371" s="17"/>
    </row>
    <row r="372" spans="1:3" ht="30" x14ac:dyDescent="0.25">
      <c r="A372" s="4" t="s">
        <v>44</v>
      </c>
      <c r="B372" s="22">
        <f t="shared" si="5"/>
        <v>5245559.5213524001</v>
      </c>
      <c r="C372" s="17"/>
    </row>
    <row r="373" spans="1:3" x14ac:dyDescent="0.25">
      <c r="A373" s="4" t="s">
        <v>45</v>
      </c>
      <c r="B373" s="22">
        <f t="shared" si="5"/>
        <v>1366785.6405720776</v>
      </c>
      <c r="C373" s="17"/>
    </row>
    <row r="374" spans="1:3" x14ac:dyDescent="0.25">
      <c r="A374" s="4" t="s">
        <v>46</v>
      </c>
      <c r="B374" s="22">
        <f t="shared" si="5"/>
        <v>5036678.5640572077</v>
      </c>
      <c r="C374" s="17"/>
    </row>
    <row r="375" spans="1:3" x14ac:dyDescent="0.25">
      <c r="A375" s="4" t="s">
        <v>47</v>
      </c>
      <c r="B375" s="22">
        <f t="shared" si="5"/>
        <v>836678.5640572079</v>
      </c>
      <c r="C375" s="17"/>
    </row>
    <row r="376" spans="1:3" x14ac:dyDescent="0.25">
      <c r="A376" s="4" t="s">
        <v>48</v>
      </c>
      <c r="B376" s="22">
        <f t="shared" si="5"/>
        <v>1138927.5108119142</v>
      </c>
      <c r="C376" s="17"/>
    </row>
    <row r="377" spans="1:3" x14ac:dyDescent="0.25">
      <c r="A377" s="4" t="s">
        <v>49</v>
      </c>
      <c r="B377" s="22">
        <f t="shared" si="5"/>
        <v>273357.12811441551</v>
      </c>
      <c r="C377" s="17"/>
    </row>
    <row r="378" spans="1:3" x14ac:dyDescent="0.25">
      <c r="A378" s="4" t="s">
        <v>50</v>
      </c>
      <c r="B378" s="22">
        <f t="shared" si="5"/>
        <v>1594583.2473340905</v>
      </c>
      <c r="C378" s="17"/>
    </row>
    <row r="379" spans="1:3" x14ac:dyDescent="0.25">
      <c r="A379" s="4" t="s">
        <v>51</v>
      </c>
      <c r="B379" s="22">
        <f t="shared" si="5"/>
        <v>1321226.119219675</v>
      </c>
      <c r="C379" s="17"/>
    </row>
    <row r="380" spans="1:3" x14ac:dyDescent="0.25">
      <c r="A380" s="4" t="s">
        <v>52</v>
      </c>
      <c r="B380" s="22">
        <f t="shared" si="5"/>
        <v>3280285.5373729863</v>
      </c>
      <c r="C380" s="17"/>
    </row>
    <row r="381" spans="1:3" x14ac:dyDescent="0.25">
      <c r="A381" s="4" t="s">
        <v>53</v>
      </c>
      <c r="B381" s="22">
        <f t="shared" si="5"/>
        <v>865630.90569564921</v>
      </c>
      <c r="C381" s="17"/>
    </row>
    <row r="382" spans="1:3" x14ac:dyDescent="0.25">
      <c r="A382" s="4" t="s">
        <v>54</v>
      </c>
      <c r="B382" s="22">
        <f t="shared" si="5"/>
        <v>455595.21352402586</v>
      </c>
      <c r="C382" s="17"/>
    </row>
    <row r="383" spans="1:3" x14ac:dyDescent="0.25">
      <c r="A383" s="4" t="s">
        <v>55</v>
      </c>
      <c r="B383" s="22">
        <f t="shared" si="5"/>
        <v>318916.64946681814</v>
      </c>
      <c r="C383" s="17"/>
    </row>
    <row r="384" spans="1:3" x14ac:dyDescent="0.25">
      <c r="A384" s="4" t="s">
        <v>56</v>
      </c>
      <c r="B384" s="22">
        <f t="shared" si="5"/>
        <v>410035.69217162329</v>
      </c>
      <c r="C384" s="17"/>
    </row>
    <row r="385" spans="1:3" x14ac:dyDescent="0.25">
      <c r="A385" s="4" t="s">
        <v>57</v>
      </c>
      <c r="B385" s="22">
        <f t="shared" si="5"/>
        <v>1230107.0765148699</v>
      </c>
      <c r="C385" s="17"/>
    </row>
    <row r="386" spans="1:3" x14ac:dyDescent="0.25">
      <c r="A386" s="4" t="s">
        <v>58</v>
      </c>
      <c r="B386" s="22">
        <f t="shared" si="5"/>
        <v>0</v>
      </c>
      <c r="C386" s="17"/>
    </row>
    <row r="387" spans="1:3" x14ac:dyDescent="0.25">
      <c r="A387" s="4" t="s">
        <v>59</v>
      </c>
      <c r="B387" s="22">
        <f t="shared" si="5"/>
        <v>0</v>
      </c>
      <c r="C387" s="17"/>
    </row>
    <row r="388" spans="1:3" x14ac:dyDescent="0.25">
      <c r="A388" s="4" t="s">
        <v>60</v>
      </c>
      <c r="B388" s="22">
        <f t="shared" si="5"/>
        <v>410035.69217162329</v>
      </c>
      <c r="C388" s="17"/>
    </row>
    <row r="389" spans="1:3" x14ac:dyDescent="0.25">
      <c r="A389" s="4" t="s">
        <v>61</v>
      </c>
      <c r="B389" s="22">
        <f t="shared" si="5"/>
        <v>501154.73487642844</v>
      </c>
      <c r="C389" s="17"/>
    </row>
    <row r="390" spans="1:3" x14ac:dyDescent="0.25">
      <c r="A390" s="4" t="s">
        <v>62</v>
      </c>
      <c r="B390" s="22">
        <f t="shared" si="5"/>
        <v>2642452.2384393499</v>
      </c>
      <c r="C390" s="17"/>
    </row>
    <row r="391" spans="1:3" x14ac:dyDescent="0.25">
      <c r="A391" s="4" t="s">
        <v>63</v>
      </c>
      <c r="B391" s="22">
        <f t="shared" si="5"/>
        <v>820071.38434324658</v>
      </c>
      <c r="C391" s="17"/>
    </row>
    <row r="392" spans="1:3" x14ac:dyDescent="0.25">
      <c r="A392" s="4" t="s">
        <v>64</v>
      </c>
      <c r="B392" s="22">
        <f t="shared" si="5"/>
        <v>0</v>
      </c>
      <c r="C392" s="17"/>
    </row>
    <row r="393" spans="1:3" x14ac:dyDescent="0.25">
      <c r="A393" s="4" t="s">
        <v>65</v>
      </c>
      <c r="B393" s="22">
        <f t="shared" si="5"/>
        <v>0</v>
      </c>
      <c r="C393" s="17"/>
    </row>
    <row r="394" spans="1:3" x14ac:dyDescent="0.25">
      <c r="A394" s="4" t="s">
        <v>66</v>
      </c>
      <c r="B394" s="22">
        <f t="shared" si="5"/>
        <v>0</v>
      </c>
      <c r="C394" s="17"/>
    </row>
    <row r="395" spans="1:3" x14ac:dyDescent="0.25">
      <c r="A395" s="4" t="s">
        <v>67</v>
      </c>
      <c r="B395" s="22">
        <f t="shared" si="5"/>
        <v>0</v>
      </c>
      <c r="C395" s="17"/>
    </row>
    <row r="396" spans="1:3" ht="30" x14ac:dyDescent="0.25">
      <c r="A396" s="4" t="s">
        <v>68</v>
      </c>
      <c r="B396" s="22">
        <f t="shared" si="5"/>
        <v>0</v>
      </c>
      <c r="C396" s="17"/>
    </row>
    <row r="397" spans="1:3" x14ac:dyDescent="0.25">
      <c r="A397" s="4" t="s">
        <v>69</v>
      </c>
      <c r="B397" s="22">
        <f t="shared" si="5"/>
        <v>0</v>
      </c>
      <c r="C397" s="17"/>
    </row>
    <row r="398" spans="1:3" x14ac:dyDescent="0.25">
      <c r="A398" s="4" t="s">
        <v>70</v>
      </c>
      <c r="B398" s="22">
        <f t="shared" si="5"/>
        <v>0</v>
      </c>
      <c r="C398" s="17"/>
    </row>
    <row r="399" spans="1:3" x14ac:dyDescent="0.25">
      <c r="A399" s="4" t="s">
        <v>71</v>
      </c>
      <c r="B399" s="22">
        <f t="shared" si="5"/>
        <v>0</v>
      </c>
      <c r="C399" s="17"/>
    </row>
    <row r="400" spans="1:3" x14ac:dyDescent="0.25">
      <c r="A400" s="4" t="s">
        <v>72</v>
      </c>
      <c r="B400" s="22">
        <f t="shared" si="5"/>
        <v>0</v>
      </c>
      <c r="C400" s="17"/>
    </row>
    <row r="401" spans="1:3" x14ac:dyDescent="0.25">
      <c r="A401" s="4" t="s">
        <v>73</v>
      </c>
      <c r="B401" s="22">
        <f t="shared" si="5"/>
        <v>0</v>
      </c>
      <c r="C401" s="17"/>
    </row>
    <row r="402" spans="1:3" ht="30" x14ac:dyDescent="0.25">
      <c r="A402" s="4" t="s">
        <v>74</v>
      </c>
      <c r="B402" s="22">
        <f t="shared" si="5"/>
        <v>0</v>
      </c>
      <c r="C402" s="17"/>
    </row>
    <row r="403" spans="1:3" ht="30" x14ac:dyDescent="0.25">
      <c r="A403" s="4" t="s">
        <v>75</v>
      </c>
      <c r="B403" s="22">
        <f t="shared" si="5"/>
        <v>0</v>
      </c>
      <c r="C403" s="17"/>
    </row>
    <row r="405" spans="1:3" ht="21" customHeight="1" x14ac:dyDescent="0.3">
      <c r="A405" s="1" t="s">
        <v>273</v>
      </c>
    </row>
    <row r="406" spans="1:3" x14ac:dyDescent="0.25">
      <c r="A406" s="2" t="s">
        <v>197</v>
      </c>
    </row>
    <row r="407" spans="1:3" x14ac:dyDescent="0.25">
      <c r="A407" s="21" t="s">
        <v>274</v>
      </c>
    </row>
    <row r="408" spans="1:3" x14ac:dyDescent="0.25">
      <c r="A408" s="21" t="s">
        <v>231</v>
      </c>
    </row>
    <row r="409" spans="1:3" x14ac:dyDescent="0.25">
      <c r="A409" s="21" t="s">
        <v>275</v>
      </c>
    </row>
    <row r="410" spans="1:3" x14ac:dyDescent="0.25">
      <c r="A410" s="2" t="s">
        <v>276</v>
      </c>
    </row>
    <row r="412" spans="1:3" x14ac:dyDescent="0.25">
      <c r="B412" s="15" t="s">
        <v>28</v>
      </c>
    </row>
    <row r="413" spans="1:3" x14ac:dyDescent="0.25">
      <c r="A413" s="4" t="s">
        <v>194</v>
      </c>
      <c r="B413" s="30">
        <f>SUMPRODUCT($G$132:$G$216,$B$132:$B$216)/SUMPRODUCT($H$132:$H$216,$B$132:$B$216)</f>
        <v>0.37107749235812487</v>
      </c>
      <c r="C413" s="17"/>
    </row>
    <row r="415" spans="1:3" ht="21" customHeight="1" x14ac:dyDescent="0.3">
      <c r="A415" s="1" t="s">
        <v>277</v>
      </c>
    </row>
    <row r="416" spans="1:3" x14ac:dyDescent="0.25">
      <c r="A416" s="2" t="s">
        <v>197</v>
      </c>
    </row>
    <row r="417" spans="1:3" x14ac:dyDescent="0.25">
      <c r="A417" s="21" t="s">
        <v>260</v>
      </c>
    </row>
    <row r="418" spans="1:3" x14ac:dyDescent="0.25">
      <c r="A418" s="21" t="s">
        <v>278</v>
      </c>
    </row>
    <row r="419" spans="1:3" x14ac:dyDescent="0.25">
      <c r="A419" s="2" t="s">
        <v>279</v>
      </c>
    </row>
    <row r="421" spans="1:3" ht="30" x14ac:dyDescent="0.25">
      <c r="B421" s="15" t="s">
        <v>280</v>
      </c>
    </row>
    <row r="422" spans="1:3" ht="30" x14ac:dyDescent="0.25">
      <c r="A422" s="4" t="s">
        <v>40</v>
      </c>
      <c r="B422" s="30">
        <f t="shared" ref="B422:B454" si="6">IF(B89="60%MEAV",0.4+0.6*$B$413,IF(B89="MEAV",$B$413,IF(B89="EHV only",0,IF(B89="LV only",1,0))))</f>
        <v>0</v>
      </c>
      <c r="C422" s="17"/>
    </row>
    <row r="423" spans="1:3" ht="30" x14ac:dyDescent="0.25">
      <c r="A423" s="4" t="s">
        <v>44</v>
      </c>
      <c r="B423" s="30">
        <f t="shared" si="6"/>
        <v>0.37107749235812487</v>
      </c>
      <c r="C423" s="17"/>
    </row>
    <row r="424" spans="1:3" x14ac:dyDescent="0.25">
      <c r="A424" s="4" t="s">
        <v>45</v>
      </c>
      <c r="B424" s="30">
        <f t="shared" si="6"/>
        <v>0.37107749235812487</v>
      </c>
      <c r="C424" s="17"/>
    </row>
    <row r="425" spans="1:3" x14ac:dyDescent="0.25">
      <c r="A425" s="4" t="s">
        <v>46</v>
      </c>
      <c r="B425" s="30">
        <f t="shared" si="6"/>
        <v>0.37107749235812487</v>
      </c>
      <c r="C425" s="17"/>
    </row>
    <row r="426" spans="1:3" x14ac:dyDescent="0.25">
      <c r="A426" s="4" t="s">
        <v>47</v>
      </c>
      <c r="B426" s="30">
        <f t="shared" si="6"/>
        <v>0.37107749235812487</v>
      </c>
      <c r="C426" s="17"/>
    </row>
    <row r="427" spans="1:3" x14ac:dyDescent="0.25">
      <c r="A427" s="4" t="s">
        <v>48</v>
      </c>
      <c r="B427" s="30">
        <f t="shared" si="6"/>
        <v>0.37107749235812487</v>
      </c>
      <c r="C427" s="17"/>
    </row>
    <row r="428" spans="1:3" x14ac:dyDescent="0.25">
      <c r="A428" s="4" t="s">
        <v>49</v>
      </c>
      <c r="B428" s="30">
        <f t="shared" si="6"/>
        <v>0.37107749235812487</v>
      </c>
      <c r="C428" s="17"/>
    </row>
    <row r="429" spans="1:3" x14ac:dyDescent="0.25">
      <c r="A429" s="4" t="s">
        <v>50</v>
      </c>
      <c r="B429" s="30">
        <f t="shared" si="6"/>
        <v>0.37107749235812487</v>
      </c>
      <c r="C429" s="17"/>
    </row>
    <row r="430" spans="1:3" x14ac:dyDescent="0.25">
      <c r="A430" s="4" t="s">
        <v>51</v>
      </c>
      <c r="B430" s="30">
        <f t="shared" si="6"/>
        <v>0.37107749235812487</v>
      </c>
      <c r="C430" s="17"/>
    </row>
    <row r="431" spans="1:3" x14ac:dyDescent="0.25">
      <c r="A431" s="4" t="s">
        <v>52</v>
      </c>
      <c r="B431" s="30">
        <f t="shared" si="6"/>
        <v>0.37107749235812487</v>
      </c>
      <c r="C431" s="17"/>
    </row>
    <row r="432" spans="1:3" x14ac:dyDescent="0.25">
      <c r="A432" s="4" t="s">
        <v>53</v>
      </c>
      <c r="B432" s="30">
        <f t="shared" si="6"/>
        <v>0.37107749235812487</v>
      </c>
      <c r="C432" s="17"/>
    </row>
    <row r="433" spans="1:3" x14ac:dyDescent="0.25">
      <c r="A433" s="4" t="s">
        <v>54</v>
      </c>
      <c r="B433" s="30">
        <f t="shared" si="6"/>
        <v>0.37107749235812487</v>
      </c>
      <c r="C433" s="17"/>
    </row>
    <row r="434" spans="1:3" x14ac:dyDescent="0.25">
      <c r="A434" s="4" t="s">
        <v>55</v>
      </c>
      <c r="B434" s="30">
        <f t="shared" si="6"/>
        <v>0.37107749235812487</v>
      </c>
      <c r="C434" s="17"/>
    </row>
    <row r="435" spans="1:3" x14ac:dyDescent="0.25">
      <c r="A435" s="4" t="s">
        <v>56</v>
      </c>
      <c r="B435" s="30">
        <f t="shared" si="6"/>
        <v>0.37107749235812487</v>
      </c>
      <c r="C435" s="17"/>
    </row>
    <row r="436" spans="1:3" x14ac:dyDescent="0.25">
      <c r="A436" s="4" t="s">
        <v>57</v>
      </c>
      <c r="B436" s="30">
        <f t="shared" si="6"/>
        <v>0.37107749235812487</v>
      </c>
      <c r="C436" s="17"/>
    </row>
    <row r="437" spans="1:3" x14ac:dyDescent="0.25">
      <c r="A437" s="4" t="s">
        <v>58</v>
      </c>
      <c r="B437" s="30">
        <f t="shared" si="6"/>
        <v>0</v>
      </c>
      <c r="C437" s="17"/>
    </row>
    <row r="438" spans="1:3" x14ac:dyDescent="0.25">
      <c r="A438" s="4" t="s">
        <v>59</v>
      </c>
      <c r="B438" s="30">
        <f t="shared" si="6"/>
        <v>0</v>
      </c>
      <c r="C438" s="17"/>
    </row>
    <row r="439" spans="1:3" x14ac:dyDescent="0.25">
      <c r="A439" s="4" t="s">
        <v>60</v>
      </c>
      <c r="B439" s="30">
        <f t="shared" si="6"/>
        <v>0.37107749235812487</v>
      </c>
      <c r="C439" s="17"/>
    </row>
    <row r="440" spans="1:3" x14ac:dyDescent="0.25">
      <c r="A440" s="4" t="s">
        <v>61</v>
      </c>
      <c r="B440" s="30">
        <f t="shared" si="6"/>
        <v>0.37107749235812487</v>
      </c>
      <c r="C440" s="17"/>
    </row>
    <row r="441" spans="1:3" x14ac:dyDescent="0.25">
      <c r="A441" s="4" t="s">
        <v>62</v>
      </c>
      <c r="B441" s="30">
        <f t="shared" si="6"/>
        <v>0.37107749235812487</v>
      </c>
      <c r="C441" s="17"/>
    </row>
    <row r="442" spans="1:3" x14ac:dyDescent="0.25">
      <c r="A442" s="4" t="s">
        <v>63</v>
      </c>
      <c r="B442" s="30">
        <f t="shared" si="6"/>
        <v>0.37107749235812487</v>
      </c>
      <c r="C442" s="17"/>
    </row>
    <row r="443" spans="1:3" x14ac:dyDescent="0.25">
      <c r="A443" s="4" t="s">
        <v>64</v>
      </c>
      <c r="B443" s="30">
        <f t="shared" si="6"/>
        <v>0</v>
      </c>
      <c r="C443" s="17"/>
    </row>
    <row r="444" spans="1:3" x14ac:dyDescent="0.25">
      <c r="A444" s="4" t="s">
        <v>65</v>
      </c>
      <c r="B444" s="30">
        <f t="shared" si="6"/>
        <v>0</v>
      </c>
      <c r="C444" s="17"/>
    </row>
    <row r="445" spans="1:3" x14ac:dyDescent="0.25">
      <c r="A445" s="4" t="s">
        <v>66</v>
      </c>
      <c r="B445" s="30">
        <f t="shared" si="6"/>
        <v>0</v>
      </c>
      <c r="C445" s="17"/>
    </row>
    <row r="446" spans="1:3" x14ac:dyDescent="0.25">
      <c r="A446" s="4" t="s">
        <v>67</v>
      </c>
      <c r="B446" s="30">
        <f t="shared" si="6"/>
        <v>0</v>
      </c>
      <c r="C446" s="17"/>
    </row>
    <row r="447" spans="1:3" ht="30" x14ac:dyDescent="0.25">
      <c r="A447" s="4" t="s">
        <v>68</v>
      </c>
      <c r="B447" s="30">
        <f t="shared" si="6"/>
        <v>0</v>
      </c>
      <c r="C447" s="17"/>
    </row>
    <row r="448" spans="1:3" x14ac:dyDescent="0.25">
      <c r="A448" s="4" t="s">
        <v>69</v>
      </c>
      <c r="B448" s="30">
        <f t="shared" si="6"/>
        <v>0</v>
      </c>
      <c r="C448" s="17"/>
    </row>
    <row r="449" spans="1:3" x14ac:dyDescent="0.25">
      <c r="A449" s="4" t="s">
        <v>70</v>
      </c>
      <c r="B449" s="30">
        <f t="shared" si="6"/>
        <v>0</v>
      </c>
      <c r="C449" s="17"/>
    </row>
    <row r="450" spans="1:3" x14ac:dyDescent="0.25">
      <c r="A450" s="4" t="s">
        <v>71</v>
      </c>
      <c r="B450" s="30">
        <f t="shared" si="6"/>
        <v>0</v>
      </c>
      <c r="C450" s="17"/>
    </row>
    <row r="451" spans="1:3" x14ac:dyDescent="0.25">
      <c r="A451" s="4" t="s">
        <v>72</v>
      </c>
      <c r="B451" s="30">
        <f t="shared" si="6"/>
        <v>0</v>
      </c>
      <c r="C451" s="17"/>
    </row>
    <row r="452" spans="1:3" x14ac:dyDescent="0.25">
      <c r="A452" s="4" t="s">
        <v>73</v>
      </c>
      <c r="B452" s="30">
        <f t="shared" si="6"/>
        <v>0</v>
      </c>
      <c r="C452" s="17"/>
    </row>
    <row r="453" spans="1:3" ht="30" x14ac:dyDescent="0.25">
      <c r="A453" s="4" t="s">
        <v>74</v>
      </c>
      <c r="B453" s="30">
        <f t="shared" si="6"/>
        <v>0</v>
      </c>
      <c r="C453" s="17"/>
    </row>
    <row r="454" spans="1:3" ht="30" x14ac:dyDescent="0.25">
      <c r="A454" s="4" t="s">
        <v>75</v>
      </c>
      <c r="B454" s="30">
        <f t="shared" si="6"/>
        <v>0</v>
      </c>
      <c r="C454" s="17"/>
    </row>
    <row r="456" spans="1:3" ht="21" customHeight="1" x14ac:dyDescent="0.3">
      <c r="A456" s="1" t="s">
        <v>281</v>
      </c>
    </row>
    <row r="457" spans="1:3" x14ac:dyDescent="0.25">
      <c r="A457" s="2" t="s">
        <v>197</v>
      </c>
    </row>
    <row r="458" spans="1:3" x14ac:dyDescent="0.25">
      <c r="A458" s="21" t="s">
        <v>282</v>
      </c>
    </row>
    <row r="459" spans="1:3" x14ac:dyDescent="0.25">
      <c r="A459" s="21" t="s">
        <v>283</v>
      </c>
    </row>
    <row r="460" spans="1:3" x14ac:dyDescent="0.25">
      <c r="A460" s="2" t="s">
        <v>284</v>
      </c>
    </row>
    <row r="462" spans="1:3" x14ac:dyDescent="0.25">
      <c r="B462" s="15" t="s">
        <v>194</v>
      </c>
    </row>
    <row r="463" spans="1:3" ht="30" x14ac:dyDescent="0.25">
      <c r="A463" s="4" t="s">
        <v>40</v>
      </c>
      <c r="B463" s="24">
        <f t="shared" ref="B463:B495" si="7">$B371*$B422</f>
        <v>0</v>
      </c>
      <c r="C463" s="17"/>
    </row>
    <row r="464" spans="1:3" ht="30" x14ac:dyDescent="0.25">
      <c r="A464" s="4" t="s">
        <v>44</v>
      </c>
      <c r="B464" s="24">
        <f t="shared" si="7"/>
        <v>1946509.0731987343</v>
      </c>
      <c r="C464" s="17"/>
    </row>
    <row r="465" spans="1:3" x14ac:dyDescent="0.25">
      <c r="A465" s="4" t="s">
        <v>45</v>
      </c>
      <c r="B465" s="24">
        <f t="shared" si="7"/>
        <v>507183.38809457992</v>
      </c>
      <c r="C465" s="17"/>
    </row>
    <row r="466" spans="1:3" x14ac:dyDescent="0.25">
      <c r="A466" s="4" t="s">
        <v>46</v>
      </c>
      <c r="B466" s="24">
        <f t="shared" si="7"/>
        <v>1868998.0513642698</v>
      </c>
      <c r="C466" s="17"/>
    </row>
    <row r="467" spans="1:3" x14ac:dyDescent="0.25">
      <c r="A467" s="4" t="s">
        <v>47</v>
      </c>
      <c r="B467" s="24">
        <f t="shared" si="7"/>
        <v>310472.58346014546</v>
      </c>
      <c r="C467" s="17"/>
    </row>
    <row r="468" spans="1:3" x14ac:dyDescent="0.25">
      <c r="A468" s="4" t="s">
        <v>48</v>
      </c>
      <c r="B468" s="24">
        <f t="shared" si="7"/>
        <v>422630.36468976625</v>
      </c>
      <c r="C468" s="17"/>
    </row>
    <row r="469" spans="1:3" x14ac:dyDescent="0.25">
      <c r="A469" s="4" t="s">
        <v>49</v>
      </c>
      <c r="B469" s="24">
        <f t="shared" si="7"/>
        <v>101436.67761891599</v>
      </c>
      <c r="C469" s="17"/>
    </row>
    <row r="470" spans="1:3" x14ac:dyDescent="0.25">
      <c r="A470" s="4" t="s">
        <v>50</v>
      </c>
      <c r="B470" s="24">
        <f t="shared" si="7"/>
        <v>591713.95277700992</v>
      </c>
      <c r="C470" s="17"/>
    </row>
    <row r="471" spans="1:3" x14ac:dyDescent="0.25">
      <c r="A471" s="4" t="s">
        <v>51</v>
      </c>
      <c r="B471" s="24">
        <f t="shared" si="7"/>
        <v>490277.27515809389</v>
      </c>
      <c r="C471" s="17"/>
    </row>
    <row r="472" spans="1:3" x14ac:dyDescent="0.25">
      <c r="A472" s="4" t="s">
        <v>52</v>
      </c>
      <c r="B472" s="24">
        <f t="shared" si="7"/>
        <v>1217240.1314269919</v>
      </c>
      <c r="C472" s="17"/>
    </row>
    <row r="473" spans="1:3" x14ac:dyDescent="0.25">
      <c r="A473" s="4" t="s">
        <v>53</v>
      </c>
      <c r="B473" s="24">
        <f t="shared" si="7"/>
        <v>321216.145793234</v>
      </c>
      <c r="C473" s="17"/>
    </row>
    <row r="474" spans="1:3" x14ac:dyDescent="0.25">
      <c r="A474" s="4" t="s">
        <v>54</v>
      </c>
      <c r="B474" s="24">
        <f t="shared" si="7"/>
        <v>169061.12936485998</v>
      </c>
      <c r="C474" s="17"/>
    </row>
    <row r="475" spans="1:3" x14ac:dyDescent="0.25">
      <c r="A475" s="4" t="s">
        <v>55</v>
      </c>
      <c r="B475" s="24">
        <f t="shared" si="7"/>
        <v>118342.790555402</v>
      </c>
      <c r="C475" s="17"/>
    </row>
    <row r="476" spans="1:3" x14ac:dyDescent="0.25">
      <c r="A476" s="4" t="s">
        <v>56</v>
      </c>
      <c r="B476" s="24">
        <f t="shared" si="7"/>
        <v>152155.01642837399</v>
      </c>
      <c r="C476" s="17"/>
    </row>
    <row r="477" spans="1:3" x14ac:dyDescent="0.25">
      <c r="A477" s="4" t="s">
        <v>57</v>
      </c>
      <c r="B477" s="24">
        <f t="shared" si="7"/>
        <v>456465.04928512196</v>
      </c>
      <c r="C477" s="17"/>
    </row>
    <row r="478" spans="1:3" x14ac:dyDescent="0.25">
      <c r="A478" s="4" t="s">
        <v>58</v>
      </c>
      <c r="B478" s="24">
        <f t="shared" si="7"/>
        <v>0</v>
      </c>
      <c r="C478" s="17"/>
    </row>
    <row r="479" spans="1:3" x14ac:dyDescent="0.25">
      <c r="A479" s="4" t="s">
        <v>59</v>
      </c>
      <c r="B479" s="24">
        <f t="shared" si="7"/>
        <v>0</v>
      </c>
      <c r="C479" s="17"/>
    </row>
    <row r="480" spans="1:3" x14ac:dyDescent="0.25">
      <c r="A480" s="4" t="s">
        <v>60</v>
      </c>
      <c r="B480" s="24">
        <f t="shared" si="7"/>
        <v>152155.01642837399</v>
      </c>
      <c r="C480" s="17"/>
    </row>
    <row r="481" spans="1:3" x14ac:dyDescent="0.25">
      <c r="A481" s="4" t="s">
        <v>61</v>
      </c>
      <c r="B481" s="24">
        <f t="shared" si="7"/>
        <v>185967.24230134598</v>
      </c>
      <c r="C481" s="17"/>
    </row>
    <row r="482" spans="1:3" x14ac:dyDescent="0.25">
      <c r="A482" s="4" t="s">
        <v>62</v>
      </c>
      <c r="B482" s="24">
        <f t="shared" si="7"/>
        <v>980554.55031618779</v>
      </c>
      <c r="C482" s="17"/>
    </row>
    <row r="483" spans="1:3" x14ac:dyDescent="0.25">
      <c r="A483" s="4" t="s">
        <v>63</v>
      </c>
      <c r="B483" s="24">
        <f t="shared" si="7"/>
        <v>304310.03285674797</v>
      </c>
      <c r="C483" s="17"/>
    </row>
    <row r="484" spans="1:3" x14ac:dyDescent="0.25">
      <c r="A484" s="4" t="s">
        <v>64</v>
      </c>
      <c r="B484" s="24">
        <f t="shared" si="7"/>
        <v>0</v>
      </c>
      <c r="C484" s="17"/>
    </row>
    <row r="485" spans="1:3" x14ac:dyDescent="0.25">
      <c r="A485" s="4" t="s">
        <v>65</v>
      </c>
      <c r="B485" s="24">
        <f t="shared" si="7"/>
        <v>0</v>
      </c>
      <c r="C485" s="17"/>
    </row>
    <row r="486" spans="1:3" x14ac:dyDescent="0.25">
      <c r="A486" s="4" t="s">
        <v>66</v>
      </c>
      <c r="B486" s="24">
        <f t="shared" si="7"/>
        <v>0</v>
      </c>
      <c r="C486" s="17"/>
    </row>
    <row r="487" spans="1:3" x14ac:dyDescent="0.25">
      <c r="A487" s="4" t="s">
        <v>67</v>
      </c>
      <c r="B487" s="24">
        <f t="shared" si="7"/>
        <v>0</v>
      </c>
      <c r="C487" s="17"/>
    </row>
    <row r="488" spans="1:3" ht="30" x14ac:dyDescent="0.25">
      <c r="A488" s="4" t="s">
        <v>68</v>
      </c>
      <c r="B488" s="24">
        <f t="shared" si="7"/>
        <v>0</v>
      </c>
      <c r="C488" s="17"/>
    </row>
    <row r="489" spans="1:3" x14ac:dyDescent="0.25">
      <c r="A489" s="4" t="s">
        <v>69</v>
      </c>
      <c r="B489" s="24">
        <f t="shared" si="7"/>
        <v>0</v>
      </c>
      <c r="C489" s="17"/>
    </row>
    <row r="490" spans="1:3" x14ac:dyDescent="0.25">
      <c r="A490" s="4" t="s">
        <v>70</v>
      </c>
      <c r="B490" s="24">
        <f t="shared" si="7"/>
        <v>0</v>
      </c>
      <c r="C490" s="17"/>
    </row>
    <row r="491" spans="1:3" x14ac:dyDescent="0.25">
      <c r="A491" s="4" t="s">
        <v>71</v>
      </c>
      <c r="B491" s="24">
        <f t="shared" si="7"/>
        <v>0</v>
      </c>
      <c r="C491" s="17"/>
    </row>
    <row r="492" spans="1:3" x14ac:dyDescent="0.25">
      <c r="A492" s="4" t="s">
        <v>72</v>
      </c>
      <c r="B492" s="24">
        <f t="shared" si="7"/>
        <v>0</v>
      </c>
      <c r="C492" s="17"/>
    </row>
    <row r="493" spans="1:3" x14ac:dyDescent="0.25">
      <c r="A493" s="4" t="s">
        <v>73</v>
      </c>
      <c r="B493" s="24">
        <f t="shared" si="7"/>
        <v>0</v>
      </c>
      <c r="C493" s="17"/>
    </row>
    <row r="494" spans="1:3" ht="30" x14ac:dyDescent="0.25">
      <c r="A494" s="4" t="s">
        <v>74</v>
      </c>
      <c r="B494" s="24">
        <f t="shared" si="7"/>
        <v>0</v>
      </c>
      <c r="C494" s="17"/>
    </row>
    <row r="495" spans="1:3" ht="30" x14ac:dyDescent="0.25">
      <c r="A495" s="4" t="s">
        <v>75</v>
      </c>
      <c r="B495" s="24">
        <f t="shared" si="7"/>
        <v>0</v>
      </c>
      <c r="C495" s="17"/>
    </row>
    <row r="497" spans="1:3" ht="21" customHeight="1" x14ac:dyDescent="0.3">
      <c r="A497" s="1" t="s">
        <v>285</v>
      </c>
    </row>
    <row r="498" spans="1:3" x14ac:dyDescent="0.25">
      <c r="A498" s="2" t="s">
        <v>197</v>
      </c>
    </row>
    <row r="499" spans="1:3" x14ac:dyDescent="0.25">
      <c r="A499" s="21" t="s">
        <v>282</v>
      </c>
    </row>
    <row r="500" spans="1:3" x14ac:dyDescent="0.25">
      <c r="A500" s="21" t="s">
        <v>283</v>
      </c>
    </row>
    <row r="501" spans="1:3" x14ac:dyDescent="0.25">
      <c r="A501" s="2" t="s">
        <v>286</v>
      </c>
    </row>
    <row r="503" spans="1:3" x14ac:dyDescent="0.25">
      <c r="B503" s="15" t="s">
        <v>287</v>
      </c>
    </row>
    <row r="504" spans="1:3" ht="30" x14ac:dyDescent="0.25">
      <c r="A504" s="4" t="s">
        <v>40</v>
      </c>
      <c r="B504" s="24">
        <f t="shared" ref="B504:B536" si="8">$B371*(1-$B422)</f>
        <v>609999.99999999942</v>
      </c>
      <c r="C504" s="17"/>
    </row>
    <row r="505" spans="1:3" ht="30" x14ac:dyDescent="0.25">
      <c r="A505" s="4" t="s">
        <v>44</v>
      </c>
      <c r="B505" s="24">
        <f t="shared" si="8"/>
        <v>3299050.4481536658</v>
      </c>
      <c r="C505" s="17"/>
    </row>
    <row r="506" spans="1:3" x14ac:dyDescent="0.25">
      <c r="A506" s="4" t="s">
        <v>45</v>
      </c>
      <c r="B506" s="24">
        <f t="shared" si="8"/>
        <v>859602.25247749779</v>
      </c>
      <c r="C506" s="17"/>
    </row>
    <row r="507" spans="1:3" x14ac:dyDescent="0.25">
      <c r="A507" s="4" t="s">
        <v>46</v>
      </c>
      <c r="B507" s="24">
        <f t="shared" si="8"/>
        <v>3167680.5126929381</v>
      </c>
      <c r="C507" s="17"/>
    </row>
    <row r="508" spans="1:3" x14ac:dyDescent="0.25">
      <c r="A508" s="4" t="s">
        <v>47</v>
      </c>
      <c r="B508" s="24">
        <f t="shared" si="8"/>
        <v>526205.9805970625</v>
      </c>
      <c r="C508" s="17"/>
    </row>
    <row r="509" spans="1:3" x14ac:dyDescent="0.25">
      <c r="A509" s="4" t="s">
        <v>48</v>
      </c>
      <c r="B509" s="24">
        <f t="shared" si="8"/>
        <v>716297.14612214803</v>
      </c>
      <c r="C509" s="17"/>
    </row>
    <row r="510" spans="1:3" x14ac:dyDescent="0.25">
      <c r="A510" s="4" t="s">
        <v>49</v>
      </c>
      <c r="B510" s="24">
        <f t="shared" si="8"/>
        <v>171920.45049549954</v>
      </c>
      <c r="C510" s="17"/>
    </row>
    <row r="511" spans="1:3" x14ac:dyDescent="0.25">
      <c r="A511" s="4" t="s">
        <v>50</v>
      </c>
      <c r="B511" s="24">
        <f t="shared" si="8"/>
        <v>1002869.2945570807</v>
      </c>
      <c r="C511" s="17"/>
    </row>
    <row r="512" spans="1:3" x14ac:dyDescent="0.25">
      <c r="A512" s="4" t="s">
        <v>51</v>
      </c>
      <c r="B512" s="24">
        <f t="shared" si="8"/>
        <v>830948.84406158107</v>
      </c>
      <c r="C512" s="17"/>
    </row>
    <row r="513" spans="1:3" x14ac:dyDescent="0.25">
      <c r="A513" s="4" t="s">
        <v>52</v>
      </c>
      <c r="B513" s="24">
        <f t="shared" si="8"/>
        <v>2063045.4059459947</v>
      </c>
      <c r="C513" s="17"/>
    </row>
    <row r="514" spans="1:3" x14ac:dyDescent="0.25">
      <c r="A514" s="4" t="s">
        <v>53</v>
      </c>
      <c r="B514" s="24">
        <f t="shared" si="8"/>
        <v>544414.75990241533</v>
      </c>
      <c r="C514" s="17"/>
    </row>
    <row r="515" spans="1:3" x14ac:dyDescent="0.25">
      <c r="A515" s="4" t="s">
        <v>54</v>
      </c>
      <c r="B515" s="24">
        <f t="shared" si="8"/>
        <v>286534.08415916591</v>
      </c>
      <c r="C515" s="17"/>
    </row>
    <row r="516" spans="1:3" x14ac:dyDescent="0.25">
      <c r="A516" s="4" t="s">
        <v>55</v>
      </c>
      <c r="B516" s="24">
        <f t="shared" si="8"/>
        <v>200573.85891141617</v>
      </c>
      <c r="C516" s="17"/>
    </row>
    <row r="517" spans="1:3" x14ac:dyDescent="0.25">
      <c r="A517" s="4" t="s">
        <v>56</v>
      </c>
      <c r="B517" s="24">
        <f t="shared" si="8"/>
        <v>257880.67574324933</v>
      </c>
      <c r="C517" s="17"/>
    </row>
    <row r="518" spans="1:3" x14ac:dyDescent="0.25">
      <c r="A518" s="4" t="s">
        <v>57</v>
      </c>
      <c r="B518" s="24">
        <f t="shared" si="8"/>
        <v>773642.02722974797</v>
      </c>
      <c r="C518" s="17"/>
    </row>
    <row r="519" spans="1:3" x14ac:dyDescent="0.25">
      <c r="A519" s="4" t="s">
        <v>58</v>
      </c>
      <c r="B519" s="24">
        <f t="shared" si="8"/>
        <v>0</v>
      </c>
      <c r="C519" s="17"/>
    </row>
    <row r="520" spans="1:3" x14ac:dyDescent="0.25">
      <c r="A520" s="4" t="s">
        <v>59</v>
      </c>
      <c r="B520" s="24">
        <f t="shared" si="8"/>
        <v>0</v>
      </c>
      <c r="C520" s="17"/>
    </row>
    <row r="521" spans="1:3" x14ac:dyDescent="0.25">
      <c r="A521" s="4" t="s">
        <v>60</v>
      </c>
      <c r="B521" s="24">
        <f t="shared" si="8"/>
        <v>257880.67574324933</v>
      </c>
      <c r="C521" s="17"/>
    </row>
    <row r="522" spans="1:3" x14ac:dyDescent="0.25">
      <c r="A522" s="4" t="s">
        <v>61</v>
      </c>
      <c r="B522" s="24">
        <f t="shared" si="8"/>
        <v>315187.49257508252</v>
      </c>
      <c r="C522" s="17"/>
    </row>
    <row r="523" spans="1:3" x14ac:dyDescent="0.25">
      <c r="A523" s="4" t="s">
        <v>62</v>
      </c>
      <c r="B523" s="24">
        <f t="shared" si="8"/>
        <v>1661897.6881231621</v>
      </c>
      <c r="C523" s="17"/>
    </row>
    <row r="524" spans="1:3" x14ac:dyDescent="0.25">
      <c r="A524" s="4" t="s">
        <v>63</v>
      </c>
      <c r="B524" s="24">
        <f t="shared" si="8"/>
        <v>515761.35148649866</v>
      </c>
      <c r="C524" s="17"/>
    </row>
    <row r="525" spans="1:3" x14ac:dyDescent="0.25">
      <c r="A525" s="4" t="s">
        <v>64</v>
      </c>
      <c r="B525" s="24">
        <f t="shared" si="8"/>
        <v>0</v>
      </c>
      <c r="C525" s="17"/>
    </row>
    <row r="526" spans="1:3" x14ac:dyDescent="0.25">
      <c r="A526" s="4" t="s">
        <v>65</v>
      </c>
      <c r="B526" s="24">
        <f t="shared" si="8"/>
        <v>0</v>
      </c>
      <c r="C526" s="17"/>
    </row>
    <row r="527" spans="1:3" x14ac:dyDescent="0.25">
      <c r="A527" s="4" t="s">
        <v>66</v>
      </c>
      <c r="B527" s="24">
        <f t="shared" si="8"/>
        <v>0</v>
      </c>
      <c r="C527" s="17"/>
    </row>
    <row r="528" spans="1:3" x14ac:dyDescent="0.25">
      <c r="A528" s="4" t="s">
        <v>67</v>
      </c>
      <c r="B528" s="24">
        <f t="shared" si="8"/>
        <v>0</v>
      </c>
      <c r="C528" s="17"/>
    </row>
    <row r="529" spans="1:3" ht="30" x14ac:dyDescent="0.25">
      <c r="A529" s="4" t="s">
        <v>68</v>
      </c>
      <c r="B529" s="24">
        <f t="shared" si="8"/>
        <v>0</v>
      </c>
      <c r="C529" s="17"/>
    </row>
    <row r="530" spans="1:3" x14ac:dyDescent="0.25">
      <c r="A530" s="4" t="s">
        <v>69</v>
      </c>
      <c r="B530" s="24">
        <f t="shared" si="8"/>
        <v>0</v>
      </c>
      <c r="C530" s="17"/>
    </row>
    <row r="531" spans="1:3" x14ac:dyDescent="0.25">
      <c r="A531" s="4" t="s">
        <v>70</v>
      </c>
      <c r="B531" s="24">
        <f t="shared" si="8"/>
        <v>0</v>
      </c>
      <c r="C531" s="17"/>
    </row>
    <row r="532" spans="1:3" x14ac:dyDescent="0.25">
      <c r="A532" s="4" t="s">
        <v>71</v>
      </c>
      <c r="B532" s="24">
        <f t="shared" si="8"/>
        <v>0</v>
      </c>
      <c r="C532" s="17"/>
    </row>
    <row r="533" spans="1:3" x14ac:dyDescent="0.25">
      <c r="A533" s="4" t="s">
        <v>72</v>
      </c>
      <c r="B533" s="24">
        <f t="shared" si="8"/>
        <v>0</v>
      </c>
      <c r="C533" s="17"/>
    </row>
    <row r="534" spans="1:3" x14ac:dyDescent="0.25">
      <c r="A534" s="4" t="s">
        <v>73</v>
      </c>
      <c r="B534" s="24">
        <f t="shared" si="8"/>
        <v>0</v>
      </c>
      <c r="C534" s="17"/>
    </row>
    <row r="535" spans="1:3" ht="30" x14ac:dyDescent="0.25">
      <c r="A535" s="4" t="s">
        <v>74</v>
      </c>
      <c r="B535" s="24">
        <f t="shared" si="8"/>
        <v>0</v>
      </c>
      <c r="C535" s="17"/>
    </row>
    <row r="536" spans="1:3" ht="30" x14ac:dyDescent="0.25">
      <c r="A536" s="4" t="s">
        <v>75</v>
      </c>
      <c r="B536" s="24">
        <f t="shared" si="8"/>
        <v>0</v>
      </c>
      <c r="C536" s="17"/>
    </row>
    <row r="538" spans="1:3" ht="21" customHeight="1" x14ac:dyDescent="0.3">
      <c r="A538" s="1" t="s">
        <v>288</v>
      </c>
    </row>
    <row r="539" spans="1:3" x14ac:dyDescent="0.25">
      <c r="A539" s="2" t="s">
        <v>197</v>
      </c>
    </row>
    <row r="540" spans="1:3" x14ac:dyDescent="0.25">
      <c r="A540" s="21" t="s">
        <v>289</v>
      </c>
    </row>
    <row r="541" spans="1:3" x14ac:dyDescent="0.25">
      <c r="A541" s="21" t="s">
        <v>290</v>
      </c>
    </row>
    <row r="542" spans="1:3" x14ac:dyDescent="0.25">
      <c r="A542" s="21" t="s">
        <v>291</v>
      </c>
    </row>
    <row r="543" spans="1:3" x14ac:dyDescent="0.25">
      <c r="A543" s="2" t="s">
        <v>292</v>
      </c>
    </row>
    <row r="545" spans="1:7" x14ac:dyDescent="0.25">
      <c r="B545" s="15" t="s">
        <v>194</v>
      </c>
      <c r="C545" s="15" t="s">
        <v>287</v>
      </c>
      <c r="D545" s="15" t="s">
        <v>38</v>
      </c>
      <c r="E545" s="15" t="s">
        <v>27</v>
      </c>
      <c r="F545" s="15" t="s">
        <v>39</v>
      </c>
    </row>
    <row r="546" spans="1:7" ht="30" x14ac:dyDescent="0.25">
      <c r="A546" s="4" t="s">
        <v>40</v>
      </c>
      <c r="B546" s="22">
        <f t="shared" ref="B546:B578" si="9">$B463</f>
        <v>0</v>
      </c>
      <c r="C546" s="22">
        <f t="shared" ref="C546:C578" si="10">$B504</f>
        <v>609999.99999999942</v>
      </c>
      <c r="D546" s="22">
        <f t="shared" ref="D546:D578" si="11">$C331</f>
        <v>0</v>
      </c>
      <c r="E546" s="22">
        <f t="shared" ref="E546:E578" si="12">$D331</f>
        <v>1020000</v>
      </c>
      <c r="F546" s="22">
        <f t="shared" ref="F546:F578" si="13">$E331</f>
        <v>2655000.0000000005</v>
      </c>
      <c r="G546" s="17"/>
    </row>
    <row r="547" spans="1:7" ht="30" x14ac:dyDescent="0.25">
      <c r="A547" s="4" t="s">
        <v>44</v>
      </c>
      <c r="B547" s="22">
        <f t="shared" si="9"/>
        <v>1946509.0731987343</v>
      </c>
      <c r="C547" s="22">
        <f t="shared" si="10"/>
        <v>3299050.4481536658</v>
      </c>
      <c r="D547" s="22">
        <f t="shared" si="11"/>
        <v>4207165.6049015773</v>
      </c>
      <c r="E547" s="22">
        <f t="shared" si="12"/>
        <v>14329278.106179332</v>
      </c>
      <c r="F547" s="22">
        <f t="shared" si="13"/>
        <v>8517996.7675666846</v>
      </c>
      <c r="G547" s="17"/>
    </row>
    <row r="548" spans="1:7" x14ac:dyDescent="0.25">
      <c r="A548" s="4" t="s">
        <v>45</v>
      </c>
      <c r="B548" s="22">
        <f t="shared" si="9"/>
        <v>507183.38809457992</v>
      </c>
      <c r="C548" s="22">
        <f t="shared" si="10"/>
        <v>859602.25247749779</v>
      </c>
      <c r="D548" s="22">
        <f t="shared" si="11"/>
        <v>214968.14704733097</v>
      </c>
      <c r="E548" s="22">
        <f t="shared" si="12"/>
        <v>878343.18538003718</v>
      </c>
      <c r="F548" s="22">
        <f t="shared" si="13"/>
        <v>539903.02700055391</v>
      </c>
      <c r="G548" s="17"/>
    </row>
    <row r="549" spans="1:7" x14ac:dyDescent="0.25">
      <c r="A549" s="4" t="s">
        <v>46</v>
      </c>
      <c r="B549" s="22">
        <f t="shared" si="9"/>
        <v>1868998.0513642698</v>
      </c>
      <c r="C549" s="22">
        <f t="shared" si="10"/>
        <v>3167680.5126929381</v>
      </c>
      <c r="D549" s="22">
        <f t="shared" si="11"/>
        <v>221496.81470473323</v>
      </c>
      <c r="E549" s="22">
        <f t="shared" si="12"/>
        <v>2387834.3185380041</v>
      </c>
      <c r="F549" s="22">
        <f t="shared" si="13"/>
        <v>653990.30270005588</v>
      </c>
      <c r="G549" s="17"/>
    </row>
    <row r="550" spans="1:7" x14ac:dyDescent="0.25">
      <c r="A550" s="4" t="s">
        <v>47</v>
      </c>
      <c r="B550" s="22">
        <f t="shared" si="9"/>
        <v>310472.58346014546</v>
      </c>
      <c r="C550" s="22">
        <f t="shared" si="10"/>
        <v>526205.9805970625</v>
      </c>
      <c r="D550" s="22">
        <f t="shared" si="11"/>
        <v>1621496.8147047332</v>
      </c>
      <c r="E550" s="22">
        <f t="shared" si="12"/>
        <v>687834.31853800372</v>
      </c>
      <c r="F550" s="22">
        <f t="shared" si="13"/>
        <v>2353990.3027000558</v>
      </c>
      <c r="G550" s="17"/>
    </row>
    <row r="551" spans="1:7" x14ac:dyDescent="0.25">
      <c r="A551" s="4" t="s">
        <v>48</v>
      </c>
      <c r="B551" s="22">
        <f t="shared" si="9"/>
        <v>422630.36468976625</v>
      </c>
      <c r="C551" s="22">
        <f t="shared" si="10"/>
        <v>716297.14612214803</v>
      </c>
      <c r="D551" s="22">
        <f t="shared" si="11"/>
        <v>-4182.1725248064895</v>
      </c>
      <c r="E551" s="22">
        <f t="shared" si="12"/>
        <v>2345981.3036236842</v>
      </c>
      <c r="F551" s="22">
        <f t="shared" si="13"/>
        <v>619273.35808920779</v>
      </c>
      <c r="G551" s="17"/>
    </row>
    <row r="552" spans="1:7" x14ac:dyDescent="0.25">
      <c r="A552" s="4" t="s">
        <v>49</v>
      </c>
      <c r="B552" s="22">
        <f t="shared" si="9"/>
        <v>101436.67761891599</v>
      </c>
      <c r="C552" s="22">
        <f t="shared" si="10"/>
        <v>171920.45049549954</v>
      </c>
      <c r="D552" s="22">
        <f t="shared" si="11"/>
        <v>42993.629409466193</v>
      </c>
      <c r="E552" s="22">
        <f t="shared" si="12"/>
        <v>175668.63707600744</v>
      </c>
      <c r="F552" s="22">
        <f t="shared" si="13"/>
        <v>107980.60540011078</v>
      </c>
      <c r="G552" s="17"/>
    </row>
    <row r="553" spans="1:7" x14ac:dyDescent="0.25">
      <c r="A553" s="4" t="s">
        <v>50</v>
      </c>
      <c r="B553" s="22">
        <f t="shared" si="9"/>
        <v>591713.95277700992</v>
      </c>
      <c r="C553" s="22">
        <f t="shared" si="10"/>
        <v>1002869.2945570807</v>
      </c>
      <c r="D553" s="22">
        <f t="shared" si="11"/>
        <v>250796.17155521948</v>
      </c>
      <c r="E553" s="22">
        <f t="shared" si="12"/>
        <v>1024733.71627671</v>
      </c>
      <c r="F553" s="22">
        <f t="shared" si="13"/>
        <v>629886.86483397963</v>
      </c>
      <c r="G553" s="17"/>
    </row>
    <row r="554" spans="1:7" x14ac:dyDescent="0.25">
      <c r="A554" s="4" t="s">
        <v>51</v>
      </c>
      <c r="B554" s="22">
        <f t="shared" si="9"/>
        <v>490277.27515809389</v>
      </c>
      <c r="C554" s="22">
        <f t="shared" si="10"/>
        <v>830948.84406158107</v>
      </c>
      <c r="D554" s="22">
        <f t="shared" si="11"/>
        <v>207802.54214575328</v>
      </c>
      <c r="E554" s="22">
        <f t="shared" si="12"/>
        <v>849065.0792007026</v>
      </c>
      <c r="F554" s="22">
        <f t="shared" si="13"/>
        <v>521906.25943386881</v>
      </c>
      <c r="G554" s="17"/>
    </row>
    <row r="555" spans="1:7" x14ac:dyDescent="0.25">
      <c r="A555" s="4" t="s">
        <v>52</v>
      </c>
      <c r="B555" s="22">
        <f t="shared" si="9"/>
        <v>1217240.1314269919</v>
      </c>
      <c r="C555" s="22">
        <f t="shared" si="10"/>
        <v>2063045.4059459947</v>
      </c>
      <c r="D555" s="22">
        <f t="shared" si="11"/>
        <v>515923.55291359435</v>
      </c>
      <c r="E555" s="22">
        <f t="shared" si="12"/>
        <v>2108023.6449120892</v>
      </c>
      <c r="F555" s="22">
        <f t="shared" si="13"/>
        <v>1295767.2648013295</v>
      </c>
      <c r="G555" s="17"/>
    </row>
    <row r="556" spans="1:7" x14ac:dyDescent="0.25">
      <c r="A556" s="4" t="s">
        <v>53</v>
      </c>
      <c r="B556" s="22">
        <f t="shared" si="9"/>
        <v>321216.145793234</v>
      </c>
      <c r="C556" s="22">
        <f t="shared" si="10"/>
        <v>544414.75990241533</v>
      </c>
      <c r="D556" s="22">
        <f t="shared" si="11"/>
        <v>136146.49312997627</v>
      </c>
      <c r="E556" s="22">
        <f t="shared" si="12"/>
        <v>556284.01740735688</v>
      </c>
      <c r="F556" s="22">
        <f t="shared" si="13"/>
        <v>341938.58376701752</v>
      </c>
      <c r="G556" s="17"/>
    </row>
    <row r="557" spans="1:7" x14ac:dyDescent="0.25">
      <c r="A557" s="4" t="s">
        <v>54</v>
      </c>
      <c r="B557" s="22">
        <f t="shared" si="9"/>
        <v>169061.12936485998</v>
      </c>
      <c r="C557" s="22">
        <f t="shared" si="10"/>
        <v>286534.08415916591</v>
      </c>
      <c r="D557" s="22">
        <f t="shared" si="11"/>
        <v>71656.049015776996</v>
      </c>
      <c r="E557" s="22">
        <f t="shared" si="12"/>
        <v>292781.06179334573</v>
      </c>
      <c r="F557" s="22">
        <f t="shared" si="13"/>
        <v>179967.67566685131</v>
      </c>
      <c r="G557" s="17"/>
    </row>
    <row r="558" spans="1:7" x14ac:dyDescent="0.25">
      <c r="A558" s="4" t="s">
        <v>55</v>
      </c>
      <c r="B558" s="22">
        <f t="shared" si="9"/>
        <v>118342.790555402</v>
      </c>
      <c r="C558" s="22">
        <f t="shared" si="10"/>
        <v>200573.85891141617</v>
      </c>
      <c r="D558" s="22">
        <f t="shared" si="11"/>
        <v>50159.234311043896</v>
      </c>
      <c r="E558" s="22">
        <f t="shared" si="12"/>
        <v>204946.74325534201</v>
      </c>
      <c r="F558" s="22">
        <f t="shared" si="13"/>
        <v>125977.37296679593</v>
      </c>
      <c r="G558" s="17"/>
    </row>
    <row r="559" spans="1:7" x14ac:dyDescent="0.25">
      <c r="A559" s="4" t="s">
        <v>56</v>
      </c>
      <c r="B559" s="22">
        <f t="shared" si="9"/>
        <v>152155.01642837399</v>
      </c>
      <c r="C559" s="22">
        <f t="shared" si="10"/>
        <v>257880.67574324933</v>
      </c>
      <c r="D559" s="22">
        <f t="shared" si="11"/>
        <v>64490.444114199294</v>
      </c>
      <c r="E559" s="22">
        <f t="shared" si="12"/>
        <v>263502.95561401115</v>
      </c>
      <c r="F559" s="22">
        <f t="shared" si="13"/>
        <v>161970.90810016618</v>
      </c>
      <c r="G559" s="17"/>
    </row>
    <row r="560" spans="1:7" x14ac:dyDescent="0.25">
      <c r="A560" s="4" t="s">
        <v>57</v>
      </c>
      <c r="B560" s="22">
        <f t="shared" si="9"/>
        <v>456465.04928512196</v>
      </c>
      <c r="C560" s="22">
        <f t="shared" si="10"/>
        <v>773642.02722974797</v>
      </c>
      <c r="D560" s="22">
        <f t="shared" si="11"/>
        <v>193471.33234259786</v>
      </c>
      <c r="E560" s="22">
        <f t="shared" si="12"/>
        <v>790508.86684203346</v>
      </c>
      <c r="F560" s="22">
        <f t="shared" si="13"/>
        <v>485912.72430049855</v>
      </c>
      <c r="G560" s="17"/>
    </row>
    <row r="561" spans="1:7" x14ac:dyDescent="0.25">
      <c r="A561" s="4" t="s">
        <v>58</v>
      </c>
      <c r="B561" s="22">
        <f t="shared" si="9"/>
        <v>0</v>
      </c>
      <c r="C561" s="22">
        <f t="shared" si="10"/>
        <v>0</v>
      </c>
      <c r="D561" s="22">
        <f t="shared" si="11"/>
        <v>0</v>
      </c>
      <c r="E561" s="22">
        <f t="shared" si="12"/>
        <v>0</v>
      </c>
      <c r="F561" s="22">
        <f t="shared" si="13"/>
        <v>0</v>
      </c>
      <c r="G561" s="17"/>
    </row>
    <row r="562" spans="1:7" x14ac:dyDescent="0.25">
      <c r="A562" s="4" t="s">
        <v>59</v>
      </c>
      <c r="B562" s="22">
        <f t="shared" si="9"/>
        <v>0</v>
      </c>
      <c r="C562" s="22">
        <f t="shared" si="10"/>
        <v>0</v>
      </c>
      <c r="D562" s="22">
        <f t="shared" si="11"/>
        <v>0</v>
      </c>
      <c r="E562" s="22">
        <f t="shared" si="12"/>
        <v>0</v>
      </c>
      <c r="F562" s="22">
        <f t="shared" si="13"/>
        <v>0</v>
      </c>
      <c r="G562" s="17"/>
    </row>
    <row r="563" spans="1:7" x14ac:dyDescent="0.25">
      <c r="A563" s="4" t="s">
        <v>60</v>
      </c>
      <c r="B563" s="22">
        <f t="shared" si="9"/>
        <v>152155.01642837399</v>
      </c>
      <c r="C563" s="22">
        <f t="shared" si="10"/>
        <v>257880.67574324933</v>
      </c>
      <c r="D563" s="22">
        <f t="shared" si="11"/>
        <v>64490.444114199294</v>
      </c>
      <c r="E563" s="22">
        <f t="shared" si="12"/>
        <v>263502.95561401115</v>
      </c>
      <c r="F563" s="22">
        <f t="shared" si="13"/>
        <v>161970.90810016618</v>
      </c>
      <c r="G563" s="17"/>
    </row>
    <row r="564" spans="1:7" x14ac:dyDescent="0.25">
      <c r="A564" s="4" t="s">
        <v>61</v>
      </c>
      <c r="B564" s="22">
        <f t="shared" si="9"/>
        <v>185967.24230134598</v>
      </c>
      <c r="C564" s="22">
        <f t="shared" si="10"/>
        <v>315187.49257508252</v>
      </c>
      <c r="D564" s="22">
        <f t="shared" si="11"/>
        <v>78821.653917354692</v>
      </c>
      <c r="E564" s="22">
        <f t="shared" si="12"/>
        <v>322059.1679726803</v>
      </c>
      <c r="F564" s="22">
        <f t="shared" si="13"/>
        <v>197964.44323353644</v>
      </c>
      <c r="G564" s="17"/>
    </row>
    <row r="565" spans="1:7" x14ac:dyDescent="0.25">
      <c r="A565" s="4" t="s">
        <v>62</v>
      </c>
      <c r="B565" s="22">
        <f t="shared" si="9"/>
        <v>980554.55031618779</v>
      </c>
      <c r="C565" s="22">
        <f t="shared" si="10"/>
        <v>1661897.6881231621</v>
      </c>
      <c r="D565" s="22">
        <f t="shared" si="11"/>
        <v>415605.08429150656</v>
      </c>
      <c r="E565" s="22">
        <f t="shared" si="12"/>
        <v>1698130.1584014052</v>
      </c>
      <c r="F565" s="22">
        <f t="shared" si="13"/>
        <v>1043812.5188677376</v>
      </c>
      <c r="G565" s="17"/>
    </row>
    <row r="566" spans="1:7" x14ac:dyDescent="0.25">
      <c r="A566" s="4" t="s">
        <v>63</v>
      </c>
      <c r="B566" s="22">
        <f t="shared" si="9"/>
        <v>304310.03285674797</v>
      </c>
      <c r="C566" s="22">
        <f t="shared" si="10"/>
        <v>515761.35148649866</v>
      </c>
      <c r="D566" s="22">
        <f t="shared" si="11"/>
        <v>128980.88822839859</v>
      </c>
      <c r="E566" s="22">
        <f t="shared" si="12"/>
        <v>527005.91122802231</v>
      </c>
      <c r="F566" s="22">
        <f t="shared" si="13"/>
        <v>323941.81620033237</v>
      </c>
      <c r="G566" s="17"/>
    </row>
    <row r="567" spans="1:7" x14ac:dyDescent="0.25">
      <c r="A567" s="4" t="s">
        <v>64</v>
      </c>
      <c r="B567" s="22">
        <f t="shared" si="9"/>
        <v>0</v>
      </c>
      <c r="C567" s="22">
        <f t="shared" si="10"/>
        <v>0</v>
      </c>
      <c r="D567" s="22">
        <f t="shared" si="11"/>
        <v>0</v>
      </c>
      <c r="E567" s="22">
        <f t="shared" si="12"/>
        <v>0</v>
      </c>
      <c r="F567" s="22">
        <f t="shared" si="13"/>
        <v>0</v>
      </c>
      <c r="G567" s="17"/>
    </row>
    <row r="568" spans="1:7" x14ac:dyDescent="0.25">
      <c r="A568" s="4" t="s">
        <v>65</v>
      </c>
      <c r="B568" s="22">
        <f t="shared" si="9"/>
        <v>0</v>
      </c>
      <c r="C568" s="22">
        <f t="shared" si="10"/>
        <v>0</v>
      </c>
      <c r="D568" s="22">
        <f t="shared" si="11"/>
        <v>0</v>
      </c>
      <c r="E568" s="22">
        <f t="shared" si="12"/>
        <v>0</v>
      </c>
      <c r="F568" s="22">
        <f t="shared" si="13"/>
        <v>0</v>
      </c>
      <c r="G568" s="17"/>
    </row>
    <row r="569" spans="1:7" x14ac:dyDescent="0.25">
      <c r="A569" s="4" t="s">
        <v>66</v>
      </c>
      <c r="B569" s="22">
        <f t="shared" si="9"/>
        <v>0</v>
      </c>
      <c r="C569" s="22">
        <f t="shared" si="10"/>
        <v>0</v>
      </c>
      <c r="D569" s="22">
        <f t="shared" si="11"/>
        <v>0</v>
      </c>
      <c r="E569" s="22">
        <f t="shared" si="12"/>
        <v>0</v>
      </c>
      <c r="F569" s="22">
        <f t="shared" si="13"/>
        <v>0</v>
      </c>
      <c r="G569" s="17"/>
    </row>
    <row r="570" spans="1:7" x14ac:dyDescent="0.25">
      <c r="A570" s="4" t="s">
        <v>67</v>
      </c>
      <c r="B570" s="22">
        <f t="shared" si="9"/>
        <v>0</v>
      </c>
      <c r="C570" s="22">
        <f t="shared" si="10"/>
        <v>0</v>
      </c>
      <c r="D570" s="22">
        <f t="shared" si="11"/>
        <v>0</v>
      </c>
      <c r="E570" s="22">
        <f t="shared" si="12"/>
        <v>0</v>
      </c>
      <c r="F570" s="22">
        <f t="shared" si="13"/>
        <v>0</v>
      </c>
      <c r="G570" s="17"/>
    </row>
    <row r="571" spans="1:7" ht="30" x14ac:dyDescent="0.25">
      <c r="A571" s="4" t="s">
        <v>68</v>
      </c>
      <c r="B571" s="22">
        <f t="shared" si="9"/>
        <v>0</v>
      </c>
      <c r="C571" s="22">
        <f t="shared" si="10"/>
        <v>0</v>
      </c>
      <c r="D571" s="22">
        <f t="shared" si="11"/>
        <v>0</v>
      </c>
      <c r="E571" s="22">
        <f t="shared" si="12"/>
        <v>0</v>
      </c>
      <c r="F571" s="22">
        <f t="shared" si="13"/>
        <v>0</v>
      </c>
      <c r="G571" s="17"/>
    </row>
    <row r="572" spans="1:7" x14ac:dyDescent="0.25">
      <c r="A572" s="4" t="s">
        <v>69</v>
      </c>
      <c r="B572" s="22">
        <f t="shared" si="9"/>
        <v>0</v>
      </c>
      <c r="C572" s="22">
        <f t="shared" si="10"/>
        <v>0</v>
      </c>
      <c r="D572" s="22">
        <f t="shared" si="11"/>
        <v>0</v>
      </c>
      <c r="E572" s="22">
        <f t="shared" si="12"/>
        <v>0</v>
      </c>
      <c r="F572" s="22">
        <f t="shared" si="13"/>
        <v>0</v>
      </c>
      <c r="G572" s="17"/>
    </row>
    <row r="573" spans="1:7" x14ac:dyDescent="0.25">
      <c r="A573" s="4" t="s">
        <v>70</v>
      </c>
      <c r="B573" s="22">
        <f t="shared" si="9"/>
        <v>0</v>
      </c>
      <c r="C573" s="22">
        <f t="shared" si="10"/>
        <v>0</v>
      </c>
      <c r="D573" s="22">
        <f t="shared" si="11"/>
        <v>0</v>
      </c>
      <c r="E573" s="22">
        <f t="shared" si="12"/>
        <v>0</v>
      </c>
      <c r="F573" s="22">
        <f t="shared" si="13"/>
        <v>0</v>
      </c>
      <c r="G573" s="17"/>
    </row>
    <row r="574" spans="1:7" x14ac:dyDescent="0.25">
      <c r="A574" s="4" t="s">
        <v>71</v>
      </c>
      <c r="B574" s="22">
        <f t="shared" si="9"/>
        <v>0</v>
      </c>
      <c r="C574" s="22">
        <f t="shared" si="10"/>
        <v>0</v>
      </c>
      <c r="D574" s="22">
        <f t="shared" si="11"/>
        <v>0</v>
      </c>
      <c r="E574" s="22">
        <f t="shared" si="12"/>
        <v>0</v>
      </c>
      <c r="F574" s="22">
        <f t="shared" si="13"/>
        <v>0</v>
      </c>
      <c r="G574" s="17"/>
    </row>
    <row r="575" spans="1:7" x14ac:dyDescent="0.25">
      <c r="A575" s="4" t="s">
        <v>72</v>
      </c>
      <c r="B575" s="22">
        <f t="shared" si="9"/>
        <v>0</v>
      </c>
      <c r="C575" s="22">
        <f t="shared" si="10"/>
        <v>0</v>
      </c>
      <c r="D575" s="22">
        <f t="shared" si="11"/>
        <v>0</v>
      </c>
      <c r="E575" s="22">
        <f t="shared" si="12"/>
        <v>0</v>
      </c>
      <c r="F575" s="22">
        <f t="shared" si="13"/>
        <v>0</v>
      </c>
      <c r="G575" s="17"/>
    </row>
    <row r="576" spans="1:7" x14ac:dyDescent="0.25">
      <c r="A576" s="4" t="s">
        <v>73</v>
      </c>
      <c r="B576" s="22">
        <f t="shared" si="9"/>
        <v>0</v>
      </c>
      <c r="C576" s="22">
        <f t="shared" si="10"/>
        <v>0</v>
      </c>
      <c r="D576" s="22">
        <f t="shared" si="11"/>
        <v>0</v>
      </c>
      <c r="E576" s="22">
        <f t="shared" si="12"/>
        <v>0</v>
      </c>
      <c r="F576" s="22">
        <f t="shared" si="13"/>
        <v>0</v>
      </c>
      <c r="G576" s="17"/>
    </row>
    <row r="577" spans="1:7" ht="30" x14ac:dyDescent="0.25">
      <c r="A577" s="4" t="s">
        <v>74</v>
      </c>
      <c r="B577" s="22">
        <f t="shared" si="9"/>
        <v>0</v>
      </c>
      <c r="C577" s="22">
        <f t="shared" si="10"/>
        <v>0</v>
      </c>
      <c r="D577" s="22">
        <f t="shared" si="11"/>
        <v>0</v>
      </c>
      <c r="E577" s="22">
        <f t="shared" si="12"/>
        <v>0</v>
      </c>
      <c r="F577" s="22">
        <f t="shared" si="13"/>
        <v>0</v>
      </c>
      <c r="G577" s="17"/>
    </row>
    <row r="578" spans="1:7" ht="30" x14ac:dyDescent="0.25">
      <c r="A578" s="4" t="s">
        <v>75</v>
      </c>
      <c r="B578" s="22">
        <f t="shared" si="9"/>
        <v>0</v>
      </c>
      <c r="C578" s="22">
        <f t="shared" si="10"/>
        <v>0</v>
      </c>
      <c r="D578" s="22">
        <f t="shared" si="11"/>
        <v>0</v>
      </c>
      <c r="E578" s="22">
        <f t="shared" si="12"/>
        <v>0</v>
      </c>
      <c r="F578" s="22">
        <f t="shared" si="13"/>
        <v>0</v>
      </c>
      <c r="G578" s="17"/>
    </row>
    <row r="580" spans="1:7" ht="21" customHeight="1" x14ac:dyDescent="0.3">
      <c r="A580" s="1" t="s">
        <v>293</v>
      </c>
    </row>
    <row r="581" spans="1:7" x14ac:dyDescent="0.25">
      <c r="A581" s="2" t="s">
        <v>197</v>
      </c>
    </row>
    <row r="582" spans="1:7" x14ac:dyDescent="0.25">
      <c r="A582" s="21" t="s">
        <v>294</v>
      </c>
    </row>
    <row r="583" spans="1:7" x14ac:dyDescent="0.25">
      <c r="A583" s="21" t="s">
        <v>295</v>
      </c>
    </row>
    <row r="584" spans="1:7" x14ac:dyDescent="0.25">
      <c r="A584" s="2" t="s">
        <v>286</v>
      </c>
    </row>
    <row r="586" spans="1:7" x14ac:dyDescent="0.25">
      <c r="B586" s="15" t="s">
        <v>194</v>
      </c>
      <c r="C586" s="15" t="s">
        <v>287</v>
      </c>
      <c r="D586" s="15" t="s">
        <v>38</v>
      </c>
      <c r="E586" s="15" t="s">
        <v>27</v>
      </c>
      <c r="F586" s="15" t="s">
        <v>39</v>
      </c>
    </row>
    <row r="587" spans="1:7" ht="30" x14ac:dyDescent="0.25">
      <c r="A587" s="4" t="s">
        <v>40</v>
      </c>
      <c r="B587" s="24">
        <f t="shared" ref="B587:F596" si="14">B546*(1-$C89)</f>
        <v>0</v>
      </c>
      <c r="C587" s="24">
        <f t="shared" si="14"/>
        <v>0</v>
      </c>
      <c r="D587" s="24">
        <f t="shared" si="14"/>
        <v>0</v>
      </c>
      <c r="E587" s="24">
        <f t="shared" si="14"/>
        <v>0</v>
      </c>
      <c r="F587" s="24">
        <f t="shared" si="14"/>
        <v>0</v>
      </c>
      <c r="G587" s="17"/>
    </row>
    <row r="588" spans="1:7" ht="30" x14ac:dyDescent="0.25">
      <c r="A588" s="4" t="s">
        <v>44</v>
      </c>
      <c r="B588" s="24">
        <f t="shared" si="14"/>
        <v>0</v>
      </c>
      <c r="C588" s="24">
        <f t="shared" si="14"/>
        <v>0</v>
      </c>
      <c r="D588" s="24">
        <f t="shared" si="14"/>
        <v>0</v>
      </c>
      <c r="E588" s="24">
        <f t="shared" si="14"/>
        <v>0</v>
      </c>
      <c r="F588" s="24">
        <f t="shared" si="14"/>
        <v>0</v>
      </c>
      <c r="G588" s="17"/>
    </row>
    <row r="589" spans="1:7" x14ac:dyDescent="0.25">
      <c r="A589" s="4" t="s">
        <v>45</v>
      </c>
      <c r="B589" s="24">
        <f t="shared" si="14"/>
        <v>387995.29189235362</v>
      </c>
      <c r="C589" s="24">
        <f t="shared" si="14"/>
        <v>657595.72314528585</v>
      </c>
      <c r="D589" s="24">
        <f t="shared" si="14"/>
        <v>164450.63249120821</v>
      </c>
      <c r="E589" s="24">
        <f t="shared" si="14"/>
        <v>671932.53681572841</v>
      </c>
      <c r="F589" s="24">
        <f t="shared" si="14"/>
        <v>413025.81565542374</v>
      </c>
      <c r="G589" s="17"/>
    </row>
    <row r="590" spans="1:7" x14ac:dyDescent="0.25">
      <c r="A590" s="4" t="s">
        <v>46</v>
      </c>
      <c r="B590" s="24">
        <f t="shared" si="14"/>
        <v>1429783.5092936663</v>
      </c>
      <c r="C590" s="24">
        <f t="shared" si="14"/>
        <v>2423275.5922100977</v>
      </c>
      <c r="D590" s="24">
        <f t="shared" si="14"/>
        <v>169445.06324912093</v>
      </c>
      <c r="E590" s="24">
        <f t="shared" si="14"/>
        <v>1826693.2536815731</v>
      </c>
      <c r="F590" s="24">
        <f t="shared" si="14"/>
        <v>500302.58156554273</v>
      </c>
      <c r="G590" s="17"/>
    </row>
    <row r="591" spans="1:7" x14ac:dyDescent="0.25">
      <c r="A591" s="4" t="s">
        <v>47</v>
      </c>
      <c r="B591" s="24">
        <f t="shared" si="14"/>
        <v>237511.52634701127</v>
      </c>
      <c r="C591" s="24">
        <f t="shared" si="14"/>
        <v>402547.57515675284</v>
      </c>
      <c r="D591" s="24">
        <f t="shared" si="14"/>
        <v>1240445.063249121</v>
      </c>
      <c r="E591" s="24">
        <f t="shared" si="14"/>
        <v>526193.25368157285</v>
      </c>
      <c r="F591" s="24">
        <f t="shared" si="14"/>
        <v>1800802.5815655426</v>
      </c>
      <c r="G591" s="17"/>
    </row>
    <row r="592" spans="1:7" x14ac:dyDescent="0.25">
      <c r="A592" s="4" t="s">
        <v>48</v>
      </c>
      <c r="B592" s="24">
        <f t="shared" si="14"/>
        <v>323312.2289876712</v>
      </c>
      <c r="C592" s="24">
        <f t="shared" si="14"/>
        <v>547967.31678344321</v>
      </c>
      <c r="D592" s="24">
        <f t="shared" si="14"/>
        <v>-3199.3619814769645</v>
      </c>
      <c r="E592" s="24">
        <f t="shared" si="14"/>
        <v>1794675.6972721184</v>
      </c>
      <c r="F592" s="24">
        <f t="shared" si="14"/>
        <v>473744.11893824395</v>
      </c>
      <c r="G592" s="17"/>
    </row>
    <row r="593" spans="1:7" x14ac:dyDescent="0.25">
      <c r="A593" s="4" t="s">
        <v>49</v>
      </c>
      <c r="B593" s="24">
        <f t="shared" si="14"/>
        <v>48111.416194651858</v>
      </c>
      <c r="C593" s="24">
        <f t="shared" si="14"/>
        <v>81541.86967001544</v>
      </c>
      <c r="D593" s="24">
        <f t="shared" si="14"/>
        <v>20391.878428909818</v>
      </c>
      <c r="E593" s="24">
        <f t="shared" si="14"/>
        <v>83319.634565150336</v>
      </c>
      <c r="F593" s="24">
        <f t="shared" si="14"/>
        <v>51215.201141272548</v>
      </c>
      <c r="G593" s="17"/>
    </row>
    <row r="594" spans="1:7" x14ac:dyDescent="0.25">
      <c r="A594" s="4" t="s">
        <v>50</v>
      </c>
      <c r="B594" s="24">
        <f t="shared" si="14"/>
        <v>280649.92780213582</v>
      </c>
      <c r="C594" s="24">
        <f t="shared" si="14"/>
        <v>475660.90640842344</v>
      </c>
      <c r="D594" s="24">
        <f t="shared" si="14"/>
        <v>118952.62416864061</v>
      </c>
      <c r="E594" s="24">
        <f t="shared" si="14"/>
        <v>486031.20163004362</v>
      </c>
      <c r="F594" s="24">
        <f t="shared" si="14"/>
        <v>298755.33999075659</v>
      </c>
      <c r="G594" s="17"/>
    </row>
    <row r="595" spans="1:7" x14ac:dyDescent="0.25">
      <c r="A595" s="4" t="s">
        <v>51</v>
      </c>
      <c r="B595" s="24">
        <f t="shared" si="14"/>
        <v>232538.51160748396</v>
      </c>
      <c r="C595" s="24">
        <f t="shared" si="14"/>
        <v>394119.03673840797</v>
      </c>
      <c r="D595" s="24">
        <f t="shared" si="14"/>
        <v>98560.745739730788</v>
      </c>
      <c r="E595" s="24">
        <f t="shared" si="14"/>
        <v>402711.56706489332</v>
      </c>
      <c r="F595" s="24">
        <f t="shared" si="14"/>
        <v>247540.13884948401</v>
      </c>
      <c r="G595" s="17"/>
    </row>
    <row r="596" spans="1:7" x14ac:dyDescent="0.25">
      <c r="A596" s="4" t="s">
        <v>52</v>
      </c>
      <c r="B596" s="24">
        <f t="shared" si="14"/>
        <v>577336.9943358223</v>
      </c>
      <c r="C596" s="24">
        <f t="shared" si="14"/>
        <v>978502.43604018539</v>
      </c>
      <c r="D596" s="24">
        <f t="shared" si="14"/>
        <v>244702.54114691782</v>
      </c>
      <c r="E596" s="24">
        <f t="shared" si="14"/>
        <v>999835.61478180403</v>
      </c>
      <c r="F596" s="24">
        <f t="shared" si="14"/>
        <v>614582.41369527066</v>
      </c>
      <c r="G596" s="17"/>
    </row>
    <row r="597" spans="1:7" x14ac:dyDescent="0.25">
      <c r="A597" s="4" t="s">
        <v>53</v>
      </c>
      <c r="B597" s="24">
        <f t="shared" ref="B597:F606" si="15">B556*(1-$C99)</f>
        <v>152352.8179497309</v>
      </c>
      <c r="C597" s="24">
        <f t="shared" si="15"/>
        <v>258215.92062171563</v>
      </c>
      <c r="D597" s="24">
        <f t="shared" si="15"/>
        <v>64574.281691547752</v>
      </c>
      <c r="E597" s="24">
        <f t="shared" si="15"/>
        <v>263845.50945630937</v>
      </c>
      <c r="F597" s="24">
        <f t="shared" si="15"/>
        <v>162181.47028069643</v>
      </c>
      <c r="G597" s="17"/>
    </row>
    <row r="598" spans="1:7" x14ac:dyDescent="0.25">
      <c r="A598" s="4" t="s">
        <v>54</v>
      </c>
      <c r="B598" s="24">
        <f t="shared" si="15"/>
        <v>80185.693657753101</v>
      </c>
      <c r="C598" s="24">
        <f t="shared" si="15"/>
        <v>135903.1161166924</v>
      </c>
      <c r="D598" s="24">
        <f t="shared" si="15"/>
        <v>33986.464048183036</v>
      </c>
      <c r="E598" s="24">
        <f t="shared" si="15"/>
        <v>138866.05760858388</v>
      </c>
      <c r="F598" s="24">
        <f t="shared" si="15"/>
        <v>85358.668568787587</v>
      </c>
      <c r="G598" s="17"/>
    </row>
    <row r="599" spans="1:7" x14ac:dyDescent="0.25">
      <c r="A599" s="4" t="s">
        <v>55</v>
      </c>
      <c r="B599" s="24">
        <f t="shared" si="15"/>
        <v>56129.985560427172</v>
      </c>
      <c r="C599" s="24">
        <f t="shared" si="15"/>
        <v>95132.181281684709</v>
      </c>
      <c r="D599" s="24">
        <f t="shared" si="15"/>
        <v>23790.524833728123</v>
      </c>
      <c r="E599" s="24">
        <f t="shared" si="15"/>
        <v>97206.24032600873</v>
      </c>
      <c r="F599" s="24">
        <f t="shared" si="15"/>
        <v>59751.067998151317</v>
      </c>
      <c r="G599" s="17"/>
    </row>
    <row r="600" spans="1:7" x14ac:dyDescent="0.25">
      <c r="A600" s="4" t="s">
        <v>56</v>
      </c>
      <c r="B600" s="24">
        <f t="shared" si="15"/>
        <v>72167.124291977787</v>
      </c>
      <c r="C600" s="24">
        <f t="shared" si="15"/>
        <v>122312.80450502317</v>
      </c>
      <c r="D600" s="24">
        <f t="shared" si="15"/>
        <v>30587.817643364728</v>
      </c>
      <c r="E600" s="24">
        <f t="shared" si="15"/>
        <v>124979.4518477255</v>
      </c>
      <c r="F600" s="24">
        <f t="shared" si="15"/>
        <v>76822.801711908833</v>
      </c>
      <c r="G600" s="17"/>
    </row>
    <row r="601" spans="1:7" x14ac:dyDescent="0.25">
      <c r="A601" s="4" t="s">
        <v>57</v>
      </c>
      <c r="B601" s="24">
        <f t="shared" si="15"/>
        <v>216501.37287593336</v>
      </c>
      <c r="C601" s="24">
        <f t="shared" si="15"/>
        <v>366938.41351506952</v>
      </c>
      <c r="D601" s="24">
        <f t="shared" si="15"/>
        <v>91763.452930094179</v>
      </c>
      <c r="E601" s="24">
        <f t="shared" si="15"/>
        <v>374938.35554317653</v>
      </c>
      <c r="F601" s="24">
        <f t="shared" si="15"/>
        <v>230468.4051357265</v>
      </c>
      <c r="G601" s="17"/>
    </row>
    <row r="602" spans="1:7" x14ac:dyDescent="0.25">
      <c r="A602" s="4" t="s">
        <v>58</v>
      </c>
      <c r="B602" s="24">
        <f t="shared" si="15"/>
        <v>0</v>
      </c>
      <c r="C602" s="24">
        <f t="shared" si="15"/>
        <v>0</v>
      </c>
      <c r="D602" s="24">
        <f t="shared" si="15"/>
        <v>0</v>
      </c>
      <c r="E602" s="24">
        <f t="shared" si="15"/>
        <v>0</v>
      </c>
      <c r="F602" s="24">
        <f t="shared" si="15"/>
        <v>0</v>
      </c>
      <c r="G602" s="17"/>
    </row>
    <row r="603" spans="1:7" x14ac:dyDescent="0.25">
      <c r="A603" s="4" t="s">
        <v>59</v>
      </c>
      <c r="B603" s="24">
        <f t="shared" si="15"/>
        <v>0</v>
      </c>
      <c r="C603" s="24">
        <f t="shared" si="15"/>
        <v>0</v>
      </c>
      <c r="D603" s="24">
        <f t="shared" si="15"/>
        <v>0</v>
      </c>
      <c r="E603" s="24">
        <f t="shared" si="15"/>
        <v>0</v>
      </c>
      <c r="F603" s="24">
        <f t="shared" si="15"/>
        <v>0</v>
      </c>
      <c r="G603" s="17"/>
    </row>
    <row r="604" spans="1:7" x14ac:dyDescent="0.25">
      <c r="A604" s="4" t="s">
        <v>60</v>
      </c>
      <c r="B604" s="24">
        <f t="shared" si="15"/>
        <v>72167.124291977787</v>
      </c>
      <c r="C604" s="24">
        <f t="shared" si="15"/>
        <v>122312.80450502317</v>
      </c>
      <c r="D604" s="24">
        <f t="shared" si="15"/>
        <v>30587.817643364728</v>
      </c>
      <c r="E604" s="24">
        <f t="shared" si="15"/>
        <v>124979.4518477255</v>
      </c>
      <c r="F604" s="24">
        <f t="shared" si="15"/>
        <v>76822.801711908833</v>
      </c>
      <c r="G604" s="17"/>
    </row>
    <row r="605" spans="1:7" x14ac:dyDescent="0.25">
      <c r="A605" s="4" t="s">
        <v>61</v>
      </c>
      <c r="B605" s="24">
        <f t="shared" si="15"/>
        <v>88204.263023528401</v>
      </c>
      <c r="C605" s="24">
        <f t="shared" si="15"/>
        <v>149493.42772836165</v>
      </c>
      <c r="D605" s="24">
        <f t="shared" si="15"/>
        <v>37385.110453001333</v>
      </c>
      <c r="E605" s="24">
        <f t="shared" si="15"/>
        <v>152752.66336944228</v>
      </c>
      <c r="F605" s="24">
        <f t="shared" si="15"/>
        <v>93894.535425666341</v>
      </c>
      <c r="G605" s="17"/>
    </row>
    <row r="606" spans="1:7" x14ac:dyDescent="0.25">
      <c r="A606" s="4" t="s">
        <v>62</v>
      </c>
      <c r="B606" s="24">
        <f t="shared" si="15"/>
        <v>465077.02321496792</v>
      </c>
      <c r="C606" s="24">
        <f t="shared" si="15"/>
        <v>788238.07347681595</v>
      </c>
      <c r="D606" s="24">
        <f t="shared" si="15"/>
        <v>197121.49147946158</v>
      </c>
      <c r="E606" s="24">
        <f t="shared" si="15"/>
        <v>805423.13412978663</v>
      </c>
      <c r="F606" s="24">
        <f t="shared" si="15"/>
        <v>495080.27769896801</v>
      </c>
      <c r="G606" s="17"/>
    </row>
    <row r="607" spans="1:7" x14ac:dyDescent="0.25">
      <c r="A607" s="4" t="s">
        <v>63</v>
      </c>
      <c r="B607" s="24">
        <f t="shared" ref="B607:F616" si="16">B566*(1-$C109)</f>
        <v>144334.24858395557</v>
      </c>
      <c r="C607" s="24">
        <f t="shared" si="16"/>
        <v>244625.60901004635</v>
      </c>
      <c r="D607" s="24">
        <f t="shared" si="16"/>
        <v>61175.635286729455</v>
      </c>
      <c r="E607" s="24">
        <f t="shared" si="16"/>
        <v>249958.90369545101</v>
      </c>
      <c r="F607" s="24">
        <f t="shared" si="16"/>
        <v>153645.60342381767</v>
      </c>
      <c r="G607" s="17"/>
    </row>
    <row r="608" spans="1:7" x14ac:dyDescent="0.25">
      <c r="A608" s="4" t="s">
        <v>64</v>
      </c>
      <c r="B608" s="24">
        <f t="shared" si="16"/>
        <v>0</v>
      </c>
      <c r="C608" s="24">
        <f t="shared" si="16"/>
        <v>0</v>
      </c>
      <c r="D608" s="24">
        <f t="shared" si="16"/>
        <v>0</v>
      </c>
      <c r="E608" s="24">
        <f t="shared" si="16"/>
        <v>0</v>
      </c>
      <c r="F608" s="24">
        <f t="shared" si="16"/>
        <v>0</v>
      </c>
      <c r="G608" s="17"/>
    </row>
    <row r="609" spans="1:7" x14ac:dyDescent="0.25">
      <c r="A609" s="4" t="s">
        <v>65</v>
      </c>
      <c r="B609" s="24">
        <f t="shared" si="16"/>
        <v>0</v>
      </c>
      <c r="C609" s="24">
        <f t="shared" si="16"/>
        <v>0</v>
      </c>
      <c r="D609" s="24">
        <f t="shared" si="16"/>
        <v>0</v>
      </c>
      <c r="E609" s="24">
        <f t="shared" si="16"/>
        <v>0</v>
      </c>
      <c r="F609" s="24">
        <f t="shared" si="16"/>
        <v>0</v>
      </c>
      <c r="G609" s="17"/>
    </row>
    <row r="610" spans="1:7" x14ac:dyDescent="0.25">
      <c r="A610" s="4" t="s">
        <v>66</v>
      </c>
      <c r="B610" s="24">
        <f t="shared" si="16"/>
        <v>0</v>
      </c>
      <c r="C610" s="24">
        <f t="shared" si="16"/>
        <v>0</v>
      </c>
      <c r="D610" s="24">
        <f t="shared" si="16"/>
        <v>0</v>
      </c>
      <c r="E610" s="24">
        <f t="shared" si="16"/>
        <v>0</v>
      </c>
      <c r="F610" s="24">
        <f t="shared" si="16"/>
        <v>0</v>
      </c>
      <c r="G610" s="17"/>
    </row>
    <row r="611" spans="1:7" x14ac:dyDescent="0.25">
      <c r="A611" s="4" t="s">
        <v>67</v>
      </c>
      <c r="B611" s="24">
        <f t="shared" si="16"/>
        <v>0</v>
      </c>
      <c r="C611" s="24">
        <f t="shared" si="16"/>
        <v>0</v>
      </c>
      <c r="D611" s="24">
        <f t="shared" si="16"/>
        <v>0</v>
      </c>
      <c r="E611" s="24">
        <f t="shared" si="16"/>
        <v>0</v>
      </c>
      <c r="F611" s="24">
        <f t="shared" si="16"/>
        <v>0</v>
      </c>
      <c r="G611" s="17"/>
    </row>
    <row r="612" spans="1:7" ht="30" x14ac:dyDescent="0.25">
      <c r="A612" s="4" t="s">
        <v>68</v>
      </c>
      <c r="B612" s="24">
        <f t="shared" si="16"/>
        <v>0</v>
      </c>
      <c r="C612" s="24">
        <f t="shared" si="16"/>
        <v>0</v>
      </c>
      <c r="D612" s="24">
        <f t="shared" si="16"/>
        <v>0</v>
      </c>
      <c r="E612" s="24">
        <f t="shared" si="16"/>
        <v>0</v>
      </c>
      <c r="F612" s="24">
        <f t="shared" si="16"/>
        <v>0</v>
      </c>
      <c r="G612" s="17"/>
    </row>
    <row r="613" spans="1:7" x14ac:dyDescent="0.25">
      <c r="A613" s="4" t="s">
        <v>69</v>
      </c>
      <c r="B613" s="24">
        <f t="shared" si="16"/>
        <v>0</v>
      </c>
      <c r="C613" s="24">
        <f t="shared" si="16"/>
        <v>0</v>
      </c>
      <c r="D613" s="24">
        <f t="shared" si="16"/>
        <v>0</v>
      </c>
      <c r="E613" s="24">
        <f t="shared" si="16"/>
        <v>0</v>
      </c>
      <c r="F613" s="24">
        <f t="shared" si="16"/>
        <v>0</v>
      </c>
      <c r="G613" s="17"/>
    </row>
    <row r="614" spans="1:7" x14ac:dyDescent="0.25">
      <c r="A614" s="4" t="s">
        <v>70</v>
      </c>
      <c r="B614" s="24">
        <f t="shared" si="16"/>
        <v>0</v>
      </c>
      <c r="C614" s="24">
        <f t="shared" si="16"/>
        <v>0</v>
      </c>
      <c r="D614" s="24">
        <f t="shared" si="16"/>
        <v>0</v>
      </c>
      <c r="E614" s="24">
        <f t="shared" si="16"/>
        <v>0</v>
      </c>
      <c r="F614" s="24">
        <f t="shared" si="16"/>
        <v>0</v>
      </c>
      <c r="G614" s="17"/>
    </row>
    <row r="615" spans="1:7" x14ac:dyDescent="0.25">
      <c r="A615" s="4" t="s">
        <v>71</v>
      </c>
      <c r="B615" s="24">
        <f t="shared" si="16"/>
        <v>0</v>
      </c>
      <c r="C615" s="24">
        <f t="shared" si="16"/>
        <v>0</v>
      </c>
      <c r="D615" s="24">
        <f t="shared" si="16"/>
        <v>0</v>
      </c>
      <c r="E615" s="24">
        <f t="shared" si="16"/>
        <v>0</v>
      </c>
      <c r="F615" s="24">
        <f t="shared" si="16"/>
        <v>0</v>
      </c>
      <c r="G615" s="17"/>
    </row>
    <row r="616" spans="1:7" x14ac:dyDescent="0.25">
      <c r="A616" s="4" t="s">
        <v>72</v>
      </c>
      <c r="B616" s="24">
        <f t="shared" si="16"/>
        <v>0</v>
      </c>
      <c r="C616" s="24">
        <f t="shared" si="16"/>
        <v>0</v>
      </c>
      <c r="D616" s="24">
        <f t="shared" si="16"/>
        <v>0</v>
      </c>
      <c r="E616" s="24">
        <f t="shared" si="16"/>
        <v>0</v>
      </c>
      <c r="F616" s="24">
        <f t="shared" si="16"/>
        <v>0</v>
      </c>
      <c r="G616" s="17"/>
    </row>
    <row r="617" spans="1:7" x14ac:dyDescent="0.25">
      <c r="A617" s="4" t="s">
        <v>73</v>
      </c>
      <c r="B617" s="24">
        <f t="shared" ref="B617:F619" si="17">B576*(1-$C119)</f>
        <v>0</v>
      </c>
      <c r="C617" s="24">
        <f t="shared" si="17"/>
        <v>0</v>
      </c>
      <c r="D617" s="24">
        <f t="shared" si="17"/>
        <v>0</v>
      </c>
      <c r="E617" s="24">
        <f t="shared" si="17"/>
        <v>0</v>
      </c>
      <c r="F617" s="24">
        <f t="shared" si="17"/>
        <v>0</v>
      </c>
      <c r="G617" s="17"/>
    </row>
    <row r="618" spans="1:7" ht="30" x14ac:dyDescent="0.25">
      <c r="A618" s="4" t="s">
        <v>74</v>
      </c>
      <c r="B618" s="24">
        <f t="shared" si="17"/>
        <v>0</v>
      </c>
      <c r="C618" s="24">
        <f t="shared" si="17"/>
        <v>0</v>
      </c>
      <c r="D618" s="24">
        <f t="shared" si="17"/>
        <v>0</v>
      </c>
      <c r="E618" s="24">
        <f t="shared" si="17"/>
        <v>0</v>
      </c>
      <c r="F618" s="24">
        <f t="shared" si="17"/>
        <v>0</v>
      </c>
      <c r="G618" s="17"/>
    </row>
    <row r="619" spans="1:7" ht="30" x14ac:dyDescent="0.25">
      <c r="A619" s="4" t="s">
        <v>75</v>
      </c>
      <c r="B619" s="24">
        <f t="shared" si="17"/>
        <v>0</v>
      </c>
      <c r="C619" s="24">
        <f t="shared" si="17"/>
        <v>0</v>
      </c>
      <c r="D619" s="24">
        <f t="shared" si="17"/>
        <v>0</v>
      </c>
      <c r="E619" s="24">
        <f t="shared" si="17"/>
        <v>0</v>
      </c>
      <c r="F619" s="24">
        <f t="shared" si="17"/>
        <v>0</v>
      </c>
      <c r="G619" s="17"/>
    </row>
    <row r="621" spans="1:7" ht="21" customHeight="1" x14ac:dyDescent="0.3">
      <c r="A621" s="1" t="s">
        <v>296</v>
      </c>
    </row>
    <row r="622" spans="1:7" x14ac:dyDescent="0.25">
      <c r="A622" s="2" t="s">
        <v>197</v>
      </c>
    </row>
    <row r="623" spans="1:7" x14ac:dyDescent="0.25">
      <c r="A623" s="21" t="s">
        <v>297</v>
      </c>
    </row>
    <row r="624" spans="1:7" x14ac:dyDescent="0.25">
      <c r="A624" s="2" t="s">
        <v>298</v>
      </c>
    </row>
    <row r="626" spans="1:7" x14ac:dyDescent="0.25">
      <c r="B626" s="15" t="s">
        <v>194</v>
      </c>
      <c r="C626" s="15" t="s">
        <v>287</v>
      </c>
      <c r="D626" s="15" t="s">
        <v>38</v>
      </c>
      <c r="E626" s="15" t="s">
        <v>27</v>
      </c>
      <c r="F626" s="15" t="s">
        <v>39</v>
      </c>
    </row>
    <row r="627" spans="1:7" x14ac:dyDescent="0.25">
      <c r="A627" s="4" t="s">
        <v>299</v>
      </c>
      <c r="B627" s="24">
        <f>SUM(B$587:B$619)</f>
        <v>4864359.059911048</v>
      </c>
      <c r="C627" s="24">
        <f>SUM(C$587:C$619)</f>
        <v>8244382.8069130434</v>
      </c>
      <c r="D627" s="24">
        <f>SUM(D$587:D$619)</f>
        <v>2624721.7825016472</v>
      </c>
      <c r="E627" s="24">
        <f>SUM(E$587:E$619)</f>
        <v>9124342.5273170937</v>
      </c>
      <c r="F627" s="24">
        <f>SUM(F$587:F$619)</f>
        <v>5833993.8233571677</v>
      </c>
      <c r="G627" s="17"/>
    </row>
    <row r="629" spans="1:7" ht="21" customHeight="1" x14ac:dyDescent="0.3">
      <c r="A629" s="1" t="s">
        <v>300</v>
      </c>
    </row>
    <row r="630" spans="1:7" x14ac:dyDescent="0.25">
      <c r="A630" s="2" t="s">
        <v>197</v>
      </c>
    </row>
    <row r="631" spans="1:7" x14ac:dyDescent="0.25">
      <c r="A631" s="21" t="s">
        <v>301</v>
      </c>
    </row>
    <row r="632" spans="1:7" x14ac:dyDescent="0.25">
      <c r="A632" s="2" t="s">
        <v>236</v>
      </c>
    </row>
    <row r="634" spans="1:7" x14ac:dyDescent="0.25">
      <c r="B634" s="15" t="s">
        <v>194</v>
      </c>
      <c r="C634" s="15" t="s">
        <v>287</v>
      </c>
      <c r="D634" s="15" t="s">
        <v>38</v>
      </c>
      <c r="E634" s="15" t="s">
        <v>27</v>
      </c>
      <c r="F634" s="15" t="s">
        <v>39</v>
      </c>
    </row>
    <row r="635" spans="1:7" x14ac:dyDescent="0.25">
      <c r="A635" s="4" t="s">
        <v>302</v>
      </c>
      <c r="B635" s="30">
        <f>B627/SUM($B$627:$F$627)</f>
        <v>0.1584905108175815</v>
      </c>
      <c r="C635" s="30">
        <f>C627/SUM($B$627:$F$627)</f>
        <v>0.26861841947728848</v>
      </c>
      <c r="D635" s="30">
        <f>D627/SUM($B$627:$F$627)</f>
        <v>8.5518665653420367E-2</v>
      </c>
      <c r="E635" s="30">
        <f>E627/SUM($B$627:$F$627)</f>
        <v>0.29728926056200983</v>
      </c>
      <c r="F635" s="30">
        <f>F627/SUM($B$627:$F$627)</f>
        <v>0.19008314348969979</v>
      </c>
      <c r="G635" s="17"/>
    </row>
    <row r="637" spans="1:7" ht="21" customHeight="1" x14ac:dyDescent="0.3">
      <c r="A637" s="1" t="s">
        <v>303</v>
      </c>
    </row>
    <row r="638" spans="1:7" x14ac:dyDescent="0.25">
      <c r="A638" s="2" t="s">
        <v>197</v>
      </c>
    </row>
    <row r="639" spans="1:7" x14ac:dyDescent="0.25">
      <c r="A639" s="21" t="s">
        <v>304</v>
      </c>
    </row>
    <row r="640" spans="1:7" x14ac:dyDescent="0.25">
      <c r="A640" s="2" t="s">
        <v>305</v>
      </c>
    </row>
    <row r="642" spans="1:6" x14ac:dyDescent="0.25">
      <c r="B642" s="15" t="s">
        <v>28</v>
      </c>
      <c r="C642" s="15" t="s">
        <v>38</v>
      </c>
      <c r="D642" s="15" t="s">
        <v>27</v>
      </c>
      <c r="E642" s="15" t="s">
        <v>39</v>
      </c>
    </row>
    <row r="643" spans="1:6" x14ac:dyDescent="0.25">
      <c r="A643" s="4" t="s">
        <v>306</v>
      </c>
      <c r="B643" s="30">
        <f>Input!$B$245/(Input!$B$245+Input!$B$246+Input!$B$247+Input!$B$248+Input!$B$249)</f>
        <v>0.18558934458027709</v>
      </c>
      <c r="C643" s="30">
        <f>Input!$B$246/(Input!$B$245+Input!$B$246+Input!$B$247+Input!$B$248+Input!$B$249)</f>
        <v>8.6838733515246361E-2</v>
      </c>
      <c r="D643" s="30">
        <f>Input!$B$247/(Input!$B$245+Input!$B$246+Input!$B$247+Input!$B$248+Input!$B$249)</f>
        <v>0.35034237125516859</v>
      </c>
      <c r="E643" s="30">
        <f>(Input!$B$248+Input!$B$249)/(Input!$B$245+Input!$B$246+Input!$B$247+Input!$B$248+Input!$B$249)</f>
        <v>0.37722955064930802</v>
      </c>
      <c r="F643" s="17"/>
    </row>
    <row r="645" spans="1:6" ht="21" customHeight="1" x14ac:dyDescent="0.3">
      <c r="A645" s="1" t="s">
        <v>307</v>
      </c>
    </row>
    <row r="646" spans="1:6" x14ac:dyDescent="0.25">
      <c r="A646" s="2" t="s">
        <v>197</v>
      </c>
    </row>
    <row r="647" spans="1:6" x14ac:dyDescent="0.25">
      <c r="A647" s="21" t="s">
        <v>308</v>
      </c>
    </row>
    <row r="648" spans="1:6" x14ac:dyDescent="0.25">
      <c r="A648" s="21" t="s">
        <v>252</v>
      </c>
    </row>
    <row r="649" spans="1:6" x14ac:dyDescent="0.25">
      <c r="A649" s="2" t="s">
        <v>253</v>
      </c>
    </row>
    <row r="651" spans="1:6" x14ac:dyDescent="0.25">
      <c r="B651" s="15" t="s">
        <v>28</v>
      </c>
      <c r="C651" s="15" t="s">
        <v>38</v>
      </c>
      <c r="D651" s="15" t="s">
        <v>27</v>
      </c>
      <c r="E651" s="15" t="s">
        <v>39</v>
      </c>
    </row>
    <row r="652" spans="1:6" ht="30" x14ac:dyDescent="0.25">
      <c r="A652" s="4" t="s">
        <v>309</v>
      </c>
      <c r="B652" s="30">
        <f>B643*B257/SUMPRODUCT($B$643:$E$643,$B$257:$E$257)</f>
        <v>0.20278295737989468</v>
      </c>
      <c r="C652" s="30">
        <f>C643*C257/SUMPRODUCT($B$643:$E$643,$B$257:$E$257)</f>
        <v>9.4883761980899942E-2</v>
      </c>
      <c r="D652" s="30">
        <f>D643*D257/SUMPRODUCT($B$643:$E$643,$B$257:$E$257)</f>
        <v>0.38279925121389757</v>
      </c>
      <c r="E652" s="30">
        <f>E643*E257/SUMPRODUCT($B$643:$E$643,$B$257:$E$257)</f>
        <v>0.31953402942530773</v>
      </c>
      <c r="F652" s="17"/>
    </row>
    <row r="654" spans="1:6" ht="21" customHeight="1" x14ac:dyDescent="0.3">
      <c r="A654" s="1" t="s">
        <v>310</v>
      </c>
    </row>
    <row r="655" spans="1:6" x14ac:dyDescent="0.25">
      <c r="A655" s="2" t="s">
        <v>197</v>
      </c>
    </row>
    <row r="656" spans="1:6" x14ac:dyDescent="0.25">
      <c r="A656" s="21" t="s">
        <v>311</v>
      </c>
    </row>
    <row r="657" spans="1:3" x14ac:dyDescent="0.25">
      <c r="A657" s="2" t="s">
        <v>272</v>
      </c>
    </row>
    <row r="659" spans="1:3" x14ac:dyDescent="0.25">
      <c r="B659" s="15" t="s">
        <v>28</v>
      </c>
    </row>
    <row r="660" spans="1:3" x14ac:dyDescent="0.25">
      <c r="A660" s="4" t="s">
        <v>312</v>
      </c>
      <c r="B660" s="32">
        <f>$B652</f>
        <v>0.20278295737989468</v>
      </c>
      <c r="C660" s="17"/>
    </row>
    <row r="662" spans="1:3" ht="21" customHeight="1" x14ac:dyDescent="0.3">
      <c r="A662" s="1" t="s">
        <v>313</v>
      </c>
    </row>
    <row r="663" spans="1:3" x14ac:dyDescent="0.25">
      <c r="A663" s="2" t="s">
        <v>197</v>
      </c>
    </row>
    <row r="664" spans="1:3" x14ac:dyDescent="0.25">
      <c r="A664" s="21" t="s">
        <v>314</v>
      </c>
    </row>
    <row r="665" spans="1:3" x14ac:dyDescent="0.25">
      <c r="A665" s="21" t="s">
        <v>315</v>
      </c>
    </row>
    <row r="666" spans="1:3" x14ac:dyDescent="0.25">
      <c r="A666" s="2" t="s">
        <v>284</v>
      </c>
    </row>
    <row r="668" spans="1:3" x14ac:dyDescent="0.25">
      <c r="B668" s="15" t="s">
        <v>194</v>
      </c>
    </row>
    <row r="669" spans="1:3" x14ac:dyDescent="0.25">
      <c r="A669" s="4" t="s">
        <v>316</v>
      </c>
      <c r="B669" s="30">
        <f>$B660*Input!$B$255</f>
        <v>8.3293046790200054E-2</v>
      </c>
      <c r="C669" s="17"/>
    </row>
    <row r="671" spans="1:3" ht="21" customHeight="1" x14ac:dyDescent="0.3">
      <c r="A671" s="1" t="s">
        <v>317</v>
      </c>
    </row>
    <row r="672" spans="1:3" x14ac:dyDescent="0.25">
      <c r="A672" s="2" t="s">
        <v>197</v>
      </c>
    </row>
    <row r="673" spans="1:7" x14ac:dyDescent="0.25">
      <c r="A673" s="21" t="s">
        <v>314</v>
      </c>
    </row>
    <row r="674" spans="1:7" x14ac:dyDescent="0.25">
      <c r="A674" s="21" t="s">
        <v>315</v>
      </c>
    </row>
    <row r="675" spans="1:7" x14ac:dyDescent="0.25">
      <c r="A675" s="2" t="s">
        <v>286</v>
      </c>
    </row>
    <row r="677" spans="1:7" x14ac:dyDescent="0.25">
      <c r="B677" s="15" t="s">
        <v>287</v>
      </c>
    </row>
    <row r="678" spans="1:7" x14ac:dyDescent="0.25">
      <c r="A678" s="4" t="s">
        <v>318</v>
      </c>
      <c r="B678" s="30">
        <f>$B660*(1-Input!$B$255)</f>
        <v>0.11948991058969463</v>
      </c>
      <c r="C678" s="17"/>
    </row>
    <row r="680" spans="1:7" ht="21" customHeight="1" x14ac:dyDescent="0.3">
      <c r="A680" s="1" t="s">
        <v>319</v>
      </c>
    </row>
    <row r="681" spans="1:7" x14ac:dyDescent="0.25">
      <c r="A681" s="2" t="s">
        <v>197</v>
      </c>
    </row>
    <row r="682" spans="1:7" x14ac:dyDescent="0.25">
      <c r="A682" s="21" t="s">
        <v>320</v>
      </c>
    </row>
    <row r="683" spans="1:7" x14ac:dyDescent="0.25">
      <c r="A683" s="21" t="s">
        <v>321</v>
      </c>
    </row>
    <row r="684" spans="1:7" x14ac:dyDescent="0.25">
      <c r="A684" s="21" t="s">
        <v>322</v>
      </c>
    </row>
    <row r="685" spans="1:7" x14ac:dyDescent="0.25">
      <c r="A685" s="2" t="s">
        <v>292</v>
      </c>
    </row>
    <row r="687" spans="1:7" x14ac:dyDescent="0.25">
      <c r="B687" s="15" t="s">
        <v>194</v>
      </c>
      <c r="C687" s="15" t="s">
        <v>287</v>
      </c>
      <c r="D687" s="15" t="s">
        <v>38</v>
      </c>
      <c r="E687" s="15" t="s">
        <v>27</v>
      </c>
      <c r="F687" s="15" t="s">
        <v>39</v>
      </c>
    </row>
    <row r="688" spans="1:7" ht="30" x14ac:dyDescent="0.25">
      <c r="A688" s="4" t="s">
        <v>323</v>
      </c>
      <c r="B688" s="32">
        <f>$B669</f>
        <v>8.3293046790200054E-2</v>
      </c>
      <c r="C688" s="32">
        <f>$B678</f>
        <v>0.11948991058969463</v>
      </c>
      <c r="D688" s="32">
        <f>$C652</f>
        <v>9.4883761980899942E-2</v>
      </c>
      <c r="E688" s="32">
        <f>$D652</f>
        <v>0.38279925121389757</v>
      </c>
      <c r="F688" s="32">
        <f>$E652</f>
        <v>0.31953402942530773</v>
      </c>
      <c r="G688" s="17"/>
    </row>
    <row r="690" spans="1:3" ht="21" customHeight="1" x14ac:dyDescent="0.3">
      <c r="A690" s="1" t="s">
        <v>324</v>
      </c>
    </row>
    <row r="691" spans="1:3" x14ac:dyDescent="0.25">
      <c r="A691" s="2" t="s">
        <v>197</v>
      </c>
    </row>
    <row r="692" spans="1:3" x14ac:dyDescent="0.25">
      <c r="A692" s="21" t="s">
        <v>325</v>
      </c>
    </row>
    <row r="693" spans="1:3" x14ac:dyDescent="0.25">
      <c r="A693" s="21" t="s">
        <v>326</v>
      </c>
    </row>
    <row r="694" spans="1:3" x14ac:dyDescent="0.25">
      <c r="A694" s="21" t="s">
        <v>327</v>
      </c>
    </row>
    <row r="695" spans="1:3" x14ac:dyDescent="0.25">
      <c r="A695" s="2" t="s">
        <v>328</v>
      </c>
    </row>
    <row r="697" spans="1:3" ht="45" x14ac:dyDescent="0.25">
      <c r="B697" s="15" t="s">
        <v>329</v>
      </c>
    </row>
    <row r="698" spans="1:3" ht="30" x14ac:dyDescent="0.25">
      <c r="A698" s="4" t="s">
        <v>329</v>
      </c>
      <c r="B698" s="30">
        <f>Input!D25/(Input!B25+Input!C25+Input!D25)</f>
        <v>0.34866192193176876</v>
      </c>
      <c r="C698" s="17"/>
    </row>
    <row r="700" spans="1:3" ht="21" customHeight="1" x14ac:dyDescent="0.3">
      <c r="A700" s="1" t="s">
        <v>330</v>
      </c>
    </row>
    <row r="701" spans="1:3" x14ac:dyDescent="0.25">
      <c r="A701" s="2" t="s">
        <v>197</v>
      </c>
    </row>
    <row r="702" spans="1:3" x14ac:dyDescent="0.25">
      <c r="A702" s="21" t="s">
        <v>260</v>
      </c>
    </row>
    <row r="703" spans="1:3" x14ac:dyDescent="0.25">
      <c r="A703" s="21" t="s">
        <v>331</v>
      </c>
    </row>
    <row r="704" spans="1:3" x14ac:dyDescent="0.25">
      <c r="A704" s="2" t="s">
        <v>332</v>
      </c>
    </row>
    <row r="706" spans="1:3" ht="45" x14ac:dyDescent="0.25">
      <c r="B706" s="15" t="s">
        <v>333</v>
      </c>
    </row>
    <row r="707" spans="1:3" ht="30" x14ac:dyDescent="0.25">
      <c r="A707" s="4" t="s">
        <v>333</v>
      </c>
      <c r="B707" s="24">
        <f>SUMIF($B$89:$B$121,"Deduct from revenue",Input!$B$117:$B$149)</f>
        <v>4200000</v>
      </c>
      <c r="C707" s="17"/>
    </row>
    <row r="709" spans="1:3" ht="21" customHeight="1" x14ac:dyDescent="0.3">
      <c r="A709" s="1" t="s">
        <v>334</v>
      </c>
    </row>
    <row r="710" spans="1:3" x14ac:dyDescent="0.25">
      <c r="A710" s="2" t="s">
        <v>197</v>
      </c>
    </row>
    <row r="711" spans="1:3" x14ac:dyDescent="0.25">
      <c r="A711" s="21" t="s">
        <v>335</v>
      </c>
    </row>
    <row r="712" spans="1:3" x14ac:dyDescent="0.25">
      <c r="A712" s="21" t="s">
        <v>336</v>
      </c>
    </row>
    <row r="713" spans="1:3" x14ac:dyDescent="0.25">
      <c r="A713" s="21" t="s">
        <v>337</v>
      </c>
    </row>
    <row r="714" spans="1:3" x14ac:dyDescent="0.25">
      <c r="A714" s="2" t="s">
        <v>338</v>
      </c>
    </row>
    <row r="716" spans="1:3" ht="60" x14ac:dyDescent="0.25">
      <c r="B716" s="15" t="s">
        <v>339</v>
      </c>
    </row>
    <row r="717" spans="1:3" ht="30" x14ac:dyDescent="0.25">
      <c r="A717" s="4" t="s">
        <v>339</v>
      </c>
      <c r="B717" s="24">
        <f>Input!B31-Input!C31-B707</f>
        <v>167630307.00000003</v>
      </c>
      <c r="C717" s="17"/>
    </row>
    <row r="719" spans="1:3" ht="21" customHeight="1" x14ac:dyDescent="0.3">
      <c r="A719" s="1" t="s">
        <v>340</v>
      </c>
    </row>
    <row r="720" spans="1:3" x14ac:dyDescent="0.25">
      <c r="A720" s="2" t="s">
        <v>197</v>
      </c>
    </row>
    <row r="721" spans="1:6" x14ac:dyDescent="0.25">
      <c r="A721" s="21" t="s">
        <v>341</v>
      </c>
    </row>
    <row r="722" spans="1:6" x14ac:dyDescent="0.25">
      <c r="A722" s="21" t="s">
        <v>342</v>
      </c>
    </row>
    <row r="723" spans="1:6" x14ac:dyDescent="0.25">
      <c r="A723" s="2" t="s">
        <v>343</v>
      </c>
    </row>
    <row r="725" spans="1:6" x14ac:dyDescent="0.25">
      <c r="B725" s="15" t="s">
        <v>28</v>
      </c>
      <c r="C725" s="15" t="s">
        <v>38</v>
      </c>
      <c r="D725" s="15" t="s">
        <v>27</v>
      </c>
      <c r="E725" s="15" t="s">
        <v>39</v>
      </c>
    </row>
    <row r="726" spans="1:6" x14ac:dyDescent="0.25">
      <c r="A726" s="4" t="s">
        <v>26</v>
      </c>
      <c r="B726" s="26"/>
      <c r="C726" s="26"/>
      <c r="D726" s="26"/>
      <c r="E726" s="24">
        <f>1000000*(1+Input!B$45/(Input!B$39+Input!B$38/2+Input!B$37/4)/4)/(1+Input!B$45/(Input!B$39+Input!B$38/2+Input!B$37/4))</f>
        <v>948696.46031973674</v>
      </c>
      <c r="F726" s="17"/>
    </row>
    <row r="727" spans="1:6" x14ac:dyDescent="0.25">
      <c r="A727" s="4" t="s">
        <v>27</v>
      </c>
      <c r="B727" s="26"/>
      <c r="C727" s="26"/>
      <c r="D727" s="24">
        <f>1000000*(1+Input!B$45/(Input!B$39+Input!B$38/2+Input!B$37/4)/2)/(1+Input!B$45/(Input!B$39+Input!B$38/2+Input!B$37/4))</f>
        <v>965797.64021315787</v>
      </c>
      <c r="E727" s="24">
        <f>1000000*(1+Input!B$45/(Input!B$39+Input!B$38/2+Input!B$37/4)/2)/(1+Input!B$45/(Input!B$39+Input!B$38/2+Input!B$37/4))</f>
        <v>965797.64021315787</v>
      </c>
      <c r="F727" s="17"/>
    </row>
    <row r="728" spans="1:6" x14ac:dyDescent="0.25">
      <c r="A728" s="4" t="s">
        <v>28</v>
      </c>
      <c r="B728" s="24">
        <f>1000000</f>
        <v>1000000</v>
      </c>
      <c r="C728" s="24">
        <f>1000000</f>
        <v>1000000</v>
      </c>
      <c r="D728" s="24">
        <f>1000000</f>
        <v>1000000</v>
      </c>
      <c r="E728" s="24">
        <f>1000000</f>
        <v>1000000</v>
      </c>
      <c r="F728" s="17"/>
    </row>
    <row r="730" spans="1:6" ht="21" customHeight="1" x14ac:dyDescent="0.3">
      <c r="A730" s="1" t="s">
        <v>344</v>
      </c>
    </row>
    <row r="731" spans="1:6" x14ac:dyDescent="0.25">
      <c r="A731" s="2" t="s">
        <v>197</v>
      </c>
    </row>
    <row r="732" spans="1:6" x14ac:dyDescent="0.25">
      <c r="A732" s="21" t="s">
        <v>345</v>
      </c>
    </row>
    <row r="733" spans="1:6" x14ac:dyDescent="0.25">
      <c r="A733" s="21" t="s">
        <v>342</v>
      </c>
    </row>
    <row r="734" spans="1:6" x14ac:dyDescent="0.25">
      <c r="A734" s="2" t="s">
        <v>232</v>
      </c>
    </row>
    <row r="736" spans="1:6" x14ac:dyDescent="0.25">
      <c r="B736" s="15" t="s">
        <v>28</v>
      </c>
      <c r="C736" s="15" t="s">
        <v>38</v>
      </c>
      <c r="D736" s="15" t="s">
        <v>27</v>
      </c>
      <c r="E736" s="15" t="s">
        <v>39</v>
      </c>
    </row>
    <row r="737" spans="1:6" ht="30" x14ac:dyDescent="0.25">
      <c r="A737" s="4" t="s">
        <v>346</v>
      </c>
      <c r="B737" s="24">
        <f>SUMPRODUCT(B$726:B$728,Input!$B$37:$B$39)</f>
        <v>7216204194.499999</v>
      </c>
      <c r="C737" s="24">
        <f>SUMPRODUCT(C$726:C$728,Input!$B$37:$B$39)</f>
        <v>7216204194.499999</v>
      </c>
      <c r="D737" s="24">
        <f>SUMPRODUCT(D$726:D$728,Input!$B$37:$B$39)</f>
        <v>9613418584.5807667</v>
      </c>
      <c r="E737" s="24">
        <f>SUMPRODUCT(E$726:E$728,Input!$B$37:$B$39)</f>
        <v>12416662877.464445</v>
      </c>
      <c r="F737" s="17"/>
    </row>
    <row r="739" spans="1:6" ht="21" customHeight="1" x14ac:dyDescent="0.3">
      <c r="A739" s="1" t="s">
        <v>347</v>
      </c>
    </row>
    <row r="740" spans="1:6" x14ac:dyDescent="0.25">
      <c r="A740" s="2" t="s">
        <v>197</v>
      </c>
    </row>
    <row r="741" spans="1:6" x14ac:dyDescent="0.25">
      <c r="A741" s="21" t="s">
        <v>348</v>
      </c>
    </row>
    <row r="742" spans="1:6" x14ac:dyDescent="0.25">
      <c r="A742" s="2" t="s">
        <v>272</v>
      </c>
    </row>
    <row r="744" spans="1:6" x14ac:dyDescent="0.25">
      <c r="B744" s="15" t="s">
        <v>28</v>
      </c>
    </row>
    <row r="745" spans="1:6" x14ac:dyDescent="0.25">
      <c r="A745" s="4" t="s">
        <v>349</v>
      </c>
      <c r="B745" s="22">
        <f>$B737</f>
        <v>7216204194.499999</v>
      </c>
      <c r="C745" s="17"/>
    </row>
    <row r="747" spans="1:6" ht="21" customHeight="1" x14ac:dyDescent="0.3">
      <c r="A747" s="1" t="s">
        <v>350</v>
      </c>
    </row>
    <row r="748" spans="1:6" x14ac:dyDescent="0.25">
      <c r="A748" s="2" t="s">
        <v>197</v>
      </c>
    </row>
    <row r="749" spans="1:6" x14ac:dyDescent="0.25">
      <c r="A749" s="21" t="s">
        <v>351</v>
      </c>
    </row>
    <row r="750" spans="1:6" x14ac:dyDescent="0.25">
      <c r="A750" s="2" t="s">
        <v>352</v>
      </c>
    </row>
    <row r="752" spans="1:6" x14ac:dyDescent="0.25">
      <c r="B752" s="15" t="s">
        <v>194</v>
      </c>
    </row>
    <row r="753" spans="1:3" x14ac:dyDescent="0.25">
      <c r="A753" s="4" t="s">
        <v>316</v>
      </c>
      <c r="B753" s="22">
        <f>$B745</f>
        <v>7216204194.499999</v>
      </c>
      <c r="C753" s="17"/>
    </row>
    <row r="755" spans="1:3" ht="21" customHeight="1" x14ac:dyDescent="0.3">
      <c r="A755" s="1" t="s">
        <v>353</v>
      </c>
    </row>
    <row r="756" spans="1:3" x14ac:dyDescent="0.25">
      <c r="A756" s="2" t="s">
        <v>197</v>
      </c>
    </row>
    <row r="757" spans="1:3" x14ac:dyDescent="0.25">
      <c r="A757" s="21" t="s">
        <v>351</v>
      </c>
    </row>
    <row r="758" spans="1:3" x14ac:dyDescent="0.25">
      <c r="A758" s="2" t="s">
        <v>352</v>
      </c>
    </row>
    <row r="760" spans="1:3" x14ac:dyDescent="0.25">
      <c r="B760" s="15" t="s">
        <v>287</v>
      </c>
    </row>
    <row r="761" spans="1:3" x14ac:dyDescent="0.25">
      <c r="A761" s="4" t="s">
        <v>318</v>
      </c>
      <c r="B761" s="22">
        <f>$B745</f>
        <v>7216204194.499999</v>
      </c>
      <c r="C761" s="17"/>
    </row>
    <row r="763" spans="1:3" ht="21" customHeight="1" x14ac:dyDescent="0.3">
      <c r="A763" s="1" t="s">
        <v>354</v>
      </c>
    </row>
    <row r="764" spans="1:3" x14ac:dyDescent="0.25">
      <c r="A764" s="2" t="s">
        <v>197</v>
      </c>
    </row>
    <row r="765" spans="1:3" x14ac:dyDescent="0.25">
      <c r="A765" s="21" t="s">
        <v>355</v>
      </c>
    </row>
    <row r="766" spans="1:3" x14ac:dyDescent="0.25">
      <c r="A766" s="21" t="s">
        <v>356</v>
      </c>
    </row>
    <row r="767" spans="1:3" x14ac:dyDescent="0.25">
      <c r="A767" s="21" t="s">
        <v>357</v>
      </c>
    </row>
    <row r="768" spans="1:3" x14ac:dyDescent="0.25">
      <c r="A768" s="2" t="s">
        <v>292</v>
      </c>
    </row>
    <row r="770" spans="1:7" x14ac:dyDescent="0.25">
      <c r="B770" s="15" t="s">
        <v>194</v>
      </c>
      <c r="C770" s="15" t="s">
        <v>287</v>
      </c>
      <c r="D770" s="15" t="s">
        <v>38</v>
      </c>
      <c r="E770" s="15" t="s">
        <v>27</v>
      </c>
      <c r="F770" s="15" t="s">
        <v>39</v>
      </c>
    </row>
    <row r="771" spans="1:7" x14ac:dyDescent="0.25">
      <c r="A771" s="4" t="s">
        <v>358</v>
      </c>
      <c r="B771" s="22">
        <f>$B753</f>
        <v>7216204194.499999</v>
      </c>
      <c r="C771" s="22">
        <f>$B761</f>
        <v>7216204194.499999</v>
      </c>
      <c r="D771" s="22">
        <f>$C737</f>
        <v>7216204194.499999</v>
      </c>
      <c r="E771" s="22">
        <f>$D737</f>
        <v>9613418584.5807667</v>
      </c>
      <c r="F771" s="22">
        <f>$E737</f>
        <v>12416662877.464445</v>
      </c>
      <c r="G771" s="17"/>
    </row>
    <row r="773" spans="1:7" ht="21" customHeight="1" x14ac:dyDescent="0.3">
      <c r="A773" s="1" t="s">
        <v>359</v>
      </c>
    </row>
    <row r="774" spans="1:7" x14ac:dyDescent="0.25">
      <c r="A774" s="2" t="s">
        <v>197</v>
      </c>
    </row>
    <row r="775" spans="1:7" x14ac:dyDescent="0.25">
      <c r="A775" s="21" t="s">
        <v>360</v>
      </c>
    </row>
    <row r="776" spans="1:7" x14ac:dyDescent="0.25">
      <c r="A776" s="21" t="s">
        <v>361</v>
      </c>
    </row>
    <row r="777" spans="1:7" x14ac:dyDescent="0.25">
      <c r="A777" s="21" t="s">
        <v>362</v>
      </c>
    </row>
    <row r="778" spans="1:7" x14ac:dyDescent="0.25">
      <c r="A778" s="21" t="s">
        <v>363</v>
      </c>
    </row>
    <row r="779" spans="1:7" x14ac:dyDescent="0.25">
      <c r="A779" s="21" t="s">
        <v>364</v>
      </c>
    </row>
    <row r="780" spans="1:7" x14ac:dyDescent="0.25">
      <c r="A780" s="21" t="s">
        <v>365</v>
      </c>
    </row>
    <row r="781" spans="1:7" x14ac:dyDescent="0.25">
      <c r="A781" s="2" t="s">
        <v>366</v>
      </c>
    </row>
    <row r="783" spans="1:7" x14ac:dyDescent="0.25">
      <c r="B783" s="15" t="s">
        <v>194</v>
      </c>
      <c r="C783" s="15" t="s">
        <v>287</v>
      </c>
      <c r="D783" s="15" t="s">
        <v>38</v>
      </c>
      <c r="E783" s="15" t="s">
        <v>27</v>
      </c>
      <c r="F783" s="15" t="s">
        <v>39</v>
      </c>
    </row>
    <row r="784" spans="1:7" x14ac:dyDescent="0.25">
      <c r="A784" s="4" t="s">
        <v>367</v>
      </c>
      <c r="B784" s="33">
        <f>(((1-$B698)*B688+$B698*B635)*$B717+Input!$B51*B635)/B771*100</f>
        <v>0.26394605989255271</v>
      </c>
      <c r="C784" s="33">
        <f>(((1-$B698)*C688+$B698*C635)*$B717+Input!$B51*C635)/C771*100</f>
        <v>0.41454800932050667</v>
      </c>
      <c r="D784" s="33">
        <f>(((1-$B698)*D688+$B698*D635)*$B717+Input!$B51*D635)/D771*100</f>
        <v>0.2179822611079387</v>
      </c>
      <c r="E784" s="33">
        <f>(((1-$B698)*E688+$B698*E635)*$B717+Input!$B51*E635)/E771*100</f>
        <v>0.62895650237796996</v>
      </c>
      <c r="F784" s="33">
        <f>(((1-$B698)*F688+$B698*F635)*$B717+Input!$B51*F635)/F771*100</f>
        <v>0.37711036872175574</v>
      </c>
      <c r="G784" s="17"/>
    </row>
    <row r="786" spans="1:3" ht="21" customHeight="1" x14ac:dyDescent="0.3">
      <c r="A786" s="1" t="s">
        <v>368</v>
      </c>
    </row>
    <row r="787" spans="1:3" x14ac:dyDescent="0.25">
      <c r="A787" s="2" t="s">
        <v>197</v>
      </c>
    </row>
    <row r="788" spans="1:3" x14ac:dyDescent="0.25">
      <c r="A788" s="21" t="s">
        <v>369</v>
      </c>
    </row>
    <row r="789" spans="1:3" x14ac:dyDescent="0.25">
      <c r="A789" s="21" t="s">
        <v>370</v>
      </c>
    </row>
    <row r="790" spans="1:3" x14ac:dyDescent="0.25">
      <c r="A790" s="21" t="s">
        <v>371</v>
      </c>
    </row>
    <row r="791" spans="1:3" x14ac:dyDescent="0.25">
      <c r="A791" s="2" t="s">
        <v>372</v>
      </c>
    </row>
    <row r="793" spans="1:3" x14ac:dyDescent="0.25">
      <c r="B793" s="15" t="s">
        <v>39</v>
      </c>
    </row>
    <row r="794" spans="1:3" x14ac:dyDescent="0.25">
      <c r="A794" s="4" t="s">
        <v>373</v>
      </c>
      <c r="B794" s="33">
        <f>100*(Input!$C31+$B707)/$F771</f>
        <v>5.398301513174987E-2</v>
      </c>
      <c r="C794" s="17"/>
    </row>
    <row r="796" spans="1:3" ht="21" customHeight="1" x14ac:dyDescent="0.3">
      <c r="A796" s="1" t="s">
        <v>374</v>
      </c>
    </row>
    <row r="797" spans="1:3" x14ac:dyDescent="0.25">
      <c r="A797" s="2" t="s">
        <v>197</v>
      </c>
    </row>
    <row r="798" spans="1:3" x14ac:dyDescent="0.25">
      <c r="A798" s="21" t="s">
        <v>375</v>
      </c>
    </row>
    <row r="799" spans="1:3" x14ac:dyDescent="0.25">
      <c r="A799" s="21" t="s">
        <v>376</v>
      </c>
    </row>
    <row r="800" spans="1:3" x14ac:dyDescent="0.25">
      <c r="A800" s="2" t="s">
        <v>377</v>
      </c>
    </row>
    <row r="802" spans="1:7" x14ac:dyDescent="0.25">
      <c r="B802" s="15" t="s">
        <v>194</v>
      </c>
      <c r="C802" s="15" t="s">
        <v>287</v>
      </c>
      <c r="D802" s="15" t="s">
        <v>38</v>
      </c>
      <c r="E802" s="15" t="s">
        <v>27</v>
      </c>
      <c r="F802" s="15" t="s">
        <v>39</v>
      </c>
    </row>
    <row r="803" spans="1:7" x14ac:dyDescent="0.25">
      <c r="A803" s="4" t="s">
        <v>378</v>
      </c>
      <c r="B803" s="30">
        <f>B784/(SUM($B$784:$F$784)+$B794)</f>
        <v>0.13490545521932376</v>
      </c>
      <c r="C803" s="30">
        <f>C784/(SUM($B$784:$F$784)+$B794)</f>
        <v>0.21187960877466144</v>
      </c>
      <c r="D803" s="30">
        <f>D784/(SUM($B$784:$F$784)+$B794)</f>
        <v>0.11141290071340705</v>
      </c>
      <c r="E803" s="30">
        <f>E784/(SUM($B$784:$F$784)+$B794)</f>
        <v>0.32146592110901134</v>
      </c>
      <c r="F803" s="30">
        <f>F784/(SUM($B$784:$F$784)+$B794)</f>
        <v>0.192744858479969</v>
      </c>
      <c r="G803" s="17"/>
    </row>
    <row r="805" spans="1:7" ht="21" customHeight="1" x14ac:dyDescent="0.3">
      <c r="A805" s="1" t="s">
        <v>379</v>
      </c>
    </row>
    <row r="806" spans="1:7" x14ac:dyDescent="0.25">
      <c r="A806" s="2" t="s">
        <v>197</v>
      </c>
    </row>
    <row r="807" spans="1:7" x14ac:dyDescent="0.25">
      <c r="A807" s="21" t="s">
        <v>380</v>
      </c>
    </row>
    <row r="808" spans="1:7" x14ac:dyDescent="0.25">
      <c r="A808" s="23" t="s">
        <v>204</v>
      </c>
      <c r="B808" s="23" t="s">
        <v>205</v>
      </c>
      <c r="C808" s="23" t="s">
        <v>205</v>
      </c>
      <c r="D808" s="23" t="s">
        <v>205</v>
      </c>
      <c r="E808" s="23" t="s">
        <v>205</v>
      </c>
    </row>
    <row r="809" spans="1:7" x14ac:dyDescent="0.25">
      <c r="A809" s="23" t="s">
        <v>207</v>
      </c>
      <c r="B809" s="23" t="s">
        <v>208</v>
      </c>
      <c r="C809" s="23" t="s">
        <v>208</v>
      </c>
      <c r="D809" s="23" t="s">
        <v>208</v>
      </c>
      <c r="E809" s="23" t="s">
        <v>208</v>
      </c>
    </row>
    <row r="811" spans="1:7" x14ac:dyDescent="0.25">
      <c r="B811" s="15" t="s">
        <v>381</v>
      </c>
      <c r="C811" s="15" t="s">
        <v>382</v>
      </c>
      <c r="D811" s="15" t="s">
        <v>383</v>
      </c>
      <c r="E811" s="15" t="s">
        <v>384</v>
      </c>
    </row>
    <row r="812" spans="1:7" x14ac:dyDescent="0.25">
      <c r="A812" s="4" t="s">
        <v>385</v>
      </c>
      <c r="B812" s="32">
        <f>$B803</f>
        <v>0.13490545521932376</v>
      </c>
      <c r="C812" s="32">
        <f>$C803</f>
        <v>0.21187960877466144</v>
      </c>
      <c r="D812" s="32">
        <f>$D803</f>
        <v>0.11141290071340705</v>
      </c>
      <c r="E812" s="32">
        <f>$E803</f>
        <v>0.32146592110901134</v>
      </c>
      <c r="F812" s="17"/>
    </row>
    <row r="814" spans="1:7" ht="21" customHeight="1" x14ac:dyDescent="0.3">
      <c r="A814" s="1" t="s">
        <v>386</v>
      </c>
    </row>
    <row r="815" spans="1:7" x14ac:dyDescent="0.25">
      <c r="A815" s="2" t="s">
        <v>197</v>
      </c>
    </row>
    <row r="816" spans="1:7" x14ac:dyDescent="0.25">
      <c r="A816" s="21" t="s">
        <v>271</v>
      </c>
    </row>
    <row r="817" spans="1:6" x14ac:dyDescent="0.25">
      <c r="A817" s="2" t="s">
        <v>387</v>
      </c>
    </row>
    <row r="819" spans="1:6" x14ac:dyDescent="0.25">
      <c r="B819" s="15" t="s">
        <v>28</v>
      </c>
      <c r="C819" s="15" t="s">
        <v>38</v>
      </c>
      <c r="D819" s="15" t="s">
        <v>27</v>
      </c>
      <c r="E819" s="15" t="s">
        <v>39</v>
      </c>
    </row>
    <row r="820" spans="1:6" ht="30" x14ac:dyDescent="0.25">
      <c r="A820" s="4" t="s">
        <v>40</v>
      </c>
      <c r="B820" s="24">
        <f t="shared" ref="B820:E839" si="18">MAX(0,B331)</f>
        <v>609999.99999999942</v>
      </c>
      <c r="C820" s="24">
        <f t="shared" si="18"/>
        <v>0</v>
      </c>
      <c r="D820" s="24">
        <f t="shared" si="18"/>
        <v>1020000</v>
      </c>
      <c r="E820" s="24">
        <f t="shared" si="18"/>
        <v>2655000.0000000005</v>
      </c>
      <c r="F820" s="17"/>
    </row>
    <row r="821" spans="1:6" ht="30" x14ac:dyDescent="0.25">
      <c r="A821" s="4" t="s">
        <v>44</v>
      </c>
      <c r="B821" s="24">
        <f t="shared" si="18"/>
        <v>5245559.5213524001</v>
      </c>
      <c r="C821" s="24">
        <f t="shared" si="18"/>
        <v>4207165.6049015773</v>
      </c>
      <c r="D821" s="24">
        <f t="shared" si="18"/>
        <v>14329278.106179332</v>
      </c>
      <c r="E821" s="24">
        <f t="shared" si="18"/>
        <v>8517996.7675666846</v>
      </c>
      <c r="F821" s="17"/>
    </row>
    <row r="822" spans="1:6" x14ac:dyDescent="0.25">
      <c r="A822" s="4" t="s">
        <v>45</v>
      </c>
      <c r="B822" s="24">
        <f t="shared" si="18"/>
        <v>1366785.6405720776</v>
      </c>
      <c r="C822" s="24">
        <f t="shared" si="18"/>
        <v>214968.14704733097</v>
      </c>
      <c r="D822" s="24">
        <f t="shared" si="18"/>
        <v>878343.18538003718</v>
      </c>
      <c r="E822" s="24">
        <f t="shared" si="18"/>
        <v>539903.02700055391</v>
      </c>
      <c r="F822" s="17"/>
    </row>
    <row r="823" spans="1:6" x14ac:dyDescent="0.25">
      <c r="A823" s="4" t="s">
        <v>46</v>
      </c>
      <c r="B823" s="24">
        <f t="shared" si="18"/>
        <v>5036678.5640572077</v>
      </c>
      <c r="C823" s="24">
        <f t="shared" si="18"/>
        <v>221496.81470473323</v>
      </c>
      <c r="D823" s="24">
        <f t="shared" si="18"/>
        <v>2387834.3185380041</v>
      </c>
      <c r="E823" s="24">
        <f t="shared" si="18"/>
        <v>653990.30270005588</v>
      </c>
      <c r="F823" s="17"/>
    </row>
    <row r="824" spans="1:6" x14ac:dyDescent="0.25">
      <c r="A824" s="4" t="s">
        <v>47</v>
      </c>
      <c r="B824" s="24">
        <f t="shared" si="18"/>
        <v>836678.5640572079</v>
      </c>
      <c r="C824" s="24">
        <f t="shared" si="18"/>
        <v>1621496.8147047332</v>
      </c>
      <c r="D824" s="24">
        <f t="shared" si="18"/>
        <v>687834.31853800372</v>
      </c>
      <c r="E824" s="24">
        <f t="shared" si="18"/>
        <v>2353990.3027000558</v>
      </c>
      <c r="F824" s="17"/>
    </row>
    <row r="825" spans="1:6" x14ac:dyDescent="0.25">
      <c r="A825" s="4" t="s">
        <v>48</v>
      </c>
      <c r="B825" s="24">
        <f t="shared" si="18"/>
        <v>1138927.5108119142</v>
      </c>
      <c r="C825" s="24">
        <f t="shared" si="18"/>
        <v>0</v>
      </c>
      <c r="D825" s="24">
        <f t="shared" si="18"/>
        <v>2345981.3036236842</v>
      </c>
      <c r="E825" s="24">
        <f t="shared" si="18"/>
        <v>619273.35808920779</v>
      </c>
      <c r="F825" s="17"/>
    </row>
    <row r="826" spans="1:6" x14ac:dyDescent="0.25">
      <c r="A826" s="4" t="s">
        <v>49</v>
      </c>
      <c r="B826" s="24">
        <f t="shared" si="18"/>
        <v>273357.12811441551</v>
      </c>
      <c r="C826" s="24">
        <f t="shared" si="18"/>
        <v>42993.629409466193</v>
      </c>
      <c r="D826" s="24">
        <f t="shared" si="18"/>
        <v>175668.63707600744</v>
      </c>
      <c r="E826" s="24">
        <f t="shared" si="18"/>
        <v>107980.60540011078</v>
      </c>
      <c r="F826" s="17"/>
    </row>
    <row r="827" spans="1:6" x14ac:dyDescent="0.25">
      <c r="A827" s="4" t="s">
        <v>50</v>
      </c>
      <c r="B827" s="24">
        <f t="shared" si="18"/>
        <v>1594583.2473340905</v>
      </c>
      <c r="C827" s="24">
        <f t="shared" si="18"/>
        <v>250796.17155521948</v>
      </c>
      <c r="D827" s="24">
        <f t="shared" si="18"/>
        <v>1024733.71627671</v>
      </c>
      <c r="E827" s="24">
        <f t="shared" si="18"/>
        <v>629886.86483397963</v>
      </c>
      <c r="F827" s="17"/>
    </row>
    <row r="828" spans="1:6" x14ac:dyDescent="0.25">
      <c r="A828" s="4" t="s">
        <v>51</v>
      </c>
      <c r="B828" s="24">
        <f t="shared" si="18"/>
        <v>1321226.119219675</v>
      </c>
      <c r="C828" s="24">
        <f t="shared" si="18"/>
        <v>207802.54214575328</v>
      </c>
      <c r="D828" s="24">
        <f t="shared" si="18"/>
        <v>849065.0792007026</v>
      </c>
      <c r="E828" s="24">
        <f t="shared" si="18"/>
        <v>521906.25943386881</v>
      </c>
      <c r="F828" s="17"/>
    </row>
    <row r="829" spans="1:6" x14ac:dyDescent="0.25">
      <c r="A829" s="4" t="s">
        <v>52</v>
      </c>
      <c r="B829" s="24">
        <f t="shared" si="18"/>
        <v>3280285.5373729863</v>
      </c>
      <c r="C829" s="24">
        <f t="shared" si="18"/>
        <v>515923.55291359435</v>
      </c>
      <c r="D829" s="24">
        <f t="shared" si="18"/>
        <v>2108023.6449120892</v>
      </c>
      <c r="E829" s="24">
        <f t="shared" si="18"/>
        <v>1295767.2648013295</v>
      </c>
      <c r="F829" s="17"/>
    </row>
    <row r="830" spans="1:6" x14ac:dyDescent="0.25">
      <c r="A830" s="4" t="s">
        <v>53</v>
      </c>
      <c r="B830" s="24">
        <f t="shared" si="18"/>
        <v>865630.90569564921</v>
      </c>
      <c r="C830" s="24">
        <f t="shared" si="18"/>
        <v>136146.49312997627</v>
      </c>
      <c r="D830" s="24">
        <f t="shared" si="18"/>
        <v>556284.01740735688</v>
      </c>
      <c r="E830" s="24">
        <f t="shared" si="18"/>
        <v>341938.58376701752</v>
      </c>
      <c r="F830" s="17"/>
    </row>
    <row r="831" spans="1:6" x14ac:dyDescent="0.25">
      <c r="A831" s="4" t="s">
        <v>54</v>
      </c>
      <c r="B831" s="24">
        <f t="shared" si="18"/>
        <v>455595.21352402586</v>
      </c>
      <c r="C831" s="24">
        <f t="shared" si="18"/>
        <v>71656.049015776996</v>
      </c>
      <c r="D831" s="24">
        <f t="shared" si="18"/>
        <v>292781.06179334573</v>
      </c>
      <c r="E831" s="24">
        <f t="shared" si="18"/>
        <v>179967.67566685131</v>
      </c>
      <c r="F831" s="17"/>
    </row>
    <row r="832" spans="1:6" x14ac:dyDescent="0.25">
      <c r="A832" s="4" t="s">
        <v>55</v>
      </c>
      <c r="B832" s="24">
        <f t="shared" si="18"/>
        <v>318916.64946681814</v>
      </c>
      <c r="C832" s="24">
        <f t="shared" si="18"/>
        <v>50159.234311043896</v>
      </c>
      <c r="D832" s="24">
        <f t="shared" si="18"/>
        <v>204946.74325534201</v>
      </c>
      <c r="E832" s="24">
        <f t="shared" si="18"/>
        <v>125977.37296679593</v>
      </c>
      <c r="F832" s="17"/>
    </row>
    <row r="833" spans="1:6" x14ac:dyDescent="0.25">
      <c r="A833" s="4" t="s">
        <v>56</v>
      </c>
      <c r="B833" s="24">
        <f t="shared" si="18"/>
        <v>410035.69217162329</v>
      </c>
      <c r="C833" s="24">
        <f t="shared" si="18"/>
        <v>64490.444114199294</v>
      </c>
      <c r="D833" s="24">
        <f t="shared" si="18"/>
        <v>263502.95561401115</v>
      </c>
      <c r="E833" s="24">
        <f t="shared" si="18"/>
        <v>161970.90810016618</v>
      </c>
      <c r="F833" s="17"/>
    </row>
    <row r="834" spans="1:6" x14ac:dyDescent="0.25">
      <c r="A834" s="4" t="s">
        <v>57</v>
      </c>
      <c r="B834" s="24">
        <f t="shared" si="18"/>
        <v>1230107.0765148699</v>
      </c>
      <c r="C834" s="24">
        <f t="shared" si="18"/>
        <v>193471.33234259786</v>
      </c>
      <c r="D834" s="24">
        <f t="shared" si="18"/>
        <v>790508.86684203346</v>
      </c>
      <c r="E834" s="24">
        <f t="shared" si="18"/>
        <v>485912.72430049855</v>
      </c>
      <c r="F834" s="17"/>
    </row>
    <row r="835" spans="1:6" x14ac:dyDescent="0.25">
      <c r="A835" s="4" t="s">
        <v>58</v>
      </c>
      <c r="B835" s="24">
        <f t="shared" si="18"/>
        <v>0</v>
      </c>
      <c r="C835" s="24">
        <f t="shared" si="18"/>
        <v>0</v>
      </c>
      <c r="D835" s="24">
        <f t="shared" si="18"/>
        <v>0</v>
      </c>
      <c r="E835" s="24">
        <f t="shared" si="18"/>
        <v>0</v>
      </c>
      <c r="F835" s="17"/>
    </row>
    <row r="836" spans="1:6" x14ac:dyDescent="0.25">
      <c r="A836" s="4" t="s">
        <v>59</v>
      </c>
      <c r="B836" s="24">
        <f t="shared" si="18"/>
        <v>0</v>
      </c>
      <c r="C836" s="24">
        <f t="shared" si="18"/>
        <v>0</v>
      </c>
      <c r="D836" s="24">
        <f t="shared" si="18"/>
        <v>0</v>
      </c>
      <c r="E836" s="24">
        <f t="shared" si="18"/>
        <v>0</v>
      </c>
      <c r="F836" s="17"/>
    </row>
    <row r="837" spans="1:6" x14ac:dyDescent="0.25">
      <c r="A837" s="4" t="s">
        <v>60</v>
      </c>
      <c r="B837" s="24">
        <f t="shared" si="18"/>
        <v>410035.69217162329</v>
      </c>
      <c r="C837" s="24">
        <f t="shared" si="18"/>
        <v>64490.444114199294</v>
      </c>
      <c r="D837" s="24">
        <f t="shared" si="18"/>
        <v>263502.95561401115</v>
      </c>
      <c r="E837" s="24">
        <f t="shared" si="18"/>
        <v>161970.90810016618</v>
      </c>
      <c r="F837" s="17"/>
    </row>
    <row r="838" spans="1:6" x14ac:dyDescent="0.25">
      <c r="A838" s="4" t="s">
        <v>61</v>
      </c>
      <c r="B838" s="24">
        <f t="shared" si="18"/>
        <v>501154.73487642844</v>
      </c>
      <c r="C838" s="24">
        <f t="shared" si="18"/>
        <v>78821.653917354692</v>
      </c>
      <c r="D838" s="24">
        <f t="shared" si="18"/>
        <v>322059.1679726803</v>
      </c>
      <c r="E838" s="24">
        <f t="shared" si="18"/>
        <v>197964.44323353644</v>
      </c>
      <c r="F838" s="17"/>
    </row>
    <row r="839" spans="1:6" x14ac:dyDescent="0.25">
      <c r="A839" s="4" t="s">
        <v>62</v>
      </c>
      <c r="B839" s="24">
        <f t="shared" si="18"/>
        <v>2642452.2384393499</v>
      </c>
      <c r="C839" s="24">
        <f t="shared" si="18"/>
        <v>415605.08429150656</v>
      </c>
      <c r="D839" s="24">
        <f t="shared" si="18"/>
        <v>1698130.1584014052</v>
      </c>
      <c r="E839" s="24">
        <f t="shared" si="18"/>
        <v>1043812.5188677376</v>
      </c>
      <c r="F839" s="17"/>
    </row>
    <row r="840" spans="1:6" x14ac:dyDescent="0.25">
      <c r="A840" s="4" t="s">
        <v>63</v>
      </c>
      <c r="B840" s="24">
        <f t="shared" ref="B840:E852" si="19">MAX(0,B351)</f>
        <v>820071.38434324658</v>
      </c>
      <c r="C840" s="24">
        <f t="shared" si="19"/>
        <v>128980.88822839859</v>
      </c>
      <c r="D840" s="24">
        <f t="shared" si="19"/>
        <v>527005.91122802231</v>
      </c>
      <c r="E840" s="24">
        <f t="shared" si="19"/>
        <v>323941.81620033237</v>
      </c>
      <c r="F840" s="17"/>
    </row>
    <row r="841" spans="1:6" x14ac:dyDescent="0.25">
      <c r="A841" s="4" t="s">
        <v>64</v>
      </c>
      <c r="B841" s="24">
        <f t="shared" si="19"/>
        <v>0</v>
      </c>
      <c r="C841" s="24">
        <f t="shared" si="19"/>
        <v>0</v>
      </c>
      <c r="D841" s="24">
        <f t="shared" si="19"/>
        <v>0</v>
      </c>
      <c r="E841" s="24">
        <f t="shared" si="19"/>
        <v>0</v>
      </c>
      <c r="F841" s="17"/>
    </row>
    <row r="842" spans="1:6" x14ac:dyDescent="0.25">
      <c r="A842" s="4" t="s">
        <v>65</v>
      </c>
      <c r="B842" s="24">
        <f t="shared" si="19"/>
        <v>0</v>
      </c>
      <c r="C842" s="24">
        <f t="shared" si="19"/>
        <v>0</v>
      </c>
      <c r="D842" s="24">
        <f t="shared" si="19"/>
        <v>0</v>
      </c>
      <c r="E842" s="24">
        <f t="shared" si="19"/>
        <v>0</v>
      </c>
      <c r="F842" s="17"/>
    </row>
    <row r="843" spans="1:6" x14ac:dyDescent="0.25">
      <c r="A843" s="4" t="s">
        <v>66</v>
      </c>
      <c r="B843" s="24">
        <f t="shared" si="19"/>
        <v>0</v>
      </c>
      <c r="C843" s="24">
        <f t="shared" si="19"/>
        <v>0</v>
      </c>
      <c r="D843" s="24">
        <f t="shared" si="19"/>
        <v>0</v>
      </c>
      <c r="E843" s="24">
        <f t="shared" si="19"/>
        <v>0</v>
      </c>
      <c r="F843" s="17"/>
    </row>
    <row r="844" spans="1:6" x14ac:dyDescent="0.25">
      <c r="A844" s="4" t="s">
        <v>67</v>
      </c>
      <c r="B844" s="24">
        <f t="shared" si="19"/>
        <v>0</v>
      </c>
      <c r="C844" s="24">
        <f t="shared" si="19"/>
        <v>0</v>
      </c>
      <c r="D844" s="24">
        <f t="shared" si="19"/>
        <v>0</v>
      </c>
      <c r="E844" s="24">
        <f t="shared" si="19"/>
        <v>0</v>
      </c>
      <c r="F844" s="17"/>
    </row>
    <row r="845" spans="1:6" ht="30" x14ac:dyDescent="0.25">
      <c r="A845" s="4" t="s">
        <v>68</v>
      </c>
      <c r="B845" s="24">
        <f t="shared" si="19"/>
        <v>0</v>
      </c>
      <c r="C845" s="24">
        <f t="shared" si="19"/>
        <v>0</v>
      </c>
      <c r="D845" s="24">
        <f t="shared" si="19"/>
        <v>0</v>
      </c>
      <c r="E845" s="24">
        <f t="shared" si="19"/>
        <v>0</v>
      </c>
      <c r="F845" s="17"/>
    </row>
    <row r="846" spans="1:6" x14ac:dyDescent="0.25">
      <c r="A846" s="4" t="s">
        <v>69</v>
      </c>
      <c r="B846" s="24">
        <f t="shared" si="19"/>
        <v>0</v>
      </c>
      <c r="C846" s="24">
        <f t="shared" si="19"/>
        <v>0</v>
      </c>
      <c r="D846" s="24">
        <f t="shared" si="19"/>
        <v>0</v>
      </c>
      <c r="E846" s="24">
        <f t="shared" si="19"/>
        <v>0</v>
      </c>
      <c r="F846" s="17"/>
    </row>
    <row r="847" spans="1:6" x14ac:dyDescent="0.25">
      <c r="A847" s="4" t="s">
        <v>70</v>
      </c>
      <c r="B847" s="24">
        <f t="shared" si="19"/>
        <v>0</v>
      </c>
      <c r="C847" s="24">
        <f t="shared" si="19"/>
        <v>0</v>
      </c>
      <c r="D847" s="24">
        <f t="shared" si="19"/>
        <v>0</v>
      </c>
      <c r="E847" s="24">
        <f t="shared" si="19"/>
        <v>0</v>
      </c>
      <c r="F847" s="17"/>
    </row>
    <row r="848" spans="1:6" x14ac:dyDescent="0.25">
      <c r="A848" s="4" t="s">
        <v>71</v>
      </c>
      <c r="B848" s="24">
        <f t="shared" si="19"/>
        <v>0</v>
      </c>
      <c r="C848" s="24">
        <f t="shared" si="19"/>
        <v>0</v>
      </c>
      <c r="D848" s="24">
        <f t="shared" si="19"/>
        <v>0</v>
      </c>
      <c r="E848" s="24">
        <f t="shared" si="19"/>
        <v>0</v>
      </c>
      <c r="F848" s="17"/>
    </row>
    <row r="849" spans="1:6" x14ac:dyDescent="0.25">
      <c r="A849" s="4" t="s">
        <v>72</v>
      </c>
      <c r="B849" s="24">
        <f t="shared" si="19"/>
        <v>0</v>
      </c>
      <c r="C849" s="24">
        <f t="shared" si="19"/>
        <v>0</v>
      </c>
      <c r="D849" s="24">
        <f t="shared" si="19"/>
        <v>0</v>
      </c>
      <c r="E849" s="24">
        <f t="shared" si="19"/>
        <v>0</v>
      </c>
      <c r="F849" s="17"/>
    </row>
    <row r="850" spans="1:6" x14ac:dyDescent="0.25">
      <c r="A850" s="4" t="s">
        <v>73</v>
      </c>
      <c r="B850" s="24">
        <f t="shared" si="19"/>
        <v>0</v>
      </c>
      <c r="C850" s="24">
        <f t="shared" si="19"/>
        <v>0</v>
      </c>
      <c r="D850" s="24">
        <f t="shared" si="19"/>
        <v>0</v>
      </c>
      <c r="E850" s="24">
        <f t="shared" si="19"/>
        <v>0</v>
      </c>
      <c r="F850" s="17"/>
    </row>
    <row r="851" spans="1:6" ht="30" x14ac:dyDescent="0.25">
      <c r="A851" s="4" t="s">
        <v>74</v>
      </c>
      <c r="B851" s="24">
        <f t="shared" si="19"/>
        <v>0</v>
      </c>
      <c r="C851" s="24">
        <f t="shared" si="19"/>
        <v>0</v>
      </c>
      <c r="D851" s="24">
        <f t="shared" si="19"/>
        <v>0</v>
      </c>
      <c r="E851" s="24">
        <f t="shared" si="19"/>
        <v>0</v>
      </c>
      <c r="F851" s="17"/>
    </row>
    <row r="852" spans="1:6" ht="30" x14ac:dyDescent="0.25">
      <c r="A852" s="4" t="s">
        <v>75</v>
      </c>
      <c r="B852" s="24">
        <f t="shared" si="19"/>
        <v>0</v>
      </c>
      <c r="C852" s="24">
        <f t="shared" si="19"/>
        <v>0</v>
      </c>
      <c r="D852" s="24">
        <f t="shared" si="19"/>
        <v>0</v>
      </c>
      <c r="E852" s="24">
        <f t="shared" si="19"/>
        <v>0</v>
      </c>
      <c r="F852" s="17"/>
    </row>
    <row r="854" spans="1:6" ht="21" customHeight="1" x14ac:dyDescent="0.3">
      <c r="A854" s="1" t="s">
        <v>388</v>
      </c>
    </row>
    <row r="855" spans="1:6" x14ac:dyDescent="0.25">
      <c r="A855" s="2" t="s">
        <v>197</v>
      </c>
    </row>
    <row r="856" spans="1:6" x14ac:dyDescent="0.25">
      <c r="A856" s="21" t="s">
        <v>389</v>
      </c>
    </row>
    <row r="857" spans="1:6" x14ac:dyDescent="0.25">
      <c r="A857" s="21" t="s">
        <v>390</v>
      </c>
    </row>
    <row r="858" spans="1:6" x14ac:dyDescent="0.25">
      <c r="A858" s="2" t="s">
        <v>232</v>
      </c>
    </row>
    <row r="860" spans="1:6" x14ac:dyDescent="0.25">
      <c r="B860" s="15" t="s">
        <v>28</v>
      </c>
      <c r="C860" s="15" t="s">
        <v>38</v>
      </c>
      <c r="D860" s="15" t="s">
        <v>27</v>
      </c>
      <c r="E860" s="15" t="s">
        <v>39</v>
      </c>
    </row>
    <row r="861" spans="1:6" x14ac:dyDescent="0.25">
      <c r="A861" s="4" t="s">
        <v>391</v>
      </c>
      <c r="B861" s="24">
        <f>SUMPRODUCT(B$820:B$852,$D$89:$D$121)</f>
        <v>14234629.800850807</v>
      </c>
      <c r="C861" s="24">
        <f>SUMPRODUCT(C$820:C$852,$D$89:$D$121)</f>
        <v>6265127.3813583739</v>
      </c>
      <c r="D861" s="24">
        <f>SUMPRODUCT(D$820:D$852,$D$89:$D$121)</f>
        <v>21649271.232259061</v>
      </c>
      <c r="E861" s="24">
        <f>SUMPRODUCT(E$820:E$852,$D$89:$D$121)</f>
        <v>15340153.758056559</v>
      </c>
      <c r="F861" s="17"/>
    </row>
    <row r="863" spans="1:6" ht="21" customHeight="1" x14ac:dyDescent="0.3">
      <c r="A863" s="1" t="s">
        <v>392</v>
      </c>
    </row>
    <row r="864" spans="1:6" x14ac:dyDescent="0.25">
      <c r="A864" s="2" t="s">
        <v>197</v>
      </c>
    </row>
    <row r="865" spans="1:6" x14ac:dyDescent="0.25">
      <c r="A865" s="21" t="s">
        <v>389</v>
      </c>
    </row>
    <row r="866" spans="1:6" x14ac:dyDescent="0.25">
      <c r="A866" s="2" t="s">
        <v>298</v>
      </c>
    </row>
    <row r="868" spans="1:6" x14ac:dyDescent="0.25">
      <c r="B868" s="15" t="s">
        <v>28</v>
      </c>
      <c r="C868" s="15" t="s">
        <v>38</v>
      </c>
      <c r="D868" s="15" t="s">
        <v>27</v>
      </c>
      <c r="E868" s="15" t="s">
        <v>39</v>
      </c>
    </row>
    <row r="869" spans="1:6" x14ac:dyDescent="0.25">
      <c r="A869" s="4" t="s">
        <v>393</v>
      </c>
      <c r="B869" s="24">
        <f>SUM(B$820:B$852)</f>
        <v>28358081.420095608</v>
      </c>
      <c r="C869" s="24">
        <f>SUM(C$820:C$852)</f>
        <v>8486464.9008474592</v>
      </c>
      <c r="D869" s="24">
        <f>SUM(D$820:D$852)</f>
        <v>30725484.147852786</v>
      </c>
      <c r="E869" s="24">
        <f>SUM(E$820:E$852)</f>
        <v>20919151.703728948</v>
      </c>
      <c r="F869" s="17"/>
    </row>
    <row r="871" spans="1:6" ht="21" customHeight="1" x14ac:dyDescent="0.3">
      <c r="A871" s="1" t="s">
        <v>394</v>
      </c>
    </row>
    <row r="872" spans="1:6" x14ac:dyDescent="0.25">
      <c r="A872" s="2" t="s">
        <v>197</v>
      </c>
    </row>
    <row r="873" spans="1:6" x14ac:dyDescent="0.25">
      <c r="A873" s="21" t="s">
        <v>395</v>
      </c>
    </row>
    <row r="874" spans="1:6" x14ac:dyDescent="0.25">
      <c r="A874" s="21" t="s">
        <v>396</v>
      </c>
    </row>
    <row r="875" spans="1:6" x14ac:dyDescent="0.25">
      <c r="A875" s="2" t="s">
        <v>397</v>
      </c>
    </row>
    <row r="877" spans="1:6" x14ac:dyDescent="0.25">
      <c r="B877" s="15" t="s">
        <v>28</v>
      </c>
      <c r="C877" s="15" t="s">
        <v>38</v>
      </c>
      <c r="D877" s="15" t="s">
        <v>27</v>
      </c>
      <c r="E877" s="15" t="s">
        <v>39</v>
      </c>
    </row>
    <row r="878" spans="1:6" ht="30" x14ac:dyDescent="0.25">
      <c r="A878" s="4" t="s">
        <v>398</v>
      </c>
      <c r="B878" s="30">
        <f>B861/B869</f>
        <v>0.50196025570205216</v>
      </c>
      <c r="C878" s="30">
        <f>C861/C869</f>
        <v>0.73824937174167038</v>
      </c>
      <c r="D878" s="30">
        <f>D861/D869</f>
        <v>0.70460309520531983</v>
      </c>
      <c r="E878" s="30">
        <f>E861/E869</f>
        <v>0.73330668352685147</v>
      </c>
      <c r="F878" s="17"/>
    </row>
    <row r="880" spans="1:6" ht="21" customHeight="1" x14ac:dyDescent="0.3">
      <c r="A880" s="1" t="s">
        <v>399</v>
      </c>
    </row>
    <row r="881" spans="1:4" x14ac:dyDescent="0.25">
      <c r="A881" s="2" t="s">
        <v>197</v>
      </c>
    </row>
    <row r="882" spans="1:4" x14ac:dyDescent="0.25">
      <c r="A882" s="21" t="s">
        <v>400</v>
      </c>
    </row>
    <row r="883" spans="1:4" x14ac:dyDescent="0.25">
      <c r="A883" s="23" t="s">
        <v>204</v>
      </c>
      <c r="B883" s="23" t="s">
        <v>205</v>
      </c>
      <c r="C883" s="23" t="s">
        <v>205</v>
      </c>
    </row>
    <row r="884" spans="1:4" x14ac:dyDescent="0.25">
      <c r="A884" s="23" t="s">
        <v>207</v>
      </c>
      <c r="B884" s="23" t="s">
        <v>208</v>
      </c>
      <c r="C884" s="23" t="s">
        <v>208</v>
      </c>
    </row>
    <row r="886" spans="1:4" x14ac:dyDescent="0.25">
      <c r="B886" s="15" t="s">
        <v>401</v>
      </c>
      <c r="C886" s="15" t="s">
        <v>402</v>
      </c>
    </row>
    <row r="887" spans="1:4" x14ac:dyDescent="0.25">
      <c r="A887" s="4" t="s">
        <v>403</v>
      </c>
      <c r="B887" s="32">
        <f>$B878</f>
        <v>0.50196025570205216</v>
      </c>
      <c r="C887" s="32">
        <f>$D878</f>
        <v>0.70460309520531983</v>
      </c>
      <c r="D887" s="17"/>
    </row>
  </sheetData>
  <sheetProtection sheet="1" objects="1" scenarios="1"/>
  <dataValidations count="1">
    <dataValidation type="decimal" operator="greaterThanOrEqual" allowBlank="1" showInputMessage="1" showErrorMessage="1" sqref="C89:C121">
      <formula1>0</formula1>
    </dataValidation>
  </dataValidations>
  <hyperlinks>
    <hyperlink ref="A5" location="'Input'!B57" display="x1 = 1329. Net new connections and reinforcement costs (£)"/>
    <hyperlink ref="A6" location="'Input'!B64" display="x2 = 1330. Allocated costs (£/year)"/>
    <hyperlink ref="A46" location="'Input'!B116" display="x1 = 1335. Total costs (£/year)"/>
    <hyperlink ref="A47" location="'CDCM'!B9" display="x2 = 1401. Allocated costs after DCP 117 adjustments"/>
    <hyperlink ref="A125" location="'Input'!B154" display="x1 = 1355. Asset quantity (in MEAV data)"/>
    <hyperlink ref="A126" location="'Input'!C154" display="x2 = 1355. Unit MEAV (£) (in MEAV data)"/>
    <hyperlink ref="A220" location="'CDCM'!C131" display="x1 = 1404. MEAV mapping (in MEAV calculations)"/>
    <hyperlink ref="A221" location="'CDCM'!B131" display="x2 = 1404. MEAV (£) (in MEAV calculations)"/>
    <hyperlink ref="A229" location="'CDCM'!B224" display="x1 = 1405. MEAV by network level (£)"/>
    <hyperlink ref="A242" location="'Input'!B109" display="x1 = 1332. All notional assets in EDCM (£)"/>
    <hyperlink ref="A243" location="'CDCM'!B237" display="x2 = 1407. EHV asset levels"/>
    <hyperlink ref="A244" location="'Input'!B103" display="x3 = 1331. Assets in CDCM model (£)"/>
    <hyperlink ref="A252" location="'CDCM'!B247" display="x1 = 1408. Proportion of EHV notional assets which are in the CDCM"/>
    <hyperlink ref="A261" location="'CDCM'!B232" display="x1 = 1406. MEAV percentages"/>
    <hyperlink ref="A262" location="'CDCM'!B256" display="x2 = 1409. Proportion to be kept"/>
    <hyperlink ref="A280" location="'CDCM'!B88" display="x1 = 1403. Allocation key (in Allocation rules)"/>
    <hyperlink ref="A281" location="'CDCM'!B275" display="x2 = 1412. LV only"/>
    <hyperlink ref="A282" location="'CDCM'!B265" display="x3 = 1410. MEAV percentages after DCP 118 exclusions"/>
    <hyperlink ref="A283" location="'CDCM'!B270" display="x4 = 1411. EHV only"/>
    <hyperlink ref="A323" location="'CDCM'!B88" display="x1 = 1403. Allocation key (in Allocation rules)"/>
    <hyperlink ref="A324" location="'CDCM'!B9" display="x2 = 1401. Allocated costs after DCP 117 adjustments"/>
    <hyperlink ref="A325" location="'CDCM'!B51" display="x3 = 1402. Total costs (£/year) (copy) (in Expenditure data)"/>
    <hyperlink ref="A326" location="'CDCM'!C51" display="x4 = 1402. Amounts already allocated (in Expenditure data)"/>
    <hyperlink ref="A327" location="'CDCM'!B286" display="x5 = 1413. All allocation percentages"/>
    <hyperlink ref="A367" location="'CDCM'!B330" display="x1 = 1414. Complete allocation"/>
    <hyperlink ref="A407" location="'CDCM'!G131" display="x1 = 1404. MEAV mapping: LV services"/>
    <hyperlink ref="A408" location="'CDCM'!B131" display="x2 = 1404. MEAV (£) (in MEAV calculations)"/>
    <hyperlink ref="A409" location="'CDCM'!H131" display="x3 = 1404. MEAV mapping: LV total"/>
    <hyperlink ref="A417" location="'CDCM'!B88" display="x1 = 1403. Allocation key (in Allocation rules)"/>
    <hyperlink ref="A418" location="'CDCM'!B412" display="x2 = 1416. MEAV: ratio of LV services to LV total"/>
    <hyperlink ref="A458" location="'CDCM'!B370" display="x1 = 1415. Complete allocation: LV total share"/>
    <hyperlink ref="A459" location="'CDCM'!B421" display="x2 = 1417. Allocation of LV to LV services"/>
    <hyperlink ref="A499" location="'CDCM'!B370" display="x1 = 1415. Complete allocation: LV total share"/>
    <hyperlink ref="A500" location="'CDCM'!B421" display="x2 = 1417. Allocation of LV to LV services"/>
    <hyperlink ref="A540" location="'CDCM'!B462" display="x1 = 1418. Allocation to LV services"/>
    <hyperlink ref="A541" location="'CDCM'!B503" display="x2 = 1419. Allocation to LV mains"/>
    <hyperlink ref="A542" location="'CDCM'!B330" display="x3 = 1414. Complete allocation"/>
    <hyperlink ref="A582" location="'CDCM'!B545" display="x1 = 1420. Complete allocation split between LV mains and services"/>
    <hyperlink ref="A583" location="'CDCM'!C88" display="x2 = 1403. Percentage capitalised (in Allocation rules)"/>
    <hyperlink ref="A623" location="'CDCM'!B586" display="x1 = 1421. Complete allocation, adjusted for regulatory capitalisation"/>
    <hyperlink ref="A631" location="'CDCM'!B626" display="x1 = 1422. Total expensed for each level"/>
    <hyperlink ref="A639" location="'Input'!B244" display="x1 = 1369. Net capex analysis pre-DCP 118 (£)"/>
    <hyperlink ref="A647" location="'CDCM'!B642" display="x1 = 1424. Net capex percentages"/>
    <hyperlink ref="A648" location="'CDCM'!B256" display="x2 = 1409. Proportion to be kept"/>
    <hyperlink ref="A656" location="'CDCM'!B651" display="x1 = 1425. Net capex percentages after DCP 118 exclusions"/>
    <hyperlink ref="A664" location="'CDCM'!B659" display="x1 = 1426. Net capex: LV total share"/>
    <hyperlink ref="A665" location="'Input'!B254" display="x2 = 1380. Net capex: ratio of LV services to LV total"/>
    <hyperlink ref="A673" location="'CDCM'!B659" display="x1 = 1426. Net capex: LV total share"/>
    <hyperlink ref="A674" location="'Input'!B254" display="x2 = 1380. Net capex: ratio of LV services to LV total"/>
    <hyperlink ref="A682" location="'CDCM'!B668" display="x1 = 1427. Allocation to LV services"/>
    <hyperlink ref="A683" location="'CDCM'!B677" display="x2 = 1428. Allocation to LV mains"/>
    <hyperlink ref="A684" location="'CDCM'!B651" display="x3 = 1425. Net capex percentages after DCP 118 exclusions"/>
    <hyperlink ref="A692" location="'Input'!D24" display="x1 = 1310. Aggregate operating (in DPCR4 aggregate allowances (£))"/>
    <hyperlink ref="A693" location="'Input'!B24" display="x2 = 1310. Aggregate return (in DPCR4 aggregate allowances (£))"/>
    <hyperlink ref="A694" location="'Input'!C24" display="x3 = 1310. Aggregate depreciation (in DPCR4 aggregate allowances (£))"/>
    <hyperlink ref="A702" location="'CDCM'!B88" display="x1 = 1403. Allocation key (in Allocation rules)"/>
    <hyperlink ref="A703" location="'Input'!B116" display="x2 = 1335. Total costs (£/year)"/>
    <hyperlink ref="A711" location="'Input'!B30" display="x1 = 1315. Total revenue (in Analysis of allowed revenue for 2007/2008 (£/year))"/>
    <hyperlink ref="A712" location="'Input'!C30" display="x2 = 1315. Net incentive revenue (in Analysis of allowed revenue for 2007/2008 (£/year))"/>
    <hyperlink ref="A713" location="'CDCM'!B706" display="x3 = 1431. To be deducted from revenue and treated as &quot;upstream&quot; cost"/>
    <hyperlink ref="A721" location="'Input'!B44" display="x1 = 1322. Losses (GWh)"/>
    <hyperlink ref="A722" location="'Input'!B36" display="x2 = 1321. Units distributed (GWh)"/>
    <hyperlink ref="A732" location="'CDCM'!B725" display="x1 = 1433. Adjustment factors to LV (kWh/GWh)"/>
    <hyperlink ref="A733" location="'Input'!B36" display="x2 = 1321. Units distributed (GWh)"/>
    <hyperlink ref="A741" location="'CDCM'!B736" display="x1 = 1434. Units flowing, loss adjusted to LV (kWh)"/>
    <hyperlink ref="A749" location="'CDCM'!B744" display="x1 = 1435. Units at LV"/>
    <hyperlink ref="A757" location="'CDCM'!B744" display="x1 = 1435. Units at LV"/>
    <hyperlink ref="A765" location="'CDCM'!B752" display="x1 = 1436. Allocation to LV services"/>
    <hyperlink ref="A766" location="'CDCM'!B760" display="x2 = 1437. Allocation to LV mains"/>
    <hyperlink ref="A767" location="'CDCM'!B736" display="x3 = 1434. Units flowing, loss adjusted to LV (kWh)"/>
    <hyperlink ref="A775" location="'CDCM'!B697" display="x1 = 1430. Proportion of price control revenue attributed to opex"/>
    <hyperlink ref="A776" location="'CDCM'!B687" display="x2 = 1429. Net capex allocation split between LV mains and services"/>
    <hyperlink ref="A777" location="'CDCM'!B634" display="x3 = 1423. Expensed proportions"/>
    <hyperlink ref="A778" location="'CDCM'!B716" display="x4 = 1432. Revenue to be allocated between network levels (£/year)"/>
    <hyperlink ref="A779" location="'Input'!B50" display="x5 = 1328. DCP 117/DCP 231 additional annual income (£)"/>
    <hyperlink ref="A780" location="'CDCM'!B770" display="x6 = 1438. Units"/>
    <hyperlink ref="A788" location="'Input'!C30" display="x1 = 1315. Net incentive revenue (in Analysis of allowed revenue for 2007/2008 (£/year))"/>
    <hyperlink ref="A789" location="'CDCM'!B706" display="x2 = 1431. To be deducted from revenue and treated as &quot;upstream&quot; cost"/>
    <hyperlink ref="A790" location="'CDCM'!B770" display="x3 = 1438. Units"/>
    <hyperlink ref="A798" location="'CDCM'!B783" display="x1 = 1439. p/kWh split (DCP 117 modified)"/>
    <hyperlink ref="A799" location="'CDCM'!B793" display="x2 = 1440. p/kWh not split"/>
    <hyperlink ref="A807" location="'CDCM'!B802" display="x1 = 1441. Allocated proportion"/>
    <hyperlink ref="A816" location="'CDCM'!B330" display="x1 = 1414. Complete allocation"/>
    <hyperlink ref="A856" location="'CDCM'!B819" display="x1 = 1443. Complete allocation, zeroing out negative numbers"/>
    <hyperlink ref="A857" location="'CDCM'!D88" display="x2 = 1403. Direct cost indicator (in Allocation rules)"/>
    <hyperlink ref="A865" location="'CDCM'!B819" display="x1 = 1443. Complete allocation, zeroing out negative numbers"/>
    <hyperlink ref="A873" location="'CDCM'!B860" display="x1 = 1444. Direct costs"/>
    <hyperlink ref="A874" location="'CDCM'!B868" display="x2 = 1445. Total costs"/>
    <hyperlink ref="A882" location="'CDCM'!B877" display="x1 = 1446. Direct cost proportion for each network level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showGridLines="0" workbookViewId="0">
      <pane ySplit="1" topLeftCell="A2" activePane="bottomLeft" state="frozen"/>
      <selection pane="bottomLeft" activeCell="F22" sqref="F22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6" ht="21" customHeight="1" x14ac:dyDescent="0.3">
      <c r="A1" s="1" t="str">
        <f>"Calculations (EDCM) for "&amp;Input!B7&amp;" in "&amp;Input!C7&amp;" ("&amp;Input!D7&amp;")"</f>
        <v>Calculations (EDCM) for SWAE in 2018/19 (no data version)</v>
      </c>
    </row>
    <row r="3" spans="1:6" ht="21" customHeight="1" x14ac:dyDescent="0.3">
      <c r="A3" s="1" t="s">
        <v>404</v>
      </c>
    </row>
    <row r="4" spans="1:6" x14ac:dyDescent="0.25">
      <c r="A4" s="2" t="s">
        <v>197</v>
      </c>
    </row>
    <row r="5" spans="1:6" x14ac:dyDescent="0.25">
      <c r="A5" s="21" t="s">
        <v>260</v>
      </c>
    </row>
    <row r="6" spans="1:6" x14ac:dyDescent="0.25">
      <c r="A6" s="21" t="s">
        <v>261</v>
      </c>
    </row>
    <row r="7" spans="1:6" x14ac:dyDescent="0.25">
      <c r="A7" s="21" t="s">
        <v>405</v>
      </c>
    </row>
    <row r="8" spans="1:6" x14ac:dyDescent="0.25">
      <c r="A8" s="21" t="s">
        <v>263</v>
      </c>
    </row>
    <row r="9" spans="1:6" x14ac:dyDescent="0.25">
      <c r="A9" s="2" t="s">
        <v>264</v>
      </c>
    </row>
    <row r="11" spans="1:6" x14ac:dyDescent="0.25">
      <c r="B11" s="15" t="s">
        <v>28</v>
      </c>
      <c r="C11" s="15" t="s">
        <v>38</v>
      </c>
      <c r="D11" s="15" t="s">
        <v>27</v>
      </c>
      <c r="E11" s="15" t="s">
        <v>39</v>
      </c>
    </row>
    <row r="12" spans="1:6" ht="30" x14ac:dyDescent="0.25">
      <c r="A12" s="4" t="s">
        <v>40</v>
      </c>
      <c r="B12" s="30">
        <f>IF(CDCM!$B89="60%MEAV",0.4*CDCM!B$276+CDCM!B$233,IF(CDCM!$B89="MEAV",CDCM!B$233,IF(CDCM!$B89="EHV only",CDCM!B$271,IF(CDCM!$B89="LV only",CDCM!B$276,0))))</f>
        <v>0</v>
      </c>
      <c r="C12" s="30">
        <f>IF(CDCM!$B89="60%MEAV",0.4*CDCM!C$276+CDCM!C$233,IF(CDCM!$B89="MEAV",CDCM!C$233,IF(CDCM!$B89="EHV only",CDCM!C$271,IF(CDCM!$B89="LV only",CDCM!C$276,0))))</f>
        <v>0</v>
      </c>
      <c r="D12" s="30">
        <f>IF(CDCM!$B89="60%MEAV",0.4*CDCM!D$276+CDCM!D$233,IF(CDCM!$B89="MEAV",CDCM!D$233,IF(CDCM!$B89="EHV only",CDCM!D$271,IF(CDCM!$B89="LV only",CDCM!D$276,0))))</f>
        <v>0</v>
      </c>
      <c r="E12" s="30">
        <f>IF(CDCM!$B89="60%MEAV",0.4*CDCM!E$276+CDCM!E$233,IF(CDCM!$B89="MEAV",CDCM!E$233,IF(CDCM!$B89="EHV only",CDCM!E$271,IF(CDCM!$B89="LV only",CDCM!E$276,0))))</f>
        <v>0</v>
      </c>
      <c r="F12" s="17"/>
    </row>
    <row r="13" spans="1:6" ht="30" x14ac:dyDescent="0.25">
      <c r="A13" s="4" t="s">
        <v>44</v>
      </c>
      <c r="B13" s="30">
        <f>IF(CDCM!$B90="60%MEAV",0.4*CDCM!B$276+CDCM!B$233,IF(CDCM!$B90="MEAV",CDCM!B$233,IF(CDCM!$B90="EHV only",CDCM!B$271,IF(CDCM!$B90="LV only",CDCM!B$276,0))))</f>
        <v>0.4330018323211815</v>
      </c>
      <c r="C13" s="30">
        <f>IF(CDCM!$B90="60%MEAV",0.4*CDCM!C$276+CDCM!C$233,IF(CDCM!$B90="MEAV",CDCM!C$233,IF(CDCM!$B90="EHV only",CDCM!C$271,IF(CDCM!$B90="LV only",CDCM!C$276,0))))</f>
        <v>6.8102560342398352E-2</v>
      </c>
      <c r="D13" s="30">
        <f>IF(CDCM!$B90="60%MEAV",0.4*CDCM!D$276+CDCM!D$233,IF(CDCM!$B90="MEAV",CDCM!D$233,IF(CDCM!$B90="EHV only",CDCM!D$271,IF(CDCM!$B90="LV only",CDCM!D$276,0))))</f>
        <v>0.2782617825258919</v>
      </c>
      <c r="E13" s="30">
        <f>IF(CDCM!$B90="60%MEAV",0.4*CDCM!E$276+CDCM!E$233,IF(CDCM!$B90="MEAV",CDCM!E$233,IF(CDCM!$B90="EHV only",CDCM!E$271,IF(CDCM!$B90="LV only",CDCM!E$276,0))))</f>
        <v>0.22063382481052812</v>
      </c>
      <c r="F13" s="17"/>
    </row>
    <row r="14" spans="1:6" x14ac:dyDescent="0.25">
      <c r="A14" s="4" t="s">
        <v>45</v>
      </c>
      <c r="B14" s="30">
        <f>IF(CDCM!$B91="60%MEAV",0.4*CDCM!B$276+CDCM!B$233,IF(CDCM!$B91="MEAV",CDCM!B$233,IF(CDCM!$B91="EHV only",CDCM!B$271,IF(CDCM!$B91="LV only",CDCM!B$276,0))))</f>
        <v>0.4330018323211815</v>
      </c>
      <c r="C14" s="30">
        <f>IF(CDCM!$B91="60%MEAV",0.4*CDCM!C$276+CDCM!C$233,IF(CDCM!$B91="MEAV",CDCM!C$233,IF(CDCM!$B91="EHV only",CDCM!C$271,IF(CDCM!$B91="LV only",CDCM!C$276,0))))</f>
        <v>6.8102560342398352E-2</v>
      </c>
      <c r="D14" s="30">
        <f>IF(CDCM!$B91="60%MEAV",0.4*CDCM!D$276+CDCM!D$233,IF(CDCM!$B91="MEAV",CDCM!D$233,IF(CDCM!$B91="EHV only",CDCM!D$271,IF(CDCM!$B91="LV only",CDCM!D$276,0))))</f>
        <v>0.2782617825258919</v>
      </c>
      <c r="E14" s="30">
        <f>IF(CDCM!$B91="60%MEAV",0.4*CDCM!E$276+CDCM!E$233,IF(CDCM!$B91="MEAV",CDCM!E$233,IF(CDCM!$B91="EHV only",CDCM!E$271,IF(CDCM!$B91="LV only",CDCM!E$276,0))))</f>
        <v>0.22063382481052812</v>
      </c>
      <c r="F14" s="17"/>
    </row>
    <row r="15" spans="1:6" x14ac:dyDescent="0.25">
      <c r="A15" s="4" t="s">
        <v>46</v>
      </c>
      <c r="B15" s="30">
        <f>IF(CDCM!$B92="60%MEAV",0.4*CDCM!B$276+CDCM!B$233,IF(CDCM!$B92="MEAV",CDCM!B$233,IF(CDCM!$B92="EHV only",CDCM!B$271,IF(CDCM!$B92="LV only",CDCM!B$276,0))))</f>
        <v>0.4330018323211815</v>
      </c>
      <c r="C15" s="30">
        <f>IF(CDCM!$B92="60%MEAV",0.4*CDCM!C$276+CDCM!C$233,IF(CDCM!$B92="MEAV",CDCM!C$233,IF(CDCM!$B92="EHV only",CDCM!C$271,IF(CDCM!$B92="LV only",CDCM!C$276,0))))</f>
        <v>6.8102560342398352E-2</v>
      </c>
      <c r="D15" s="30">
        <f>IF(CDCM!$B92="60%MEAV",0.4*CDCM!D$276+CDCM!D$233,IF(CDCM!$B92="MEAV",CDCM!D$233,IF(CDCM!$B92="EHV only",CDCM!D$271,IF(CDCM!$B92="LV only",CDCM!D$276,0))))</f>
        <v>0.2782617825258919</v>
      </c>
      <c r="E15" s="30">
        <f>IF(CDCM!$B92="60%MEAV",0.4*CDCM!E$276+CDCM!E$233,IF(CDCM!$B92="MEAV",CDCM!E$233,IF(CDCM!$B92="EHV only",CDCM!E$271,IF(CDCM!$B92="LV only",CDCM!E$276,0))))</f>
        <v>0.22063382481052812</v>
      </c>
      <c r="F15" s="17"/>
    </row>
    <row r="16" spans="1:6" x14ac:dyDescent="0.25">
      <c r="A16" s="4" t="s">
        <v>47</v>
      </c>
      <c r="B16" s="30">
        <f>IF(CDCM!$B93="60%MEAV",0.4*CDCM!B$276+CDCM!B$233,IF(CDCM!$B93="MEAV",CDCM!B$233,IF(CDCM!$B93="EHV only",CDCM!B$271,IF(CDCM!$B93="LV only",CDCM!B$276,0))))</f>
        <v>0.4330018323211815</v>
      </c>
      <c r="C16" s="30">
        <f>IF(CDCM!$B93="60%MEAV",0.4*CDCM!C$276+CDCM!C$233,IF(CDCM!$B93="MEAV",CDCM!C$233,IF(CDCM!$B93="EHV only",CDCM!C$271,IF(CDCM!$B93="LV only",CDCM!C$276,0))))</f>
        <v>6.8102560342398352E-2</v>
      </c>
      <c r="D16" s="30">
        <f>IF(CDCM!$B93="60%MEAV",0.4*CDCM!D$276+CDCM!D$233,IF(CDCM!$B93="MEAV",CDCM!D$233,IF(CDCM!$B93="EHV only",CDCM!D$271,IF(CDCM!$B93="LV only",CDCM!D$276,0))))</f>
        <v>0.2782617825258919</v>
      </c>
      <c r="E16" s="30">
        <f>IF(CDCM!$B93="60%MEAV",0.4*CDCM!E$276+CDCM!E$233,IF(CDCM!$B93="MEAV",CDCM!E$233,IF(CDCM!$B93="EHV only",CDCM!E$271,IF(CDCM!$B93="LV only",CDCM!E$276,0))))</f>
        <v>0.22063382481052812</v>
      </c>
      <c r="F16" s="17"/>
    </row>
    <row r="17" spans="1:6" x14ac:dyDescent="0.25">
      <c r="A17" s="4" t="s">
        <v>48</v>
      </c>
      <c r="B17" s="30">
        <f>IF(CDCM!$B94="60%MEAV",0.4*CDCM!B$276+CDCM!B$233,IF(CDCM!$B94="MEAV",CDCM!B$233,IF(CDCM!$B94="EHV only",CDCM!B$271,IF(CDCM!$B94="LV only",CDCM!B$276,0))))</f>
        <v>0.4330018323211815</v>
      </c>
      <c r="C17" s="30">
        <f>IF(CDCM!$B94="60%MEAV",0.4*CDCM!C$276+CDCM!C$233,IF(CDCM!$B94="MEAV",CDCM!C$233,IF(CDCM!$B94="EHV only",CDCM!C$271,IF(CDCM!$B94="LV only",CDCM!C$276,0))))</f>
        <v>6.8102560342398352E-2</v>
      </c>
      <c r="D17" s="30">
        <f>IF(CDCM!$B94="60%MEAV",0.4*CDCM!D$276+CDCM!D$233,IF(CDCM!$B94="MEAV",CDCM!D$233,IF(CDCM!$B94="EHV only",CDCM!D$271,IF(CDCM!$B94="LV only",CDCM!D$276,0))))</f>
        <v>0.2782617825258919</v>
      </c>
      <c r="E17" s="30">
        <f>IF(CDCM!$B94="60%MEAV",0.4*CDCM!E$276+CDCM!E$233,IF(CDCM!$B94="MEAV",CDCM!E$233,IF(CDCM!$B94="EHV only",CDCM!E$271,IF(CDCM!$B94="LV only",CDCM!E$276,0))))</f>
        <v>0.22063382481052812</v>
      </c>
      <c r="F17" s="17"/>
    </row>
    <row r="18" spans="1:6" x14ac:dyDescent="0.25">
      <c r="A18" s="4" t="s">
        <v>49</v>
      </c>
      <c r="B18" s="30">
        <f>IF(CDCM!$B95="60%MEAV",0.4*CDCM!B$276+CDCM!B$233,IF(CDCM!$B95="MEAV",CDCM!B$233,IF(CDCM!$B95="EHV only",CDCM!B$271,IF(CDCM!$B95="LV only",CDCM!B$276,0))))</f>
        <v>0.4330018323211815</v>
      </c>
      <c r="C18" s="30">
        <f>IF(CDCM!$B95="60%MEAV",0.4*CDCM!C$276+CDCM!C$233,IF(CDCM!$B95="MEAV",CDCM!C$233,IF(CDCM!$B95="EHV only",CDCM!C$271,IF(CDCM!$B95="LV only",CDCM!C$276,0))))</f>
        <v>6.8102560342398352E-2</v>
      </c>
      <c r="D18" s="30">
        <f>IF(CDCM!$B95="60%MEAV",0.4*CDCM!D$276+CDCM!D$233,IF(CDCM!$B95="MEAV",CDCM!D$233,IF(CDCM!$B95="EHV only",CDCM!D$271,IF(CDCM!$B95="LV only",CDCM!D$276,0))))</f>
        <v>0.2782617825258919</v>
      </c>
      <c r="E18" s="30">
        <f>IF(CDCM!$B95="60%MEAV",0.4*CDCM!E$276+CDCM!E$233,IF(CDCM!$B95="MEAV",CDCM!E$233,IF(CDCM!$B95="EHV only",CDCM!E$271,IF(CDCM!$B95="LV only",CDCM!E$276,0))))</f>
        <v>0.22063382481052812</v>
      </c>
      <c r="F18" s="17"/>
    </row>
    <row r="19" spans="1:6" x14ac:dyDescent="0.25">
      <c r="A19" s="4" t="s">
        <v>50</v>
      </c>
      <c r="B19" s="30">
        <f>IF(CDCM!$B96="60%MEAV",0.4*CDCM!B$276+CDCM!B$233,IF(CDCM!$B96="MEAV",CDCM!B$233,IF(CDCM!$B96="EHV only",CDCM!B$271,IF(CDCM!$B96="LV only",CDCM!B$276,0))))</f>
        <v>0.4330018323211815</v>
      </c>
      <c r="C19" s="30">
        <f>IF(CDCM!$B96="60%MEAV",0.4*CDCM!C$276+CDCM!C$233,IF(CDCM!$B96="MEAV",CDCM!C$233,IF(CDCM!$B96="EHV only",CDCM!C$271,IF(CDCM!$B96="LV only",CDCM!C$276,0))))</f>
        <v>6.8102560342398352E-2</v>
      </c>
      <c r="D19" s="30">
        <f>IF(CDCM!$B96="60%MEAV",0.4*CDCM!D$276+CDCM!D$233,IF(CDCM!$B96="MEAV",CDCM!D$233,IF(CDCM!$B96="EHV only",CDCM!D$271,IF(CDCM!$B96="LV only",CDCM!D$276,0))))</f>
        <v>0.2782617825258919</v>
      </c>
      <c r="E19" s="30">
        <f>IF(CDCM!$B96="60%MEAV",0.4*CDCM!E$276+CDCM!E$233,IF(CDCM!$B96="MEAV",CDCM!E$233,IF(CDCM!$B96="EHV only",CDCM!E$271,IF(CDCM!$B96="LV only",CDCM!E$276,0))))</f>
        <v>0.22063382481052812</v>
      </c>
      <c r="F19" s="17"/>
    </row>
    <row r="20" spans="1:6" x14ac:dyDescent="0.25">
      <c r="A20" s="4" t="s">
        <v>51</v>
      </c>
      <c r="B20" s="30">
        <f>IF(CDCM!$B97="60%MEAV",0.4*CDCM!B$276+CDCM!B$233,IF(CDCM!$B97="MEAV",CDCM!B$233,IF(CDCM!$B97="EHV only",CDCM!B$271,IF(CDCM!$B97="LV only",CDCM!B$276,0))))</f>
        <v>0.4330018323211815</v>
      </c>
      <c r="C20" s="30">
        <f>IF(CDCM!$B97="60%MEAV",0.4*CDCM!C$276+CDCM!C$233,IF(CDCM!$B97="MEAV",CDCM!C$233,IF(CDCM!$B97="EHV only",CDCM!C$271,IF(CDCM!$B97="LV only",CDCM!C$276,0))))</f>
        <v>6.8102560342398352E-2</v>
      </c>
      <c r="D20" s="30">
        <f>IF(CDCM!$B97="60%MEAV",0.4*CDCM!D$276+CDCM!D$233,IF(CDCM!$B97="MEAV",CDCM!D$233,IF(CDCM!$B97="EHV only",CDCM!D$271,IF(CDCM!$B97="LV only",CDCM!D$276,0))))</f>
        <v>0.2782617825258919</v>
      </c>
      <c r="E20" s="30">
        <f>IF(CDCM!$B97="60%MEAV",0.4*CDCM!E$276+CDCM!E$233,IF(CDCM!$B97="MEAV",CDCM!E$233,IF(CDCM!$B97="EHV only",CDCM!E$271,IF(CDCM!$B97="LV only",CDCM!E$276,0))))</f>
        <v>0.22063382481052812</v>
      </c>
      <c r="F20" s="17"/>
    </row>
    <row r="21" spans="1:6" x14ac:dyDescent="0.25">
      <c r="A21" s="4" t="s">
        <v>52</v>
      </c>
      <c r="B21" s="30">
        <f>IF(CDCM!$B98="60%MEAV",0.4*CDCM!B$276+CDCM!B$233,IF(CDCM!$B98="MEAV",CDCM!B$233,IF(CDCM!$B98="EHV only",CDCM!B$271,IF(CDCM!$B98="LV only",CDCM!B$276,0))))</f>
        <v>0.4330018323211815</v>
      </c>
      <c r="C21" s="30">
        <f>IF(CDCM!$B98="60%MEAV",0.4*CDCM!C$276+CDCM!C$233,IF(CDCM!$B98="MEAV",CDCM!C$233,IF(CDCM!$B98="EHV only",CDCM!C$271,IF(CDCM!$B98="LV only",CDCM!C$276,0))))</f>
        <v>6.8102560342398352E-2</v>
      </c>
      <c r="D21" s="30">
        <f>IF(CDCM!$B98="60%MEAV",0.4*CDCM!D$276+CDCM!D$233,IF(CDCM!$B98="MEAV",CDCM!D$233,IF(CDCM!$B98="EHV only",CDCM!D$271,IF(CDCM!$B98="LV only",CDCM!D$276,0))))</f>
        <v>0.2782617825258919</v>
      </c>
      <c r="E21" s="30">
        <f>IF(CDCM!$B98="60%MEAV",0.4*CDCM!E$276+CDCM!E$233,IF(CDCM!$B98="MEAV",CDCM!E$233,IF(CDCM!$B98="EHV only",CDCM!E$271,IF(CDCM!$B98="LV only",CDCM!E$276,0))))</f>
        <v>0.22063382481052812</v>
      </c>
      <c r="F21" s="17"/>
    </row>
    <row r="22" spans="1:6" x14ac:dyDescent="0.25">
      <c r="A22" s="4" t="s">
        <v>53</v>
      </c>
      <c r="B22" s="30">
        <f>IF(CDCM!$B99="60%MEAV",0.4*CDCM!B$276+CDCM!B$233,IF(CDCM!$B99="MEAV",CDCM!B$233,IF(CDCM!$B99="EHV only",CDCM!B$271,IF(CDCM!$B99="LV only",CDCM!B$276,0))))</f>
        <v>0.4330018323211815</v>
      </c>
      <c r="C22" s="30">
        <f>IF(CDCM!$B99="60%MEAV",0.4*CDCM!C$276+CDCM!C$233,IF(CDCM!$B99="MEAV",CDCM!C$233,IF(CDCM!$B99="EHV only",CDCM!C$271,IF(CDCM!$B99="LV only",CDCM!C$276,0))))</f>
        <v>6.8102560342398352E-2</v>
      </c>
      <c r="D22" s="30">
        <f>IF(CDCM!$B99="60%MEAV",0.4*CDCM!D$276+CDCM!D$233,IF(CDCM!$B99="MEAV",CDCM!D$233,IF(CDCM!$B99="EHV only",CDCM!D$271,IF(CDCM!$B99="LV only",CDCM!D$276,0))))</f>
        <v>0.2782617825258919</v>
      </c>
      <c r="E22" s="30">
        <f>IF(CDCM!$B99="60%MEAV",0.4*CDCM!E$276+CDCM!E$233,IF(CDCM!$B99="MEAV",CDCM!E$233,IF(CDCM!$B99="EHV only",CDCM!E$271,IF(CDCM!$B99="LV only",CDCM!E$276,0))))</f>
        <v>0.22063382481052812</v>
      </c>
      <c r="F22" s="17"/>
    </row>
    <row r="23" spans="1:6" x14ac:dyDescent="0.25">
      <c r="A23" s="4" t="s">
        <v>54</v>
      </c>
      <c r="B23" s="30">
        <f>IF(CDCM!$B100="60%MEAV",0.4*CDCM!B$276+CDCM!B$233,IF(CDCM!$B100="MEAV",CDCM!B$233,IF(CDCM!$B100="EHV only",CDCM!B$271,IF(CDCM!$B100="LV only",CDCM!B$276,0))))</f>
        <v>0.4330018323211815</v>
      </c>
      <c r="C23" s="30">
        <f>IF(CDCM!$B100="60%MEAV",0.4*CDCM!C$276+CDCM!C$233,IF(CDCM!$B100="MEAV",CDCM!C$233,IF(CDCM!$B100="EHV only",CDCM!C$271,IF(CDCM!$B100="LV only",CDCM!C$276,0))))</f>
        <v>6.8102560342398352E-2</v>
      </c>
      <c r="D23" s="30">
        <f>IF(CDCM!$B100="60%MEAV",0.4*CDCM!D$276+CDCM!D$233,IF(CDCM!$B100="MEAV",CDCM!D$233,IF(CDCM!$B100="EHV only",CDCM!D$271,IF(CDCM!$B100="LV only",CDCM!D$276,0))))</f>
        <v>0.2782617825258919</v>
      </c>
      <c r="E23" s="30">
        <f>IF(CDCM!$B100="60%MEAV",0.4*CDCM!E$276+CDCM!E$233,IF(CDCM!$B100="MEAV",CDCM!E$233,IF(CDCM!$B100="EHV only",CDCM!E$271,IF(CDCM!$B100="LV only",CDCM!E$276,0))))</f>
        <v>0.22063382481052812</v>
      </c>
      <c r="F23" s="17"/>
    </row>
    <row r="24" spans="1:6" x14ac:dyDescent="0.25">
      <c r="A24" s="4" t="s">
        <v>55</v>
      </c>
      <c r="B24" s="30">
        <f>IF(CDCM!$B101="60%MEAV",0.4*CDCM!B$276+CDCM!B$233,IF(CDCM!$B101="MEAV",CDCM!B$233,IF(CDCM!$B101="EHV only",CDCM!B$271,IF(CDCM!$B101="LV only",CDCM!B$276,0))))</f>
        <v>0.4330018323211815</v>
      </c>
      <c r="C24" s="30">
        <f>IF(CDCM!$B101="60%MEAV",0.4*CDCM!C$276+CDCM!C$233,IF(CDCM!$B101="MEAV",CDCM!C$233,IF(CDCM!$B101="EHV only",CDCM!C$271,IF(CDCM!$B101="LV only",CDCM!C$276,0))))</f>
        <v>6.8102560342398352E-2</v>
      </c>
      <c r="D24" s="30">
        <f>IF(CDCM!$B101="60%MEAV",0.4*CDCM!D$276+CDCM!D$233,IF(CDCM!$B101="MEAV",CDCM!D$233,IF(CDCM!$B101="EHV only",CDCM!D$271,IF(CDCM!$B101="LV only",CDCM!D$276,0))))</f>
        <v>0.2782617825258919</v>
      </c>
      <c r="E24" s="30">
        <f>IF(CDCM!$B101="60%MEAV",0.4*CDCM!E$276+CDCM!E$233,IF(CDCM!$B101="MEAV",CDCM!E$233,IF(CDCM!$B101="EHV only",CDCM!E$271,IF(CDCM!$B101="LV only",CDCM!E$276,0))))</f>
        <v>0.22063382481052812</v>
      </c>
      <c r="F24" s="17"/>
    </row>
    <row r="25" spans="1:6" x14ac:dyDescent="0.25">
      <c r="A25" s="4" t="s">
        <v>56</v>
      </c>
      <c r="B25" s="30">
        <f>IF(CDCM!$B102="60%MEAV",0.4*CDCM!B$276+CDCM!B$233,IF(CDCM!$B102="MEAV",CDCM!B$233,IF(CDCM!$B102="EHV only",CDCM!B$271,IF(CDCM!$B102="LV only",CDCM!B$276,0))))</f>
        <v>0.4330018323211815</v>
      </c>
      <c r="C25" s="30">
        <f>IF(CDCM!$B102="60%MEAV",0.4*CDCM!C$276+CDCM!C$233,IF(CDCM!$B102="MEAV",CDCM!C$233,IF(CDCM!$B102="EHV only",CDCM!C$271,IF(CDCM!$B102="LV only",CDCM!C$276,0))))</f>
        <v>6.8102560342398352E-2</v>
      </c>
      <c r="D25" s="30">
        <f>IF(CDCM!$B102="60%MEAV",0.4*CDCM!D$276+CDCM!D$233,IF(CDCM!$B102="MEAV",CDCM!D$233,IF(CDCM!$B102="EHV only",CDCM!D$271,IF(CDCM!$B102="LV only",CDCM!D$276,0))))</f>
        <v>0.2782617825258919</v>
      </c>
      <c r="E25" s="30">
        <f>IF(CDCM!$B102="60%MEAV",0.4*CDCM!E$276+CDCM!E$233,IF(CDCM!$B102="MEAV",CDCM!E$233,IF(CDCM!$B102="EHV only",CDCM!E$271,IF(CDCM!$B102="LV only",CDCM!E$276,0))))</f>
        <v>0.22063382481052812</v>
      </c>
      <c r="F25" s="17"/>
    </row>
    <row r="26" spans="1:6" x14ac:dyDescent="0.25">
      <c r="A26" s="4" t="s">
        <v>57</v>
      </c>
      <c r="B26" s="30">
        <f>IF(CDCM!$B103="60%MEAV",0.4*CDCM!B$276+CDCM!B$233,IF(CDCM!$B103="MEAV",CDCM!B$233,IF(CDCM!$B103="EHV only",CDCM!B$271,IF(CDCM!$B103="LV only",CDCM!B$276,0))))</f>
        <v>0.4330018323211815</v>
      </c>
      <c r="C26" s="30">
        <f>IF(CDCM!$B103="60%MEAV",0.4*CDCM!C$276+CDCM!C$233,IF(CDCM!$B103="MEAV",CDCM!C$233,IF(CDCM!$B103="EHV only",CDCM!C$271,IF(CDCM!$B103="LV only",CDCM!C$276,0))))</f>
        <v>6.8102560342398352E-2</v>
      </c>
      <c r="D26" s="30">
        <f>IF(CDCM!$B103="60%MEAV",0.4*CDCM!D$276+CDCM!D$233,IF(CDCM!$B103="MEAV",CDCM!D$233,IF(CDCM!$B103="EHV only",CDCM!D$271,IF(CDCM!$B103="LV only",CDCM!D$276,0))))</f>
        <v>0.2782617825258919</v>
      </c>
      <c r="E26" s="30">
        <f>IF(CDCM!$B103="60%MEAV",0.4*CDCM!E$276+CDCM!E$233,IF(CDCM!$B103="MEAV",CDCM!E$233,IF(CDCM!$B103="EHV only",CDCM!E$271,IF(CDCM!$B103="LV only",CDCM!E$276,0))))</f>
        <v>0.22063382481052812</v>
      </c>
      <c r="F26" s="17"/>
    </row>
    <row r="27" spans="1:6" x14ac:dyDescent="0.25">
      <c r="A27" s="4" t="s">
        <v>58</v>
      </c>
      <c r="B27" s="30">
        <f>IF(CDCM!$B104="60%MEAV",0.4*CDCM!B$276+CDCM!B$233,IF(CDCM!$B104="MEAV",CDCM!B$233,IF(CDCM!$B104="EHV only",CDCM!B$271,IF(CDCM!$B104="LV only",CDCM!B$276,0))))</f>
        <v>0</v>
      </c>
      <c r="C27" s="30">
        <f>IF(CDCM!$B104="60%MEAV",0.4*CDCM!C$276+CDCM!C$233,IF(CDCM!$B104="MEAV",CDCM!C$233,IF(CDCM!$B104="EHV only",CDCM!C$271,IF(CDCM!$B104="LV only",CDCM!C$276,0))))</f>
        <v>0</v>
      </c>
      <c r="D27" s="30">
        <f>IF(CDCM!$B104="60%MEAV",0.4*CDCM!D$276+CDCM!D$233,IF(CDCM!$B104="MEAV",CDCM!D$233,IF(CDCM!$B104="EHV only",CDCM!D$271,IF(CDCM!$B104="LV only",CDCM!D$276,0))))</f>
        <v>0</v>
      </c>
      <c r="E27" s="30">
        <f>IF(CDCM!$B104="60%MEAV",0.4*CDCM!E$276+CDCM!E$233,IF(CDCM!$B104="MEAV",CDCM!E$233,IF(CDCM!$B104="EHV only",CDCM!E$271,IF(CDCM!$B104="LV only",CDCM!E$276,0))))</f>
        <v>0</v>
      </c>
      <c r="F27" s="17"/>
    </row>
    <row r="28" spans="1:6" x14ac:dyDescent="0.25">
      <c r="A28" s="4" t="s">
        <v>59</v>
      </c>
      <c r="B28" s="30">
        <f>IF(CDCM!$B105="60%MEAV",0.4*CDCM!B$276+CDCM!B$233,IF(CDCM!$B105="MEAV",CDCM!B$233,IF(CDCM!$B105="EHV only",CDCM!B$271,IF(CDCM!$B105="LV only",CDCM!B$276,0))))</f>
        <v>0</v>
      </c>
      <c r="C28" s="30">
        <f>IF(CDCM!$B105="60%MEAV",0.4*CDCM!C$276+CDCM!C$233,IF(CDCM!$B105="MEAV",CDCM!C$233,IF(CDCM!$B105="EHV only",CDCM!C$271,IF(CDCM!$B105="LV only",CDCM!C$276,0))))</f>
        <v>0</v>
      </c>
      <c r="D28" s="30">
        <f>IF(CDCM!$B105="60%MEAV",0.4*CDCM!D$276+CDCM!D$233,IF(CDCM!$B105="MEAV",CDCM!D$233,IF(CDCM!$B105="EHV only",CDCM!D$271,IF(CDCM!$B105="LV only",CDCM!D$276,0))))</f>
        <v>0</v>
      </c>
      <c r="E28" s="30">
        <f>IF(CDCM!$B105="60%MEAV",0.4*CDCM!E$276+CDCM!E$233,IF(CDCM!$B105="MEAV",CDCM!E$233,IF(CDCM!$B105="EHV only",CDCM!E$271,IF(CDCM!$B105="LV only",CDCM!E$276,0))))</f>
        <v>0</v>
      </c>
      <c r="F28" s="17"/>
    </row>
    <row r="29" spans="1:6" x14ac:dyDescent="0.25">
      <c r="A29" s="4" t="s">
        <v>60</v>
      </c>
      <c r="B29" s="30">
        <f>IF(CDCM!$B106="60%MEAV",0.4*CDCM!B$276+CDCM!B$233,IF(CDCM!$B106="MEAV",CDCM!B$233,IF(CDCM!$B106="EHV only",CDCM!B$271,IF(CDCM!$B106="LV only",CDCM!B$276,0))))</f>
        <v>0.4330018323211815</v>
      </c>
      <c r="C29" s="30">
        <f>IF(CDCM!$B106="60%MEAV",0.4*CDCM!C$276+CDCM!C$233,IF(CDCM!$B106="MEAV",CDCM!C$233,IF(CDCM!$B106="EHV only",CDCM!C$271,IF(CDCM!$B106="LV only",CDCM!C$276,0))))</f>
        <v>6.8102560342398352E-2</v>
      </c>
      <c r="D29" s="30">
        <f>IF(CDCM!$B106="60%MEAV",0.4*CDCM!D$276+CDCM!D$233,IF(CDCM!$B106="MEAV",CDCM!D$233,IF(CDCM!$B106="EHV only",CDCM!D$271,IF(CDCM!$B106="LV only",CDCM!D$276,0))))</f>
        <v>0.2782617825258919</v>
      </c>
      <c r="E29" s="30">
        <f>IF(CDCM!$B106="60%MEAV",0.4*CDCM!E$276+CDCM!E$233,IF(CDCM!$B106="MEAV",CDCM!E$233,IF(CDCM!$B106="EHV only",CDCM!E$271,IF(CDCM!$B106="LV only",CDCM!E$276,0))))</f>
        <v>0.22063382481052812</v>
      </c>
      <c r="F29" s="17"/>
    </row>
    <row r="30" spans="1:6" x14ac:dyDescent="0.25">
      <c r="A30" s="4" t="s">
        <v>61</v>
      </c>
      <c r="B30" s="30">
        <f>IF(CDCM!$B107="60%MEAV",0.4*CDCM!B$276+CDCM!B$233,IF(CDCM!$B107="MEAV",CDCM!B$233,IF(CDCM!$B107="EHV only",CDCM!B$271,IF(CDCM!$B107="LV only",CDCM!B$276,0))))</f>
        <v>0.4330018323211815</v>
      </c>
      <c r="C30" s="30">
        <f>IF(CDCM!$B107="60%MEAV",0.4*CDCM!C$276+CDCM!C$233,IF(CDCM!$B107="MEAV",CDCM!C$233,IF(CDCM!$B107="EHV only",CDCM!C$271,IF(CDCM!$B107="LV only",CDCM!C$276,0))))</f>
        <v>6.8102560342398352E-2</v>
      </c>
      <c r="D30" s="30">
        <f>IF(CDCM!$B107="60%MEAV",0.4*CDCM!D$276+CDCM!D$233,IF(CDCM!$B107="MEAV",CDCM!D$233,IF(CDCM!$B107="EHV only",CDCM!D$271,IF(CDCM!$B107="LV only",CDCM!D$276,0))))</f>
        <v>0.2782617825258919</v>
      </c>
      <c r="E30" s="30">
        <f>IF(CDCM!$B107="60%MEAV",0.4*CDCM!E$276+CDCM!E$233,IF(CDCM!$B107="MEAV",CDCM!E$233,IF(CDCM!$B107="EHV only",CDCM!E$271,IF(CDCM!$B107="LV only",CDCM!E$276,0))))</f>
        <v>0.22063382481052812</v>
      </c>
      <c r="F30" s="17"/>
    </row>
    <row r="31" spans="1:6" x14ac:dyDescent="0.25">
      <c r="A31" s="4" t="s">
        <v>62</v>
      </c>
      <c r="B31" s="30">
        <f>IF(CDCM!$B108="60%MEAV",0.4*CDCM!B$276+CDCM!B$233,IF(CDCM!$B108="MEAV",CDCM!B$233,IF(CDCM!$B108="EHV only",CDCM!B$271,IF(CDCM!$B108="LV only",CDCM!B$276,0))))</f>
        <v>0.4330018323211815</v>
      </c>
      <c r="C31" s="30">
        <f>IF(CDCM!$B108="60%MEAV",0.4*CDCM!C$276+CDCM!C$233,IF(CDCM!$B108="MEAV",CDCM!C$233,IF(CDCM!$B108="EHV only",CDCM!C$271,IF(CDCM!$B108="LV only",CDCM!C$276,0))))</f>
        <v>6.8102560342398352E-2</v>
      </c>
      <c r="D31" s="30">
        <f>IF(CDCM!$B108="60%MEAV",0.4*CDCM!D$276+CDCM!D$233,IF(CDCM!$B108="MEAV",CDCM!D$233,IF(CDCM!$B108="EHV only",CDCM!D$271,IF(CDCM!$B108="LV only",CDCM!D$276,0))))</f>
        <v>0.2782617825258919</v>
      </c>
      <c r="E31" s="30">
        <f>IF(CDCM!$B108="60%MEAV",0.4*CDCM!E$276+CDCM!E$233,IF(CDCM!$B108="MEAV",CDCM!E$233,IF(CDCM!$B108="EHV only",CDCM!E$271,IF(CDCM!$B108="LV only",CDCM!E$276,0))))</f>
        <v>0.22063382481052812</v>
      </c>
      <c r="F31" s="17"/>
    </row>
    <row r="32" spans="1:6" x14ac:dyDescent="0.25">
      <c r="A32" s="4" t="s">
        <v>63</v>
      </c>
      <c r="B32" s="30">
        <f>IF(CDCM!$B109="60%MEAV",0.4*CDCM!B$276+CDCM!B$233,IF(CDCM!$B109="MEAV",CDCM!B$233,IF(CDCM!$B109="EHV only",CDCM!B$271,IF(CDCM!$B109="LV only",CDCM!B$276,0))))</f>
        <v>0.4330018323211815</v>
      </c>
      <c r="C32" s="30">
        <f>IF(CDCM!$B109="60%MEAV",0.4*CDCM!C$276+CDCM!C$233,IF(CDCM!$B109="MEAV",CDCM!C$233,IF(CDCM!$B109="EHV only",CDCM!C$271,IF(CDCM!$B109="LV only",CDCM!C$276,0))))</f>
        <v>6.8102560342398352E-2</v>
      </c>
      <c r="D32" s="30">
        <f>IF(CDCM!$B109="60%MEAV",0.4*CDCM!D$276+CDCM!D$233,IF(CDCM!$B109="MEAV",CDCM!D$233,IF(CDCM!$B109="EHV only",CDCM!D$271,IF(CDCM!$B109="LV only",CDCM!D$276,0))))</f>
        <v>0.2782617825258919</v>
      </c>
      <c r="E32" s="30">
        <f>IF(CDCM!$B109="60%MEAV",0.4*CDCM!E$276+CDCM!E$233,IF(CDCM!$B109="MEAV",CDCM!E$233,IF(CDCM!$B109="EHV only",CDCM!E$271,IF(CDCM!$B109="LV only",CDCM!E$276,0))))</f>
        <v>0.22063382481052812</v>
      </c>
      <c r="F32" s="17"/>
    </row>
    <row r="33" spans="1:6" x14ac:dyDescent="0.25">
      <c r="A33" s="4" t="s">
        <v>64</v>
      </c>
      <c r="B33" s="30">
        <f>IF(CDCM!$B110="60%MEAV",0.4*CDCM!B$276+CDCM!B$233,IF(CDCM!$B110="MEAV",CDCM!B$233,IF(CDCM!$B110="EHV only",CDCM!B$271,IF(CDCM!$B110="LV only",CDCM!B$276,0))))</f>
        <v>0</v>
      </c>
      <c r="C33" s="30">
        <f>IF(CDCM!$B110="60%MEAV",0.4*CDCM!C$276+CDCM!C$233,IF(CDCM!$B110="MEAV",CDCM!C$233,IF(CDCM!$B110="EHV only",CDCM!C$271,IF(CDCM!$B110="LV only",CDCM!C$276,0))))</f>
        <v>0</v>
      </c>
      <c r="D33" s="30">
        <f>IF(CDCM!$B110="60%MEAV",0.4*CDCM!D$276+CDCM!D$233,IF(CDCM!$B110="MEAV",CDCM!D$233,IF(CDCM!$B110="EHV only",CDCM!D$271,IF(CDCM!$B110="LV only",CDCM!D$276,0))))</f>
        <v>0</v>
      </c>
      <c r="E33" s="30">
        <f>IF(CDCM!$B110="60%MEAV",0.4*CDCM!E$276+CDCM!E$233,IF(CDCM!$B110="MEAV",CDCM!E$233,IF(CDCM!$B110="EHV only",CDCM!E$271,IF(CDCM!$B110="LV only",CDCM!E$276,0))))</f>
        <v>0</v>
      </c>
      <c r="F33" s="17"/>
    </row>
    <row r="34" spans="1:6" x14ac:dyDescent="0.25">
      <c r="A34" s="4" t="s">
        <v>65</v>
      </c>
      <c r="B34" s="30">
        <f>IF(CDCM!$B111="60%MEAV",0.4*CDCM!B$276+CDCM!B$233,IF(CDCM!$B111="MEAV",CDCM!B$233,IF(CDCM!$B111="EHV only",CDCM!B$271,IF(CDCM!$B111="LV only",CDCM!B$276,0))))</f>
        <v>0</v>
      </c>
      <c r="C34" s="30">
        <f>IF(CDCM!$B111="60%MEAV",0.4*CDCM!C$276+CDCM!C$233,IF(CDCM!$B111="MEAV",CDCM!C$233,IF(CDCM!$B111="EHV only",CDCM!C$271,IF(CDCM!$B111="LV only",CDCM!C$276,0))))</f>
        <v>0</v>
      </c>
      <c r="D34" s="30">
        <f>IF(CDCM!$B111="60%MEAV",0.4*CDCM!D$276+CDCM!D$233,IF(CDCM!$B111="MEAV",CDCM!D$233,IF(CDCM!$B111="EHV only",CDCM!D$271,IF(CDCM!$B111="LV only",CDCM!D$276,0))))</f>
        <v>0</v>
      </c>
      <c r="E34" s="30">
        <f>IF(CDCM!$B111="60%MEAV",0.4*CDCM!E$276+CDCM!E$233,IF(CDCM!$B111="MEAV",CDCM!E$233,IF(CDCM!$B111="EHV only",CDCM!E$271,IF(CDCM!$B111="LV only",CDCM!E$276,0))))</f>
        <v>0</v>
      </c>
      <c r="F34" s="17"/>
    </row>
    <row r="35" spans="1:6" x14ac:dyDescent="0.25">
      <c r="A35" s="4" t="s">
        <v>66</v>
      </c>
      <c r="B35" s="30">
        <f>IF(CDCM!$B112="60%MEAV",0.4*CDCM!B$276+CDCM!B$233,IF(CDCM!$B112="MEAV",CDCM!B$233,IF(CDCM!$B112="EHV only",CDCM!B$271,IF(CDCM!$B112="LV only",CDCM!B$276,0))))</f>
        <v>0</v>
      </c>
      <c r="C35" s="30">
        <f>IF(CDCM!$B112="60%MEAV",0.4*CDCM!C$276+CDCM!C$233,IF(CDCM!$B112="MEAV",CDCM!C$233,IF(CDCM!$B112="EHV only",CDCM!C$271,IF(CDCM!$B112="LV only",CDCM!C$276,0))))</f>
        <v>0</v>
      </c>
      <c r="D35" s="30">
        <f>IF(CDCM!$B112="60%MEAV",0.4*CDCM!D$276+CDCM!D$233,IF(CDCM!$B112="MEAV",CDCM!D$233,IF(CDCM!$B112="EHV only",CDCM!D$271,IF(CDCM!$B112="LV only",CDCM!D$276,0))))</f>
        <v>0</v>
      </c>
      <c r="E35" s="30">
        <f>IF(CDCM!$B112="60%MEAV",0.4*CDCM!E$276+CDCM!E$233,IF(CDCM!$B112="MEAV",CDCM!E$233,IF(CDCM!$B112="EHV only",CDCM!E$271,IF(CDCM!$B112="LV only",CDCM!E$276,0))))</f>
        <v>0</v>
      </c>
      <c r="F35" s="17"/>
    </row>
    <row r="36" spans="1:6" x14ac:dyDescent="0.25">
      <c r="A36" s="4" t="s">
        <v>67</v>
      </c>
      <c r="B36" s="30">
        <f>IF(CDCM!$B113="60%MEAV",0.4*CDCM!B$276+CDCM!B$233,IF(CDCM!$B113="MEAV",CDCM!B$233,IF(CDCM!$B113="EHV only",CDCM!B$271,IF(CDCM!$B113="LV only",CDCM!B$276,0))))</f>
        <v>0</v>
      </c>
      <c r="C36" s="30">
        <f>IF(CDCM!$B113="60%MEAV",0.4*CDCM!C$276+CDCM!C$233,IF(CDCM!$B113="MEAV",CDCM!C$233,IF(CDCM!$B113="EHV only",CDCM!C$271,IF(CDCM!$B113="LV only",CDCM!C$276,0))))</f>
        <v>0</v>
      </c>
      <c r="D36" s="30">
        <f>IF(CDCM!$B113="60%MEAV",0.4*CDCM!D$276+CDCM!D$233,IF(CDCM!$B113="MEAV",CDCM!D$233,IF(CDCM!$B113="EHV only",CDCM!D$271,IF(CDCM!$B113="LV only",CDCM!D$276,0))))</f>
        <v>0</v>
      </c>
      <c r="E36" s="30">
        <f>IF(CDCM!$B113="60%MEAV",0.4*CDCM!E$276+CDCM!E$233,IF(CDCM!$B113="MEAV",CDCM!E$233,IF(CDCM!$B113="EHV only",CDCM!E$271,IF(CDCM!$B113="LV only",CDCM!E$276,0))))</f>
        <v>0</v>
      </c>
      <c r="F36" s="17"/>
    </row>
    <row r="37" spans="1:6" ht="30" x14ac:dyDescent="0.25">
      <c r="A37" s="4" t="s">
        <v>68</v>
      </c>
      <c r="B37" s="30">
        <f>IF(CDCM!$B114="60%MEAV",0.4*CDCM!B$276+CDCM!B$233,IF(CDCM!$B114="MEAV",CDCM!B$233,IF(CDCM!$B114="EHV only",CDCM!B$271,IF(CDCM!$B114="LV only",CDCM!B$276,0))))</f>
        <v>0</v>
      </c>
      <c r="C37" s="30">
        <f>IF(CDCM!$B114="60%MEAV",0.4*CDCM!C$276+CDCM!C$233,IF(CDCM!$B114="MEAV",CDCM!C$233,IF(CDCM!$B114="EHV only",CDCM!C$271,IF(CDCM!$B114="LV only",CDCM!C$276,0))))</f>
        <v>0</v>
      </c>
      <c r="D37" s="30">
        <f>IF(CDCM!$B114="60%MEAV",0.4*CDCM!D$276+CDCM!D$233,IF(CDCM!$B114="MEAV",CDCM!D$233,IF(CDCM!$B114="EHV only",CDCM!D$271,IF(CDCM!$B114="LV only",CDCM!D$276,0))))</f>
        <v>0</v>
      </c>
      <c r="E37" s="30">
        <f>IF(CDCM!$B114="60%MEAV",0.4*CDCM!E$276+CDCM!E$233,IF(CDCM!$B114="MEAV",CDCM!E$233,IF(CDCM!$B114="EHV only",CDCM!E$271,IF(CDCM!$B114="LV only",CDCM!E$276,0))))</f>
        <v>0</v>
      </c>
      <c r="F37" s="17"/>
    </row>
    <row r="38" spans="1:6" x14ac:dyDescent="0.25">
      <c r="A38" s="4" t="s">
        <v>69</v>
      </c>
      <c r="B38" s="30">
        <f>IF(CDCM!$B115="60%MEAV",0.4*CDCM!B$276+CDCM!B$233,IF(CDCM!$B115="MEAV",CDCM!B$233,IF(CDCM!$B115="EHV only",CDCM!B$271,IF(CDCM!$B115="LV only",CDCM!B$276,0))))</f>
        <v>0</v>
      </c>
      <c r="C38" s="30">
        <f>IF(CDCM!$B115="60%MEAV",0.4*CDCM!C$276+CDCM!C$233,IF(CDCM!$B115="MEAV",CDCM!C$233,IF(CDCM!$B115="EHV only",CDCM!C$271,IF(CDCM!$B115="LV only",CDCM!C$276,0))))</f>
        <v>0</v>
      </c>
      <c r="D38" s="30">
        <f>IF(CDCM!$B115="60%MEAV",0.4*CDCM!D$276+CDCM!D$233,IF(CDCM!$B115="MEAV",CDCM!D$233,IF(CDCM!$B115="EHV only",CDCM!D$271,IF(CDCM!$B115="LV only",CDCM!D$276,0))))</f>
        <v>0</v>
      </c>
      <c r="E38" s="30">
        <f>IF(CDCM!$B115="60%MEAV",0.4*CDCM!E$276+CDCM!E$233,IF(CDCM!$B115="MEAV",CDCM!E$233,IF(CDCM!$B115="EHV only",CDCM!E$271,IF(CDCM!$B115="LV only",CDCM!E$276,0))))</f>
        <v>0</v>
      </c>
      <c r="F38" s="17"/>
    </row>
    <row r="39" spans="1:6" x14ac:dyDescent="0.25">
      <c r="A39" s="4" t="s">
        <v>70</v>
      </c>
      <c r="B39" s="30">
        <f>IF(CDCM!$B116="60%MEAV",0.4*CDCM!B$276+CDCM!B$233,IF(CDCM!$B116="MEAV",CDCM!B$233,IF(CDCM!$B116="EHV only",CDCM!B$271,IF(CDCM!$B116="LV only",CDCM!B$276,0))))</f>
        <v>0</v>
      </c>
      <c r="C39" s="30">
        <f>IF(CDCM!$B116="60%MEAV",0.4*CDCM!C$276+CDCM!C$233,IF(CDCM!$B116="MEAV",CDCM!C$233,IF(CDCM!$B116="EHV only",CDCM!C$271,IF(CDCM!$B116="LV only",CDCM!C$276,0))))</f>
        <v>0</v>
      </c>
      <c r="D39" s="30">
        <f>IF(CDCM!$B116="60%MEAV",0.4*CDCM!D$276+CDCM!D$233,IF(CDCM!$B116="MEAV",CDCM!D$233,IF(CDCM!$B116="EHV only",CDCM!D$271,IF(CDCM!$B116="LV only",CDCM!D$276,0))))</f>
        <v>0</v>
      </c>
      <c r="E39" s="30">
        <f>IF(CDCM!$B116="60%MEAV",0.4*CDCM!E$276+CDCM!E$233,IF(CDCM!$B116="MEAV",CDCM!E$233,IF(CDCM!$B116="EHV only",CDCM!E$271,IF(CDCM!$B116="LV only",CDCM!E$276,0))))</f>
        <v>0</v>
      </c>
      <c r="F39" s="17"/>
    </row>
    <row r="40" spans="1:6" x14ac:dyDescent="0.25">
      <c r="A40" s="4" t="s">
        <v>71</v>
      </c>
      <c r="B40" s="30">
        <f>IF(CDCM!$B117="60%MEAV",0.4*CDCM!B$276+CDCM!B$233,IF(CDCM!$B117="MEAV",CDCM!B$233,IF(CDCM!$B117="EHV only",CDCM!B$271,IF(CDCM!$B117="LV only",CDCM!B$276,0))))</f>
        <v>0</v>
      </c>
      <c r="C40" s="30">
        <f>IF(CDCM!$B117="60%MEAV",0.4*CDCM!C$276+CDCM!C$233,IF(CDCM!$B117="MEAV",CDCM!C$233,IF(CDCM!$B117="EHV only",CDCM!C$271,IF(CDCM!$B117="LV only",CDCM!C$276,0))))</f>
        <v>0</v>
      </c>
      <c r="D40" s="30">
        <f>IF(CDCM!$B117="60%MEAV",0.4*CDCM!D$276+CDCM!D$233,IF(CDCM!$B117="MEAV",CDCM!D$233,IF(CDCM!$B117="EHV only",CDCM!D$271,IF(CDCM!$B117="LV only",CDCM!D$276,0))))</f>
        <v>0</v>
      </c>
      <c r="E40" s="30">
        <f>IF(CDCM!$B117="60%MEAV",0.4*CDCM!E$276+CDCM!E$233,IF(CDCM!$B117="MEAV",CDCM!E$233,IF(CDCM!$B117="EHV only",CDCM!E$271,IF(CDCM!$B117="LV only",CDCM!E$276,0))))</f>
        <v>0</v>
      </c>
      <c r="F40" s="17"/>
    </row>
    <row r="41" spans="1:6" x14ac:dyDescent="0.25">
      <c r="A41" s="4" t="s">
        <v>72</v>
      </c>
      <c r="B41" s="30">
        <f>IF(CDCM!$B118="60%MEAV",0.4*CDCM!B$276+CDCM!B$233,IF(CDCM!$B118="MEAV",CDCM!B$233,IF(CDCM!$B118="EHV only",CDCM!B$271,IF(CDCM!$B118="LV only",CDCM!B$276,0))))</f>
        <v>0</v>
      </c>
      <c r="C41" s="30">
        <f>IF(CDCM!$B118="60%MEAV",0.4*CDCM!C$276+CDCM!C$233,IF(CDCM!$B118="MEAV",CDCM!C$233,IF(CDCM!$B118="EHV only",CDCM!C$271,IF(CDCM!$B118="LV only",CDCM!C$276,0))))</f>
        <v>0</v>
      </c>
      <c r="D41" s="30">
        <f>IF(CDCM!$B118="60%MEAV",0.4*CDCM!D$276+CDCM!D$233,IF(CDCM!$B118="MEAV",CDCM!D$233,IF(CDCM!$B118="EHV only",CDCM!D$271,IF(CDCM!$B118="LV only",CDCM!D$276,0))))</f>
        <v>0</v>
      </c>
      <c r="E41" s="30">
        <f>IF(CDCM!$B118="60%MEAV",0.4*CDCM!E$276+CDCM!E$233,IF(CDCM!$B118="MEAV",CDCM!E$233,IF(CDCM!$B118="EHV only",CDCM!E$271,IF(CDCM!$B118="LV only",CDCM!E$276,0))))</f>
        <v>0</v>
      </c>
      <c r="F41" s="17"/>
    </row>
    <row r="42" spans="1:6" x14ac:dyDescent="0.25">
      <c r="A42" s="4" t="s">
        <v>73</v>
      </c>
      <c r="B42" s="30">
        <f>IF(CDCM!$B119="60%MEAV",0.4*CDCM!B$276+CDCM!B$233,IF(CDCM!$B119="MEAV",CDCM!B$233,IF(CDCM!$B119="EHV only",CDCM!B$271,IF(CDCM!$B119="LV only",CDCM!B$276,0))))</f>
        <v>0</v>
      </c>
      <c r="C42" s="30">
        <f>IF(CDCM!$B119="60%MEAV",0.4*CDCM!C$276+CDCM!C$233,IF(CDCM!$B119="MEAV",CDCM!C$233,IF(CDCM!$B119="EHV only",CDCM!C$271,IF(CDCM!$B119="LV only",CDCM!C$276,0))))</f>
        <v>0</v>
      </c>
      <c r="D42" s="30">
        <f>IF(CDCM!$B119="60%MEAV",0.4*CDCM!D$276+CDCM!D$233,IF(CDCM!$B119="MEAV",CDCM!D$233,IF(CDCM!$B119="EHV only",CDCM!D$271,IF(CDCM!$B119="LV only",CDCM!D$276,0))))</f>
        <v>0</v>
      </c>
      <c r="E42" s="30">
        <f>IF(CDCM!$B119="60%MEAV",0.4*CDCM!E$276+CDCM!E$233,IF(CDCM!$B119="MEAV",CDCM!E$233,IF(CDCM!$B119="EHV only",CDCM!E$271,IF(CDCM!$B119="LV only",CDCM!E$276,0))))</f>
        <v>0</v>
      </c>
      <c r="F42" s="17"/>
    </row>
    <row r="43" spans="1:6" ht="30" x14ac:dyDescent="0.25">
      <c r="A43" s="4" t="s">
        <v>74</v>
      </c>
      <c r="B43" s="30">
        <f>IF(CDCM!$B120="60%MEAV",0.4*CDCM!B$276+CDCM!B$233,IF(CDCM!$B120="MEAV",CDCM!B$233,IF(CDCM!$B120="EHV only",CDCM!B$271,IF(CDCM!$B120="LV only",CDCM!B$276,0))))</f>
        <v>0</v>
      </c>
      <c r="C43" s="30">
        <f>IF(CDCM!$B120="60%MEAV",0.4*CDCM!C$276+CDCM!C$233,IF(CDCM!$B120="MEAV",CDCM!C$233,IF(CDCM!$B120="EHV only",CDCM!C$271,IF(CDCM!$B120="LV only",CDCM!C$276,0))))</f>
        <v>0</v>
      </c>
      <c r="D43" s="30">
        <f>IF(CDCM!$B120="60%MEAV",0.4*CDCM!D$276+CDCM!D$233,IF(CDCM!$B120="MEAV",CDCM!D$233,IF(CDCM!$B120="EHV only",CDCM!D$271,IF(CDCM!$B120="LV only",CDCM!D$276,0))))</f>
        <v>0</v>
      </c>
      <c r="E43" s="30">
        <f>IF(CDCM!$B120="60%MEAV",0.4*CDCM!E$276+CDCM!E$233,IF(CDCM!$B120="MEAV",CDCM!E$233,IF(CDCM!$B120="EHV only",CDCM!E$271,IF(CDCM!$B120="LV only",CDCM!E$276,0))))</f>
        <v>0</v>
      </c>
      <c r="F43" s="17"/>
    </row>
    <row r="44" spans="1:6" ht="30" x14ac:dyDescent="0.25">
      <c r="A44" s="4" t="s">
        <v>75</v>
      </c>
      <c r="B44" s="30">
        <f>IF(CDCM!$B121="60%MEAV",0.4*CDCM!B$276+CDCM!B$233,IF(CDCM!$B121="MEAV",CDCM!B$233,IF(CDCM!$B121="EHV only",CDCM!B$271,IF(CDCM!$B121="LV only",CDCM!B$276,0))))</f>
        <v>0</v>
      </c>
      <c r="C44" s="30">
        <f>IF(CDCM!$B121="60%MEAV",0.4*CDCM!C$276+CDCM!C$233,IF(CDCM!$B121="MEAV",CDCM!C$233,IF(CDCM!$B121="EHV only",CDCM!C$271,IF(CDCM!$B121="LV only",CDCM!C$276,0))))</f>
        <v>0</v>
      </c>
      <c r="D44" s="30">
        <f>IF(CDCM!$B121="60%MEAV",0.4*CDCM!D$276+CDCM!D$233,IF(CDCM!$B121="MEAV",CDCM!D$233,IF(CDCM!$B121="EHV only",CDCM!D$271,IF(CDCM!$B121="LV only",CDCM!D$276,0))))</f>
        <v>0</v>
      </c>
      <c r="E44" s="30">
        <f>IF(CDCM!$B121="60%MEAV",0.4*CDCM!E$276+CDCM!E$233,IF(CDCM!$B121="MEAV",CDCM!E$233,IF(CDCM!$B121="EHV only",CDCM!E$271,IF(CDCM!$B121="LV only",CDCM!E$276,0))))</f>
        <v>0</v>
      </c>
      <c r="F44" s="17"/>
    </row>
    <row r="46" spans="1:6" ht="21" customHeight="1" x14ac:dyDescent="0.3">
      <c r="A46" s="1" t="s">
        <v>406</v>
      </c>
    </row>
    <row r="47" spans="1:6" x14ac:dyDescent="0.25">
      <c r="A47" s="2" t="s">
        <v>197</v>
      </c>
    </row>
    <row r="48" spans="1:6" x14ac:dyDescent="0.25">
      <c r="A48" s="21" t="s">
        <v>260</v>
      </c>
    </row>
    <row r="49" spans="1:6" x14ac:dyDescent="0.25">
      <c r="A49" s="21" t="s">
        <v>203</v>
      </c>
    </row>
    <row r="50" spans="1:6" x14ac:dyDescent="0.25">
      <c r="A50" s="21" t="s">
        <v>407</v>
      </c>
    </row>
    <row r="51" spans="1:6" x14ac:dyDescent="0.25">
      <c r="A51" s="21" t="s">
        <v>267</v>
      </c>
    </row>
    <row r="52" spans="1:6" x14ac:dyDescent="0.25">
      <c r="A52" s="21" t="s">
        <v>408</v>
      </c>
    </row>
    <row r="53" spans="1:6" x14ac:dyDescent="0.25">
      <c r="A53" s="2" t="s">
        <v>269</v>
      </c>
    </row>
    <row r="55" spans="1:6" x14ac:dyDescent="0.25">
      <c r="B55" s="15" t="s">
        <v>28</v>
      </c>
      <c r="C55" s="15" t="s">
        <v>38</v>
      </c>
      <c r="D55" s="15" t="s">
        <v>27</v>
      </c>
      <c r="E55" s="15" t="s">
        <v>39</v>
      </c>
    </row>
    <row r="56" spans="1:6" ht="30" x14ac:dyDescent="0.25">
      <c r="A56" s="4" t="s">
        <v>40</v>
      </c>
      <c r="B56" s="24">
        <f>IF(CDCM!$B89="Kill",0,CDCM!B10+(Input!$B117-CDCM!$C52)*B12)</f>
        <v>609999.99999999942</v>
      </c>
      <c r="C56" s="24">
        <f>IF(CDCM!$B89="Kill",0,CDCM!C10+(Input!$B117-CDCM!$C52)*C12)</f>
        <v>0</v>
      </c>
      <c r="D56" s="24">
        <f>IF(CDCM!$B89="Kill",0,CDCM!D10+(Input!$B117-CDCM!$C52)*D12)</f>
        <v>1020000</v>
      </c>
      <c r="E56" s="24">
        <f>IF(CDCM!$B89="Kill",0,CDCM!E10+(Input!$B117-CDCM!$C52)*E12)</f>
        <v>2655000.0000000005</v>
      </c>
      <c r="F56" s="17"/>
    </row>
    <row r="57" spans="1:6" ht="30" x14ac:dyDescent="0.25">
      <c r="A57" s="4" t="s">
        <v>44</v>
      </c>
      <c r="B57" s="24">
        <f>IF(CDCM!$B90="Kill",0,CDCM!B11+(Input!$B118-CDCM!$C53)*B13)</f>
        <v>5243300.1832321156</v>
      </c>
      <c r="C57" s="24">
        <f>IF(CDCM!$B90="Kill",0,CDCM!C11+(Input!$B118-CDCM!$C53)*C13)</f>
        <v>4206810.2560342392</v>
      </c>
      <c r="D57" s="24">
        <f>IF(CDCM!$B90="Kill",0,CDCM!D11+(Input!$B118-CDCM!$C53)*D13)</f>
        <v>14327826.178252587</v>
      </c>
      <c r="E57" s="24">
        <f>IF(CDCM!$B90="Kill",0,CDCM!E11+(Input!$B118-CDCM!$C53)*E13)</f>
        <v>8522063.3824810516</v>
      </c>
      <c r="F57" s="17"/>
    </row>
    <row r="58" spans="1:6" x14ac:dyDescent="0.25">
      <c r="A58" s="4" t="s">
        <v>45</v>
      </c>
      <c r="B58" s="24">
        <f>IF(CDCM!$B91="Kill",0,CDCM!B12+(Input!$B119-CDCM!$C54)*B14)</f>
        <v>1299005.4969635445</v>
      </c>
      <c r="C58" s="24">
        <f>IF(CDCM!$B91="Kill",0,CDCM!C12+(Input!$B119-CDCM!$C54)*C14)</f>
        <v>204307.68102719507</v>
      </c>
      <c r="D58" s="24">
        <f>IF(CDCM!$B91="Kill",0,CDCM!D12+(Input!$B119-CDCM!$C54)*D14)</f>
        <v>834785.34757767571</v>
      </c>
      <c r="E58" s="24">
        <f>IF(CDCM!$B91="Kill",0,CDCM!E12+(Input!$B119-CDCM!$C54)*E14)</f>
        <v>661901.47443158436</v>
      </c>
      <c r="F58" s="17"/>
    </row>
    <row r="59" spans="1:6" x14ac:dyDescent="0.25">
      <c r="A59" s="4" t="s">
        <v>46</v>
      </c>
      <c r="B59" s="24">
        <f>IF(CDCM!$B92="Kill",0,CDCM!B13+(Input!$B120-CDCM!$C55)*B15)</f>
        <v>5029900.5496963542</v>
      </c>
      <c r="C59" s="24">
        <f>IF(CDCM!$B92="Kill",0,CDCM!C13+(Input!$B120-CDCM!$C55)*C15)</f>
        <v>220430.76810271962</v>
      </c>
      <c r="D59" s="24">
        <f>IF(CDCM!$B92="Kill",0,CDCM!D13+(Input!$B120-CDCM!$C55)*D15)</f>
        <v>2383478.5347577683</v>
      </c>
      <c r="E59" s="24">
        <f>IF(CDCM!$B92="Kill",0,CDCM!E13+(Input!$B120-CDCM!$C55)*E15)</f>
        <v>666190.14744315902</v>
      </c>
      <c r="F59" s="17"/>
    </row>
    <row r="60" spans="1:6" x14ac:dyDescent="0.25">
      <c r="A60" s="4" t="s">
        <v>47</v>
      </c>
      <c r="B60" s="24">
        <f>IF(CDCM!$B93="Kill",0,CDCM!B14+(Input!$B121-CDCM!$C56)*B16)</f>
        <v>829900.54969635454</v>
      </c>
      <c r="C60" s="24">
        <f>IF(CDCM!$B93="Kill",0,CDCM!C14+(Input!$B121-CDCM!$C56)*C16)</f>
        <v>1620430.7681027194</v>
      </c>
      <c r="D60" s="24">
        <f>IF(CDCM!$B93="Kill",0,CDCM!D14+(Input!$B121-CDCM!$C56)*D16)</f>
        <v>683478.53475776757</v>
      </c>
      <c r="E60" s="24">
        <f>IF(CDCM!$B93="Kill",0,CDCM!E14+(Input!$B121-CDCM!$C56)*E16)</f>
        <v>2366190.147443159</v>
      </c>
      <c r="F60" s="17"/>
    </row>
    <row r="61" spans="1:6" x14ac:dyDescent="0.25">
      <c r="A61" s="4" t="s">
        <v>48</v>
      </c>
      <c r="B61" s="24">
        <f>IF(CDCM!$B94="Kill",0,CDCM!B15+(Input!$B122-CDCM!$C57)*B17)</f>
        <v>1140246.1631714408</v>
      </c>
      <c r="C61" s="24">
        <f>IF(CDCM!$B94="Kill",0,CDCM!C15+(Input!$B122-CDCM!$C57)*C17)</f>
        <v>-3974.7747837763768</v>
      </c>
      <c r="D61" s="24">
        <f>IF(CDCM!$B94="Kill",0,CDCM!D15+(Input!$B122-CDCM!$C57)*D17)</f>
        <v>2346828.7147169048</v>
      </c>
      <c r="E61" s="24">
        <f>IF(CDCM!$B94="Kill",0,CDCM!E15+(Input!$B122-CDCM!$C57)*E17)</f>
        <v>616899.89689543017</v>
      </c>
      <c r="F61" s="17"/>
    </row>
    <row r="62" spans="1:6" x14ac:dyDescent="0.25">
      <c r="A62" s="4" t="s">
        <v>49</v>
      </c>
      <c r="B62" s="24">
        <f>IF(CDCM!$B95="Kill",0,CDCM!B16+(Input!$B123-CDCM!$C58)*B18)</f>
        <v>259801.09939270891</v>
      </c>
      <c r="C62" s="24">
        <f>IF(CDCM!$B95="Kill",0,CDCM!C16+(Input!$B123-CDCM!$C58)*C18)</f>
        <v>40861.536205439013</v>
      </c>
      <c r="D62" s="24">
        <f>IF(CDCM!$B95="Kill",0,CDCM!D16+(Input!$B123-CDCM!$C58)*D18)</f>
        <v>166957.06951553514</v>
      </c>
      <c r="E62" s="24">
        <f>IF(CDCM!$B95="Kill",0,CDCM!E16+(Input!$B123-CDCM!$C58)*E18)</f>
        <v>132380.29488631687</v>
      </c>
      <c r="F62" s="17"/>
    </row>
    <row r="63" spans="1:6" x14ac:dyDescent="0.25">
      <c r="A63" s="4" t="s">
        <v>50</v>
      </c>
      <c r="B63" s="24">
        <f>IF(CDCM!$B96="Kill",0,CDCM!B17+(Input!$B124-CDCM!$C59)*B19)</f>
        <v>1515506.4131241352</v>
      </c>
      <c r="C63" s="24">
        <f>IF(CDCM!$B96="Kill",0,CDCM!C17+(Input!$B124-CDCM!$C59)*C19)</f>
        <v>238358.96119839425</v>
      </c>
      <c r="D63" s="24">
        <f>IF(CDCM!$B96="Kill",0,CDCM!D17+(Input!$B124-CDCM!$C59)*D19)</f>
        <v>973916.23884062166</v>
      </c>
      <c r="E63" s="24">
        <f>IF(CDCM!$B96="Kill",0,CDCM!E17+(Input!$B124-CDCM!$C59)*E19)</f>
        <v>772218.38683684845</v>
      </c>
      <c r="F63" s="17"/>
    </row>
    <row r="64" spans="1:6" x14ac:dyDescent="0.25">
      <c r="A64" s="4" t="s">
        <v>51</v>
      </c>
      <c r="B64" s="24">
        <f>IF(CDCM!$B97="Kill",0,CDCM!B18+(Input!$B125-CDCM!$C60)*B20)</f>
        <v>1255705.3137314264</v>
      </c>
      <c r="C64" s="24">
        <f>IF(CDCM!$B97="Kill",0,CDCM!C18+(Input!$B125-CDCM!$C60)*C20)</f>
        <v>197497.42499295523</v>
      </c>
      <c r="D64" s="24">
        <f>IF(CDCM!$B97="Kill",0,CDCM!D18+(Input!$B125-CDCM!$C60)*D20)</f>
        <v>806959.16932508652</v>
      </c>
      <c r="E64" s="24">
        <f>IF(CDCM!$B97="Kill",0,CDCM!E18+(Input!$B125-CDCM!$C60)*E20)</f>
        <v>639838.09195053158</v>
      </c>
      <c r="F64" s="17"/>
    </row>
    <row r="65" spans="1:6" x14ac:dyDescent="0.25">
      <c r="A65" s="4" t="s">
        <v>52</v>
      </c>
      <c r="B65" s="24">
        <f>IF(CDCM!$B98="Kill",0,CDCM!B19+(Input!$B126-CDCM!$C61)*B21)</f>
        <v>3117613.1927125067</v>
      </c>
      <c r="C65" s="24">
        <f>IF(CDCM!$B98="Kill",0,CDCM!C19+(Input!$B126-CDCM!$C61)*C21)</f>
        <v>490338.43446526816</v>
      </c>
      <c r="D65" s="24">
        <f>IF(CDCM!$B98="Kill",0,CDCM!D19+(Input!$B126-CDCM!$C61)*D21)</f>
        <v>2003484.8341864217</v>
      </c>
      <c r="E65" s="24">
        <f>IF(CDCM!$B98="Kill",0,CDCM!E19+(Input!$B126-CDCM!$C61)*E21)</f>
        <v>1588563.5386358025</v>
      </c>
      <c r="F65" s="17"/>
    </row>
    <row r="66" spans="1:6" x14ac:dyDescent="0.25">
      <c r="A66" s="4" t="s">
        <v>53</v>
      </c>
      <c r="B66" s="24">
        <f>IF(CDCM!$B99="Kill",0,CDCM!B20+(Input!$B127-CDCM!$C62)*B22)</f>
        <v>822703.48141024483</v>
      </c>
      <c r="C66" s="24">
        <f>IF(CDCM!$B99="Kill",0,CDCM!C20+(Input!$B127-CDCM!$C62)*C22)</f>
        <v>129394.86465055688</v>
      </c>
      <c r="D66" s="24">
        <f>IF(CDCM!$B99="Kill",0,CDCM!D20+(Input!$B127-CDCM!$C62)*D22)</f>
        <v>528697.38679919462</v>
      </c>
      <c r="E66" s="24">
        <f>IF(CDCM!$B99="Kill",0,CDCM!E20+(Input!$B127-CDCM!$C62)*E22)</f>
        <v>419204.26714000345</v>
      </c>
      <c r="F66" s="17"/>
    </row>
    <row r="67" spans="1:6" x14ac:dyDescent="0.25">
      <c r="A67" s="4" t="s">
        <v>54</v>
      </c>
      <c r="B67" s="24">
        <f>IF(CDCM!$B100="Kill",0,CDCM!B21+(Input!$B128-CDCM!$C63)*B23)</f>
        <v>433001.83232118149</v>
      </c>
      <c r="C67" s="24">
        <f>IF(CDCM!$B100="Kill",0,CDCM!C21+(Input!$B128-CDCM!$C63)*C23)</f>
        <v>68102.560342398356</v>
      </c>
      <c r="D67" s="24">
        <f>IF(CDCM!$B100="Kill",0,CDCM!D21+(Input!$B128-CDCM!$C63)*D23)</f>
        <v>278261.7825258919</v>
      </c>
      <c r="E67" s="24">
        <f>IF(CDCM!$B100="Kill",0,CDCM!E21+(Input!$B128-CDCM!$C63)*E23)</f>
        <v>220633.82481052811</v>
      </c>
      <c r="F67" s="17"/>
    </row>
    <row r="68" spans="1:6" x14ac:dyDescent="0.25">
      <c r="A68" s="4" t="s">
        <v>55</v>
      </c>
      <c r="B68" s="24">
        <f>IF(CDCM!$B101="Kill",0,CDCM!B22+(Input!$B129-CDCM!$C64)*B24)</f>
        <v>303101.28262482706</v>
      </c>
      <c r="C68" s="24">
        <f>IF(CDCM!$B101="Kill",0,CDCM!C22+(Input!$B129-CDCM!$C64)*C24)</f>
        <v>47671.792239678849</v>
      </c>
      <c r="D68" s="24">
        <f>IF(CDCM!$B101="Kill",0,CDCM!D22+(Input!$B129-CDCM!$C64)*D24)</f>
        <v>194783.24776812433</v>
      </c>
      <c r="E68" s="24">
        <f>IF(CDCM!$B101="Kill",0,CDCM!E22+(Input!$B129-CDCM!$C64)*E24)</f>
        <v>154443.67736736967</v>
      </c>
      <c r="F68" s="17"/>
    </row>
    <row r="69" spans="1:6" x14ac:dyDescent="0.25">
      <c r="A69" s="4" t="s">
        <v>56</v>
      </c>
      <c r="B69" s="24">
        <f>IF(CDCM!$B102="Kill",0,CDCM!B23+(Input!$B130-CDCM!$C65)*B25)</f>
        <v>389701.64908906334</v>
      </c>
      <c r="C69" s="24">
        <f>IF(CDCM!$B102="Kill",0,CDCM!C23+(Input!$B130-CDCM!$C65)*C25)</f>
        <v>61292.30430815852</v>
      </c>
      <c r="D69" s="24">
        <f>IF(CDCM!$B102="Kill",0,CDCM!D23+(Input!$B130-CDCM!$C65)*D25)</f>
        <v>250435.60427330271</v>
      </c>
      <c r="E69" s="24">
        <f>IF(CDCM!$B102="Kill",0,CDCM!E23+(Input!$B130-CDCM!$C65)*E25)</f>
        <v>198570.44232947531</v>
      </c>
      <c r="F69" s="17"/>
    </row>
    <row r="70" spans="1:6" x14ac:dyDescent="0.25">
      <c r="A70" s="4" t="s">
        <v>57</v>
      </c>
      <c r="B70" s="24">
        <f>IF(CDCM!$B103="Kill",0,CDCM!B24+(Input!$B131-CDCM!$C66)*B26)</f>
        <v>1169104.9472671901</v>
      </c>
      <c r="C70" s="24">
        <f>IF(CDCM!$B103="Kill",0,CDCM!C24+(Input!$B131-CDCM!$C66)*C26)</f>
        <v>183876.91292447556</v>
      </c>
      <c r="D70" s="24">
        <f>IF(CDCM!$B103="Kill",0,CDCM!D24+(Input!$B131-CDCM!$C66)*D26)</f>
        <v>751306.81281990814</v>
      </c>
      <c r="E70" s="24">
        <f>IF(CDCM!$B103="Kill",0,CDCM!E24+(Input!$B131-CDCM!$C66)*E26)</f>
        <v>595711.32698842592</v>
      </c>
      <c r="F70" s="17"/>
    </row>
    <row r="71" spans="1:6" x14ac:dyDescent="0.25">
      <c r="A71" s="4" t="s">
        <v>58</v>
      </c>
      <c r="B71" s="24">
        <f>IF(CDCM!$B104="Kill",0,CDCM!B25+(Input!$B132-CDCM!$C67)*B27)</f>
        <v>0</v>
      </c>
      <c r="C71" s="24">
        <f>IF(CDCM!$B104="Kill",0,CDCM!C25+(Input!$B132-CDCM!$C67)*C27)</f>
        <v>0</v>
      </c>
      <c r="D71" s="24">
        <f>IF(CDCM!$B104="Kill",0,CDCM!D25+(Input!$B132-CDCM!$C67)*D27)</f>
        <v>0</v>
      </c>
      <c r="E71" s="24">
        <f>IF(CDCM!$B104="Kill",0,CDCM!E25+(Input!$B132-CDCM!$C67)*E27)</f>
        <v>0</v>
      </c>
      <c r="F71" s="17"/>
    </row>
    <row r="72" spans="1:6" x14ac:dyDescent="0.25">
      <c r="A72" s="4" t="s">
        <v>59</v>
      </c>
      <c r="B72" s="24">
        <f>IF(CDCM!$B105="Kill",0,CDCM!B26+(Input!$B133-CDCM!$C68)*B28)</f>
        <v>0</v>
      </c>
      <c r="C72" s="24">
        <f>IF(CDCM!$B105="Kill",0,CDCM!C26+(Input!$B133-CDCM!$C68)*C28)</f>
        <v>0</v>
      </c>
      <c r="D72" s="24">
        <f>IF(CDCM!$B105="Kill",0,CDCM!D26+(Input!$B133-CDCM!$C68)*D28)</f>
        <v>0</v>
      </c>
      <c r="E72" s="24">
        <f>IF(CDCM!$B105="Kill",0,CDCM!E26+(Input!$B133-CDCM!$C68)*E28)</f>
        <v>0</v>
      </c>
      <c r="F72" s="17"/>
    </row>
    <row r="73" spans="1:6" x14ac:dyDescent="0.25">
      <c r="A73" s="4" t="s">
        <v>60</v>
      </c>
      <c r="B73" s="24">
        <f>IF(CDCM!$B106="Kill",0,CDCM!B27+(Input!$B134-CDCM!$C69)*B29)</f>
        <v>389701.64908906334</v>
      </c>
      <c r="C73" s="24">
        <f>IF(CDCM!$B106="Kill",0,CDCM!C27+(Input!$B134-CDCM!$C69)*C29)</f>
        <v>61292.30430815852</v>
      </c>
      <c r="D73" s="24">
        <f>IF(CDCM!$B106="Kill",0,CDCM!D27+(Input!$B134-CDCM!$C69)*D29)</f>
        <v>250435.60427330271</v>
      </c>
      <c r="E73" s="24">
        <f>IF(CDCM!$B106="Kill",0,CDCM!E27+(Input!$B134-CDCM!$C69)*E29)</f>
        <v>198570.44232947531</v>
      </c>
      <c r="F73" s="17"/>
    </row>
    <row r="74" spans="1:6" x14ac:dyDescent="0.25">
      <c r="A74" s="4" t="s">
        <v>61</v>
      </c>
      <c r="B74" s="24">
        <f>IF(CDCM!$B107="Kill",0,CDCM!B28+(Input!$B135-CDCM!$C70)*B30)</f>
        <v>476302.01555329963</v>
      </c>
      <c r="C74" s="24">
        <f>IF(CDCM!$B107="Kill",0,CDCM!C28+(Input!$B135-CDCM!$C70)*C30)</f>
        <v>74912.816376638191</v>
      </c>
      <c r="D74" s="24">
        <f>IF(CDCM!$B107="Kill",0,CDCM!D28+(Input!$B135-CDCM!$C70)*D30)</f>
        <v>306087.96077848109</v>
      </c>
      <c r="E74" s="24">
        <f>IF(CDCM!$B107="Kill",0,CDCM!E28+(Input!$B135-CDCM!$C70)*E30)</f>
        <v>242697.20729158094</v>
      </c>
      <c r="F74" s="17"/>
    </row>
    <row r="75" spans="1:6" x14ac:dyDescent="0.25">
      <c r="A75" s="4" t="s">
        <v>62</v>
      </c>
      <c r="B75" s="24">
        <f>IF(CDCM!$B108="Kill",0,CDCM!B29+(Input!$B136-CDCM!$C71)*B31)</f>
        <v>2511410.6274628527</v>
      </c>
      <c r="C75" s="24">
        <f>IF(CDCM!$B108="Kill",0,CDCM!C29+(Input!$B136-CDCM!$C71)*C31)</f>
        <v>394994.84998591046</v>
      </c>
      <c r="D75" s="24">
        <f>IF(CDCM!$B108="Kill",0,CDCM!D29+(Input!$B136-CDCM!$C71)*D31)</f>
        <v>1613918.338650173</v>
      </c>
      <c r="E75" s="24">
        <f>IF(CDCM!$B108="Kill",0,CDCM!E29+(Input!$B136-CDCM!$C71)*E31)</f>
        <v>1279676.1839010632</v>
      </c>
      <c r="F75" s="17"/>
    </row>
    <row r="76" spans="1:6" x14ac:dyDescent="0.25">
      <c r="A76" s="4" t="s">
        <v>63</v>
      </c>
      <c r="B76" s="24">
        <f>IF(CDCM!$B109="Kill",0,CDCM!B30+(Input!$B137-CDCM!$C72)*B32)</f>
        <v>779403.29817812669</v>
      </c>
      <c r="C76" s="24">
        <f>IF(CDCM!$B109="Kill",0,CDCM!C30+(Input!$B137-CDCM!$C72)*C32)</f>
        <v>122584.60861631704</v>
      </c>
      <c r="D76" s="24">
        <f>IF(CDCM!$B109="Kill",0,CDCM!D30+(Input!$B137-CDCM!$C72)*D32)</f>
        <v>500871.20854660543</v>
      </c>
      <c r="E76" s="24">
        <f>IF(CDCM!$B109="Kill",0,CDCM!E30+(Input!$B137-CDCM!$C72)*E32)</f>
        <v>397140.88465895061</v>
      </c>
      <c r="F76" s="17"/>
    </row>
    <row r="77" spans="1:6" x14ac:dyDescent="0.25">
      <c r="A77" s="4" t="s">
        <v>64</v>
      </c>
      <c r="B77" s="24">
        <f>IF(CDCM!$B110="Kill",0,CDCM!B31+(Input!$B138-CDCM!$C73)*B33)</f>
        <v>0</v>
      </c>
      <c r="C77" s="24">
        <f>IF(CDCM!$B110="Kill",0,CDCM!C31+(Input!$B138-CDCM!$C73)*C33)</f>
        <v>0</v>
      </c>
      <c r="D77" s="24">
        <f>IF(CDCM!$B110="Kill",0,CDCM!D31+(Input!$B138-CDCM!$C73)*D33)</f>
        <v>0</v>
      </c>
      <c r="E77" s="24">
        <f>IF(CDCM!$B110="Kill",0,CDCM!E31+(Input!$B138-CDCM!$C73)*E33)</f>
        <v>0</v>
      </c>
      <c r="F77" s="17"/>
    </row>
    <row r="78" spans="1:6" x14ac:dyDescent="0.25">
      <c r="A78" s="4" t="s">
        <v>65</v>
      </c>
      <c r="B78" s="24">
        <f>IF(CDCM!$B111="Kill",0,CDCM!B32+(Input!$B139-CDCM!$C74)*B34)</f>
        <v>0</v>
      </c>
      <c r="C78" s="24">
        <f>IF(CDCM!$B111="Kill",0,CDCM!C32+(Input!$B139-CDCM!$C74)*C34)</f>
        <v>0</v>
      </c>
      <c r="D78" s="24">
        <f>IF(CDCM!$B111="Kill",0,CDCM!D32+(Input!$B139-CDCM!$C74)*D34)</f>
        <v>0</v>
      </c>
      <c r="E78" s="24">
        <f>IF(CDCM!$B111="Kill",0,CDCM!E32+(Input!$B139-CDCM!$C74)*E34)</f>
        <v>0</v>
      </c>
      <c r="F78" s="17"/>
    </row>
    <row r="79" spans="1:6" x14ac:dyDescent="0.25">
      <c r="A79" s="4" t="s">
        <v>66</v>
      </c>
      <c r="B79" s="24">
        <f>IF(CDCM!$B112="Kill",0,CDCM!B33+(Input!$B140-CDCM!$C75)*B35)</f>
        <v>0</v>
      </c>
      <c r="C79" s="24">
        <f>IF(CDCM!$B112="Kill",0,CDCM!C33+(Input!$B140-CDCM!$C75)*C35)</f>
        <v>0</v>
      </c>
      <c r="D79" s="24">
        <f>IF(CDCM!$B112="Kill",0,CDCM!D33+(Input!$B140-CDCM!$C75)*D35)</f>
        <v>0</v>
      </c>
      <c r="E79" s="24">
        <f>IF(CDCM!$B112="Kill",0,CDCM!E33+(Input!$B140-CDCM!$C75)*E35)</f>
        <v>0</v>
      </c>
      <c r="F79" s="17"/>
    </row>
    <row r="80" spans="1:6" x14ac:dyDescent="0.25">
      <c r="A80" s="4" t="s">
        <v>67</v>
      </c>
      <c r="B80" s="24">
        <f>IF(CDCM!$B113="Kill",0,CDCM!B34+(Input!$B141-CDCM!$C76)*B36)</f>
        <v>0</v>
      </c>
      <c r="C80" s="24">
        <f>IF(CDCM!$B113="Kill",0,CDCM!C34+(Input!$B141-CDCM!$C76)*C36)</f>
        <v>0</v>
      </c>
      <c r="D80" s="24">
        <f>IF(CDCM!$B113="Kill",0,CDCM!D34+(Input!$B141-CDCM!$C76)*D36)</f>
        <v>0</v>
      </c>
      <c r="E80" s="24">
        <f>IF(CDCM!$B113="Kill",0,CDCM!E34+(Input!$B141-CDCM!$C76)*E36)</f>
        <v>0</v>
      </c>
      <c r="F80" s="17"/>
    </row>
    <row r="81" spans="1:6" ht="30" x14ac:dyDescent="0.25">
      <c r="A81" s="4" t="s">
        <v>68</v>
      </c>
      <c r="B81" s="24">
        <f>IF(CDCM!$B114="Kill",0,CDCM!B35+(Input!$B142-CDCM!$C77)*B37)</f>
        <v>0</v>
      </c>
      <c r="C81" s="24">
        <f>IF(CDCM!$B114="Kill",0,CDCM!C35+(Input!$B142-CDCM!$C77)*C37)</f>
        <v>0</v>
      </c>
      <c r="D81" s="24">
        <f>IF(CDCM!$B114="Kill",0,CDCM!D35+(Input!$B142-CDCM!$C77)*D37)</f>
        <v>0</v>
      </c>
      <c r="E81" s="24">
        <f>IF(CDCM!$B114="Kill",0,CDCM!E35+(Input!$B142-CDCM!$C77)*E37)</f>
        <v>0</v>
      </c>
      <c r="F81" s="17"/>
    </row>
    <row r="82" spans="1:6" x14ac:dyDescent="0.25">
      <c r="A82" s="4" t="s">
        <v>69</v>
      </c>
      <c r="B82" s="24">
        <f>IF(CDCM!$B115="Kill",0,CDCM!B36+(Input!$B143-CDCM!$C78)*B38)</f>
        <v>0</v>
      </c>
      <c r="C82" s="24">
        <f>IF(CDCM!$B115="Kill",0,CDCM!C36+(Input!$B143-CDCM!$C78)*C38)</f>
        <v>0</v>
      </c>
      <c r="D82" s="24">
        <f>IF(CDCM!$B115="Kill",0,CDCM!D36+(Input!$B143-CDCM!$C78)*D38)</f>
        <v>0</v>
      </c>
      <c r="E82" s="24">
        <f>IF(CDCM!$B115="Kill",0,CDCM!E36+(Input!$B143-CDCM!$C78)*E38)</f>
        <v>0</v>
      </c>
      <c r="F82" s="17"/>
    </row>
    <row r="83" spans="1:6" x14ac:dyDescent="0.25">
      <c r="A83" s="4" t="s">
        <v>70</v>
      </c>
      <c r="B83" s="24">
        <f>IF(CDCM!$B116="Kill",0,CDCM!B37+(Input!$B144-CDCM!$C79)*B39)</f>
        <v>0</v>
      </c>
      <c r="C83" s="24">
        <f>IF(CDCM!$B116="Kill",0,CDCM!C37+(Input!$B144-CDCM!$C79)*C39)</f>
        <v>0</v>
      </c>
      <c r="D83" s="24">
        <f>IF(CDCM!$B116="Kill",0,CDCM!D37+(Input!$B144-CDCM!$C79)*D39)</f>
        <v>0</v>
      </c>
      <c r="E83" s="24">
        <f>IF(CDCM!$B116="Kill",0,CDCM!E37+(Input!$B144-CDCM!$C79)*E39)</f>
        <v>0</v>
      </c>
      <c r="F83" s="17"/>
    </row>
    <row r="84" spans="1:6" x14ac:dyDescent="0.25">
      <c r="A84" s="4" t="s">
        <v>71</v>
      </c>
      <c r="B84" s="24">
        <f>IF(CDCM!$B117="Kill",0,CDCM!B38+(Input!$B145-CDCM!$C80)*B40)</f>
        <v>0</v>
      </c>
      <c r="C84" s="24">
        <f>IF(CDCM!$B117="Kill",0,CDCM!C38+(Input!$B145-CDCM!$C80)*C40)</f>
        <v>0</v>
      </c>
      <c r="D84" s="24">
        <f>IF(CDCM!$B117="Kill",0,CDCM!D38+(Input!$B145-CDCM!$C80)*D40)</f>
        <v>0</v>
      </c>
      <c r="E84" s="24">
        <f>IF(CDCM!$B117="Kill",0,CDCM!E38+(Input!$B145-CDCM!$C80)*E40)</f>
        <v>0</v>
      </c>
      <c r="F84" s="17"/>
    </row>
    <row r="85" spans="1:6" x14ac:dyDescent="0.25">
      <c r="A85" s="4" t="s">
        <v>72</v>
      </c>
      <c r="B85" s="24">
        <f>IF(CDCM!$B118="Kill",0,CDCM!B39+(Input!$B146-CDCM!$C81)*B41)</f>
        <v>0</v>
      </c>
      <c r="C85" s="24">
        <f>IF(CDCM!$B118="Kill",0,CDCM!C39+(Input!$B146-CDCM!$C81)*C41)</f>
        <v>0</v>
      </c>
      <c r="D85" s="24">
        <f>IF(CDCM!$B118="Kill",0,CDCM!D39+(Input!$B146-CDCM!$C81)*D41)</f>
        <v>0</v>
      </c>
      <c r="E85" s="24">
        <f>IF(CDCM!$B118="Kill",0,CDCM!E39+(Input!$B146-CDCM!$C81)*E41)</f>
        <v>0</v>
      </c>
      <c r="F85" s="17"/>
    </row>
    <row r="86" spans="1:6" x14ac:dyDescent="0.25">
      <c r="A86" s="4" t="s">
        <v>73</v>
      </c>
      <c r="B86" s="24">
        <f>IF(CDCM!$B119="Kill",0,CDCM!B40+(Input!$B147-CDCM!$C82)*B42)</f>
        <v>0</v>
      </c>
      <c r="C86" s="24">
        <f>IF(CDCM!$B119="Kill",0,CDCM!C40+(Input!$B147-CDCM!$C82)*C42)</f>
        <v>0</v>
      </c>
      <c r="D86" s="24">
        <f>IF(CDCM!$B119="Kill",0,CDCM!D40+(Input!$B147-CDCM!$C82)*D42)</f>
        <v>0</v>
      </c>
      <c r="E86" s="24">
        <f>IF(CDCM!$B119="Kill",0,CDCM!E40+(Input!$B147-CDCM!$C82)*E42)</f>
        <v>0</v>
      </c>
      <c r="F86" s="17"/>
    </row>
    <row r="87" spans="1:6" ht="30" x14ac:dyDescent="0.25">
      <c r="A87" s="4" t="s">
        <v>74</v>
      </c>
      <c r="B87" s="24">
        <f>IF(CDCM!$B120="Kill",0,CDCM!B41+(Input!$B148-CDCM!$C83)*B43)</f>
        <v>0</v>
      </c>
      <c r="C87" s="24">
        <f>IF(CDCM!$B120="Kill",0,CDCM!C41+(Input!$B148-CDCM!$C83)*C43)</f>
        <v>0</v>
      </c>
      <c r="D87" s="24">
        <f>IF(CDCM!$B120="Kill",0,CDCM!D41+(Input!$B148-CDCM!$C83)*D43)</f>
        <v>0</v>
      </c>
      <c r="E87" s="24">
        <f>IF(CDCM!$B120="Kill",0,CDCM!E41+(Input!$B148-CDCM!$C83)*E43)</f>
        <v>0</v>
      </c>
      <c r="F87" s="17"/>
    </row>
    <row r="88" spans="1:6" ht="30" x14ac:dyDescent="0.25">
      <c r="A88" s="4" t="s">
        <v>75</v>
      </c>
      <c r="B88" s="24">
        <f>IF(CDCM!$B121="Kill",0,CDCM!B42+(Input!$B149-CDCM!$C84)*B44)</f>
        <v>0</v>
      </c>
      <c r="C88" s="24">
        <f>IF(CDCM!$B121="Kill",0,CDCM!C42+(Input!$B149-CDCM!$C84)*C44)</f>
        <v>0</v>
      </c>
      <c r="D88" s="24">
        <f>IF(CDCM!$B121="Kill",0,CDCM!D42+(Input!$B149-CDCM!$C84)*D44)</f>
        <v>0</v>
      </c>
      <c r="E88" s="24">
        <f>IF(CDCM!$B121="Kill",0,CDCM!E42+(Input!$B149-CDCM!$C84)*E44)</f>
        <v>0</v>
      </c>
      <c r="F88" s="17"/>
    </row>
    <row r="90" spans="1:6" ht="21" customHeight="1" x14ac:dyDescent="0.3">
      <c r="A90" s="1" t="s">
        <v>409</v>
      </c>
    </row>
    <row r="91" spans="1:6" x14ac:dyDescent="0.25">
      <c r="A91" s="2" t="s">
        <v>197</v>
      </c>
    </row>
    <row r="92" spans="1:6" x14ac:dyDescent="0.25">
      <c r="A92" s="21" t="s">
        <v>410</v>
      </c>
    </row>
    <row r="93" spans="1:6" x14ac:dyDescent="0.25">
      <c r="A93" s="2" t="s">
        <v>387</v>
      </c>
    </row>
    <row r="95" spans="1:6" x14ac:dyDescent="0.25">
      <c r="B95" s="15" t="s">
        <v>28</v>
      </c>
      <c r="C95" s="15" t="s">
        <v>38</v>
      </c>
      <c r="D95" s="15" t="s">
        <v>27</v>
      </c>
      <c r="E95" s="15" t="s">
        <v>39</v>
      </c>
    </row>
    <row r="96" spans="1:6" ht="30" x14ac:dyDescent="0.25">
      <c r="A96" s="4" t="s">
        <v>40</v>
      </c>
      <c r="B96" s="24">
        <f t="shared" ref="B96:E115" si="0">MAX(0,B56)</f>
        <v>609999.99999999942</v>
      </c>
      <c r="C96" s="24">
        <f t="shared" si="0"/>
        <v>0</v>
      </c>
      <c r="D96" s="24">
        <f t="shared" si="0"/>
        <v>1020000</v>
      </c>
      <c r="E96" s="24">
        <f t="shared" si="0"/>
        <v>2655000.0000000005</v>
      </c>
      <c r="F96" s="17"/>
    </row>
    <row r="97" spans="1:6" ht="30" x14ac:dyDescent="0.25">
      <c r="A97" s="4" t="s">
        <v>44</v>
      </c>
      <c r="B97" s="24">
        <f t="shared" si="0"/>
        <v>5243300.1832321156</v>
      </c>
      <c r="C97" s="24">
        <f t="shared" si="0"/>
        <v>4206810.2560342392</v>
      </c>
      <c r="D97" s="24">
        <f t="shared" si="0"/>
        <v>14327826.178252587</v>
      </c>
      <c r="E97" s="24">
        <f t="shared" si="0"/>
        <v>8522063.3824810516</v>
      </c>
      <c r="F97" s="17"/>
    </row>
    <row r="98" spans="1:6" x14ac:dyDescent="0.25">
      <c r="A98" s="4" t="s">
        <v>45</v>
      </c>
      <c r="B98" s="24">
        <f t="shared" si="0"/>
        <v>1299005.4969635445</v>
      </c>
      <c r="C98" s="24">
        <f t="shared" si="0"/>
        <v>204307.68102719507</v>
      </c>
      <c r="D98" s="24">
        <f t="shared" si="0"/>
        <v>834785.34757767571</v>
      </c>
      <c r="E98" s="24">
        <f t="shared" si="0"/>
        <v>661901.47443158436</v>
      </c>
      <c r="F98" s="17"/>
    </row>
    <row r="99" spans="1:6" x14ac:dyDescent="0.25">
      <c r="A99" s="4" t="s">
        <v>46</v>
      </c>
      <c r="B99" s="24">
        <f t="shared" si="0"/>
        <v>5029900.5496963542</v>
      </c>
      <c r="C99" s="24">
        <f t="shared" si="0"/>
        <v>220430.76810271962</v>
      </c>
      <c r="D99" s="24">
        <f t="shared" si="0"/>
        <v>2383478.5347577683</v>
      </c>
      <c r="E99" s="24">
        <f t="shared" si="0"/>
        <v>666190.14744315902</v>
      </c>
      <c r="F99" s="17"/>
    </row>
    <row r="100" spans="1:6" x14ac:dyDescent="0.25">
      <c r="A100" s="4" t="s">
        <v>47</v>
      </c>
      <c r="B100" s="24">
        <f t="shared" si="0"/>
        <v>829900.54969635454</v>
      </c>
      <c r="C100" s="24">
        <f t="shared" si="0"/>
        <v>1620430.7681027194</v>
      </c>
      <c r="D100" s="24">
        <f t="shared" si="0"/>
        <v>683478.53475776757</v>
      </c>
      <c r="E100" s="24">
        <f t="shared" si="0"/>
        <v>2366190.147443159</v>
      </c>
      <c r="F100" s="17"/>
    </row>
    <row r="101" spans="1:6" x14ac:dyDescent="0.25">
      <c r="A101" s="4" t="s">
        <v>48</v>
      </c>
      <c r="B101" s="24">
        <f t="shared" si="0"/>
        <v>1140246.1631714408</v>
      </c>
      <c r="C101" s="24">
        <f t="shared" si="0"/>
        <v>0</v>
      </c>
      <c r="D101" s="24">
        <f t="shared" si="0"/>
        <v>2346828.7147169048</v>
      </c>
      <c r="E101" s="24">
        <f t="shared" si="0"/>
        <v>616899.89689543017</v>
      </c>
      <c r="F101" s="17"/>
    </row>
    <row r="102" spans="1:6" x14ac:dyDescent="0.25">
      <c r="A102" s="4" t="s">
        <v>49</v>
      </c>
      <c r="B102" s="24">
        <f t="shared" si="0"/>
        <v>259801.09939270891</v>
      </c>
      <c r="C102" s="24">
        <f t="shared" si="0"/>
        <v>40861.536205439013</v>
      </c>
      <c r="D102" s="24">
        <f t="shared" si="0"/>
        <v>166957.06951553514</v>
      </c>
      <c r="E102" s="24">
        <f t="shared" si="0"/>
        <v>132380.29488631687</v>
      </c>
      <c r="F102" s="17"/>
    </row>
    <row r="103" spans="1:6" x14ac:dyDescent="0.25">
      <c r="A103" s="4" t="s">
        <v>50</v>
      </c>
      <c r="B103" s="24">
        <f t="shared" si="0"/>
        <v>1515506.4131241352</v>
      </c>
      <c r="C103" s="24">
        <f t="shared" si="0"/>
        <v>238358.96119839425</v>
      </c>
      <c r="D103" s="24">
        <f t="shared" si="0"/>
        <v>973916.23884062166</v>
      </c>
      <c r="E103" s="24">
        <f t="shared" si="0"/>
        <v>772218.38683684845</v>
      </c>
      <c r="F103" s="17"/>
    </row>
    <row r="104" spans="1:6" x14ac:dyDescent="0.25">
      <c r="A104" s="4" t="s">
        <v>51</v>
      </c>
      <c r="B104" s="24">
        <f t="shared" si="0"/>
        <v>1255705.3137314264</v>
      </c>
      <c r="C104" s="24">
        <f t="shared" si="0"/>
        <v>197497.42499295523</v>
      </c>
      <c r="D104" s="24">
        <f t="shared" si="0"/>
        <v>806959.16932508652</v>
      </c>
      <c r="E104" s="24">
        <f t="shared" si="0"/>
        <v>639838.09195053158</v>
      </c>
      <c r="F104" s="17"/>
    </row>
    <row r="105" spans="1:6" x14ac:dyDescent="0.25">
      <c r="A105" s="4" t="s">
        <v>52</v>
      </c>
      <c r="B105" s="24">
        <f t="shared" si="0"/>
        <v>3117613.1927125067</v>
      </c>
      <c r="C105" s="24">
        <f t="shared" si="0"/>
        <v>490338.43446526816</v>
      </c>
      <c r="D105" s="24">
        <f t="shared" si="0"/>
        <v>2003484.8341864217</v>
      </c>
      <c r="E105" s="24">
        <f t="shared" si="0"/>
        <v>1588563.5386358025</v>
      </c>
      <c r="F105" s="17"/>
    </row>
    <row r="106" spans="1:6" x14ac:dyDescent="0.25">
      <c r="A106" s="4" t="s">
        <v>53</v>
      </c>
      <c r="B106" s="24">
        <f t="shared" si="0"/>
        <v>822703.48141024483</v>
      </c>
      <c r="C106" s="24">
        <f t="shared" si="0"/>
        <v>129394.86465055688</v>
      </c>
      <c r="D106" s="24">
        <f t="shared" si="0"/>
        <v>528697.38679919462</v>
      </c>
      <c r="E106" s="24">
        <f t="shared" si="0"/>
        <v>419204.26714000345</v>
      </c>
      <c r="F106" s="17"/>
    </row>
    <row r="107" spans="1:6" x14ac:dyDescent="0.25">
      <c r="A107" s="4" t="s">
        <v>54</v>
      </c>
      <c r="B107" s="24">
        <f t="shared" si="0"/>
        <v>433001.83232118149</v>
      </c>
      <c r="C107" s="24">
        <f t="shared" si="0"/>
        <v>68102.560342398356</v>
      </c>
      <c r="D107" s="24">
        <f t="shared" si="0"/>
        <v>278261.7825258919</v>
      </c>
      <c r="E107" s="24">
        <f t="shared" si="0"/>
        <v>220633.82481052811</v>
      </c>
      <c r="F107" s="17"/>
    </row>
    <row r="108" spans="1:6" x14ac:dyDescent="0.25">
      <c r="A108" s="4" t="s">
        <v>55</v>
      </c>
      <c r="B108" s="24">
        <f t="shared" si="0"/>
        <v>303101.28262482706</v>
      </c>
      <c r="C108" s="24">
        <f t="shared" si="0"/>
        <v>47671.792239678849</v>
      </c>
      <c r="D108" s="24">
        <f t="shared" si="0"/>
        <v>194783.24776812433</v>
      </c>
      <c r="E108" s="24">
        <f t="shared" si="0"/>
        <v>154443.67736736967</v>
      </c>
      <c r="F108" s="17"/>
    </row>
    <row r="109" spans="1:6" x14ac:dyDescent="0.25">
      <c r="A109" s="4" t="s">
        <v>56</v>
      </c>
      <c r="B109" s="24">
        <f t="shared" si="0"/>
        <v>389701.64908906334</v>
      </c>
      <c r="C109" s="24">
        <f t="shared" si="0"/>
        <v>61292.30430815852</v>
      </c>
      <c r="D109" s="24">
        <f t="shared" si="0"/>
        <v>250435.60427330271</v>
      </c>
      <c r="E109" s="24">
        <f t="shared" si="0"/>
        <v>198570.44232947531</v>
      </c>
      <c r="F109" s="17"/>
    </row>
    <row r="110" spans="1:6" x14ac:dyDescent="0.25">
      <c r="A110" s="4" t="s">
        <v>57</v>
      </c>
      <c r="B110" s="24">
        <f t="shared" si="0"/>
        <v>1169104.9472671901</v>
      </c>
      <c r="C110" s="24">
        <f t="shared" si="0"/>
        <v>183876.91292447556</v>
      </c>
      <c r="D110" s="24">
        <f t="shared" si="0"/>
        <v>751306.81281990814</v>
      </c>
      <c r="E110" s="24">
        <f t="shared" si="0"/>
        <v>595711.32698842592</v>
      </c>
      <c r="F110" s="17"/>
    </row>
    <row r="111" spans="1:6" x14ac:dyDescent="0.25">
      <c r="A111" s="4" t="s">
        <v>58</v>
      </c>
      <c r="B111" s="24">
        <f t="shared" si="0"/>
        <v>0</v>
      </c>
      <c r="C111" s="24">
        <f t="shared" si="0"/>
        <v>0</v>
      </c>
      <c r="D111" s="24">
        <f t="shared" si="0"/>
        <v>0</v>
      </c>
      <c r="E111" s="24">
        <f t="shared" si="0"/>
        <v>0</v>
      </c>
      <c r="F111" s="17"/>
    </row>
    <row r="112" spans="1:6" x14ac:dyDescent="0.25">
      <c r="A112" s="4" t="s">
        <v>59</v>
      </c>
      <c r="B112" s="24">
        <f t="shared" si="0"/>
        <v>0</v>
      </c>
      <c r="C112" s="24">
        <f t="shared" si="0"/>
        <v>0</v>
      </c>
      <c r="D112" s="24">
        <f t="shared" si="0"/>
        <v>0</v>
      </c>
      <c r="E112" s="24">
        <f t="shared" si="0"/>
        <v>0</v>
      </c>
      <c r="F112" s="17"/>
    </row>
    <row r="113" spans="1:6" x14ac:dyDescent="0.25">
      <c r="A113" s="4" t="s">
        <v>60</v>
      </c>
      <c r="B113" s="24">
        <f t="shared" si="0"/>
        <v>389701.64908906334</v>
      </c>
      <c r="C113" s="24">
        <f t="shared" si="0"/>
        <v>61292.30430815852</v>
      </c>
      <c r="D113" s="24">
        <f t="shared" si="0"/>
        <v>250435.60427330271</v>
      </c>
      <c r="E113" s="24">
        <f t="shared" si="0"/>
        <v>198570.44232947531</v>
      </c>
      <c r="F113" s="17"/>
    </row>
    <row r="114" spans="1:6" x14ac:dyDescent="0.25">
      <c r="A114" s="4" t="s">
        <v>61</v>
      </c>
      <c r="B114" s="24">
        <f t="shared" si="0"/>
        <v>476302.01555329963</v>
      </c>
      <c r="C114" s="24">
        <f t="shared" si="0"/>
        <v>74912.816376638191</v>
      </c>
      <c r="D114" s="24">
        <f t="shared" si="0"/>
        <v>306087.96077848109</v>
      </c>
      <c r="E114" s="24">
        <f t="shared" si="0"/>
        <v>242697.20729158094</v>
      </c>
      <c r="F114" s="17"/>
    </row>
    <row r="115" spans="1:6" x14ac:dyDescent="0.25">
      <c r="A115" s="4" t="s">
        <v>62</v>
      </c>
      <c r="B115" s="24">
        <f t="shared" si="0"/>
        <v>2511410.6274628527</v>
      </c>
      <c r="C115" s="24">
        <f t="shared" si="0"/>
        <v>394994.84998591046</v>
      </c>
      <c r="D115" s="24">
        <f t="shared" si="0"/>
        <v>1613918.338650173</v>
      </c>
      <c r="E115" s="24">
        <f t="shared" si="0"/>
        <v>1279676.1839010632</v>
      </c>
      <c r="F115" s="17"/>
    </row>
    <row r="116" spans="1:6" x14ac:dyDescent="0.25">
      <c r="A116" s="4" t="s">
        <v>63</v>
      </c>
      <c r="B116" s="24">
        <f t="shared" ref="B116:E128" si="1">MAX(0,B76)</f>
        <v>779403.29817812669</v>
      </c>
      <c r="C116" s="24">
        <f t="shared" si="1"/>
        <v>122584.60861631704</v>
      </c>
      <c r="D116" s="24">
        <f t="shared" si="1"/>
        <v>500871.20854660543</v>
      </c>
      <c r="E116" s="24">
        <f t="shared" si="1"/>
        <v>397140.88465895061</v>
      </c>
      <c r="F116" s="17"/>
    </row>
    <row r="117" spans="1:6" x14ac:dyDescent="0.25">
      <c r="A117" s="4" t="s">
        <v>64</v>
      </c>
      <c r="B117" s="24">
        <f t="shared" si="1"/>
        <v>0</v>
      </c>
      <c r="C117" s="24">
        <f t="shared" si="1"/>
        <v>0</v>
      </c>
      <c r="D117" s="24">
        <f t="shared" si="1"/>
        <v>0</v>
      </c>
      <c r="E117" s="24">
        <f t="shared" si="1"/>
        <v>0</v>
      </c>
      <c r="F117" s="17"/>
    </row>
    <row r="118" spans="1:6" x14ac:dyDescent="0.25">
      <c r="A118" s="4" t="s">
        <v>65</v>
      </c>
      <c r="B118" s="24">
        <f t="shared" si="1"/>
        <v>0</v>
      </c>
      <c r="C118" s="24">
        <f t="shared" si="1"/>
        <v>0</v>
      </c>
      <c r="D118" s="24">
        <f t="shared" si="1"/>
        <v>0</v>
      </c>
      <c r="E118" s="24">
        <f t="shared" si="1"/>
        <v>0</v>
      </c>
      <c r="F118" s="17"/>
    </row>
    <row r="119" spans="1:6" x14ac:dyDescent="0.25">
      <c r="A119" s="4" t="s">
        <v>66</v>
      </c>
      <c r="B119" s="24">
        <f t="shared" si="1"/>
        <v>0</v>
      </c>
      <c r="C119" s="24">
        <f t="shared" si="1"/>
        <v>0</v>
      </c>
      <c r="D119" s="24">
        <f t="shared" si="1"/>
        <v>0</v>
      </c>
      <c r="E119" s="24">
        <f t="shared" si="1"/>
        <v>0</v>
      </c>
      <c r="F119" s="17"/>
    </row>
    <row r="120" spans="1:6" x14ac:dyDescent="0.25">
      <c r="A120" s="4" t="s">
        <v>67</v>
      </c>
      <c r="B120" s="24">
        <f t="shared" si="1"/>
        <v>0</v>
      </c>
      <c r="C120" s="24">
        <f t="shared" si="1"/>
        <v>0</v>
      </c>
      <c r="D120" s="24">
        <f t="shared" si="1"/>
        <v>0</v>
      </c>
      <c r="E120" s="24">
        <f t="shared" si="1"/>
        <v>0</v>
      </c>
      <c r="F120" s="17"/>
    </row>
    <row r="121" spans="1:6" ht="30" x14ac:dyDescent="0.25">
      <c r="A121" s="4" t="s">
        <v>68</v>
      </c>
      <c r="B121" s="24">
        <f t="shared" si="1"/>
        <v>0</v>
      </c>
      <c r="C121" s="24">
        <f t="shared" si="1"/>
        <v>0</v>
      </c>
      <c r="D121" s="24">
        <f t="shared" si="1"/>
        <v>0</v>
      </c>
      <c r="E121" s="24">
        <f t="shared" si="1"/>
        <v>0</v>
      </c>
      <c r="F121" s="17"/>
    </row>
    <row r="122" spans="1:6" x14ac:dyDescent="0.25">
      <c r="A122" s="4" t="s">
        <v>69</v>
      </c>
      <c r="B122" s="24">
        <f t="shared" si="1"/>
        <v>0</v>
      </c>
      <c r="C122" s="24">
        <f t="shared" si="1"/>
        <v>0</v>
      </c>
      <c r="D122" s="24">
        <f t="shared" si="1"/>
        <v>0</v>
      </c>
      <c r="E122" s="24">
        <f t="shared" si="1"/>
        <v>0</v>
      </c>
      <c r="F122" s="17"/>
    </row>
    <row r="123" spans="1:6" x14ac:dyDescent="0.25">
      <c r="A123" s="4" t="s">
        <v>70</v>
      </c>
      <c r="B123" s="24">
        <f t="shared" si="1"/>
        <v>0</v>
      </c>
      <c r="C123" s="24">
        <f t="shared" si="1"/>
        <v>0</v>
      </c>
      <c r="D123" s="24">
        <f t="shared" si="1"/>
        <v>0</v>
      </c>
      <c r="E123" s="24">
        <f t="shared" si="1"/>
        <v>0</v>
      </c>
      <c r="F123" s="17"/>
    </row>
    <row r="124" spans="1:6" x14ac:dyDescent="0.25">
      <c r="A124" s="4" t="s">
        <v>71</v>
      </c>
      <c r="B124" s="24">
        <f t="shared" si="1"/>
        <v>0</v>
      </c>
      <c r="C124" s="24">
        <f t="shared" si="1"/>
        <v>0</v>
      </c>
      <c r="D124" s="24">
        <f t="shared" si="1"/>
        <v>0</v>
      </c>
      <c r="E124" s="24">
        <f t="shared" si="1"/>
        <v>0</v>
      </c>
      <c r="F124" s="17"/>
    </row>
    <row r="125" spans="1:6" x14ac:dyDescent="0.25">
      <c r="A125" s="4" t="s">
        <v>72</v>
      </c>
      <c r="B125" s="24">
        <f t="shared" si="1"/>
        <v>0</v>
      </c>
      <c r="C125" s="24">
        <f t="shared" si="1"/>
        <v>0</v>
      </c>
      <c r="D125" s="24">
        <f t="shared" si="1"/>
        <v>0</v>
      </c>
      <c r="E125" s="24">
        <f t="shared" si="1"/>
        <v>0</v>
      </c>
      <c r="F125" s="17"/>
    </row>
    <row r="126" spans="1:6" x14ac:dyDescent="0.25">
      <c r="A126" s="4" t="s">
        <v>73</v>
      </c>
      <c r="B126" s="24">
        <f t="shared" si="1"/>
        <v>0</v>
      </c>
      <c r="C126" s="24">
        <f t="shared" si="1"/>
        <v>0</v>
      </c>
      <c r="D126" s="24">
        <f t="shared" si="1"/>
        <v>0</v>
      </c>
      <c r="E126" s="24">
        <f t="shared" si="1"/>
        <v>0</v>
      </c>
      <c r="F126" s="17"/>
    </row>
    <row r="127" spans="1:6" ht="30" x14ac:dyDescent="0.25">
      <c r="A127" s="4" t="s">
        <v>74</v>
      </c>
      <c r="B127" s="24">
        <f t="shared" si="1"/>
        <v>0</v>
      </c>
      <c r="C127" s="24">
        <f t="shared" si="1"/>
        <v>0</v>
      </c>
      <c r="D127" s="24">
        <f t="shared" si="1"/>
        <v>0</v>
      </c>
      <c r="E127" s="24">
        <f t="shared" si="1"/>
        <v>0</v>
      </c>
      <c r="F127" s="17"/>
    </row>
    <row r="128" spans="1:6" ht="30" x14ac:dyDescent="0.25">
      <c r="A128" s="4" t="s">
        <v>75</v>
      </c>
      <c r="B128" s="24">
        <f t="shared" si="1"/>
        <v>0</v>
      </c>
      <c r="C128" s="24">
        <f t="shared" si="1"/>
        <v>0</v>
      </c>
      <c r="D128" s="24">
        <f t="shared" si="1"/>
        <v>0</v>
      </c>
      <c r="E128" s="24">
        <f t="shared" si="1"/>
        <v>0</v>
      </c>
      <c r="F128" s="17"/>
    </row>
    <row r="130" spans="1:6" ht="21" customHeight="1" x14ac:dyDescent="0.3">
      <c r="A130" s="1" t="s">
        <v>411</v>
      </c>
    </row>
    <row r="131" spans="1:6" x14ac:dyDescent="0.25">
      <c r="A131" s="2" t="s">
        <v>197</v>
      </c>
    </row>
    <row r="132" spans="1:6" x14ac:dyDescent="0.25">
      <c r="A132" s="21" t="s">
        <v>412</v>
      </c>
    </row>
    <row r="133" spans="1:6" x14ac:dyDescent="0.25">
      <c r="A133" s="21" t="s">
        <v>390</v>
      </c>
    </row>
    <row r="134" spans="1:6" x14ac:dyDescent="0.25">
      <c r="A134" s="2" t="s">
        <v>232</v>
      </c>
    </row>
    <row r="136" spans="1:6" x14ac:dyDescent="0.25">
      <c r="B136" s="15" t="s">
        <v>28</v>
      </c>
      <c r="C136" s="15" t="s">
        <v>38</v>
      </c>
      <c r="D136" s="15" t="s">
        <v>27</v>
      </c>
      <c r="E136" s="15" t="s">
        <v>39</v>
      </c>
    </row>
    <row r="137" spans="1:6" x14ac:dyDescent="0.25">
      <c r="A137" s="4" t="s">
        <v>391</v>
      </c>
      <c r="B137" s="24">
        <f>SUMPRODUCT(B$96:B$128,CDCM!$D$89:$D$121)</f>
        <v>14152352.942759808</v>
      </c>
      <c r="C137" s="24">
        <f>SUMPRODUCT(C$96:C$128,CDCM!$D$89:$D$121)</f>
        <v>6251979.4732668735</v>
      </c>
      <c r="D137" s="24">
        <f>SUMPRODUCT(D$96:D$128,CDCM!$D$89:$D$121)</f>
        <v>21596397.310062703</v>
      </c>
      <c r="E137" s="24">
        <f>SUMPRODUCT(E$96:E$128,CDCM!$D$89:$D$121)</f>
        <v>15488245.048694383</v>
      </c>
      <c r="F137" s="17"/>
    </row>
    <row r="139" spans="1:6" ht="21" customHeight="1" x14ac:dyDescent="0.3">
      <c r="A139" s="1" t="s">
        <v>413</v>
      </c>
    </row>
    <row r="140" spans="1:6" x14ac:dyDescent="0.25">
      <c r="A140" s="2" t="s">
        <v>197</v>
      </c>
    </row>
    <row r="141" spans="1:6" x14ac:dyDescent="0.25">
      <c r="A141" s="21" t="s">
        <v>412</v>
      </c>
    </row>
    <row r="142" spans="1:6" x14ac:dyDescent="0.25">
      <c r="A142" s="2" t="s">
        <v>298</v>
      </c>
    </row>
    <row r="144" spans="1:6" x14ac:dyDescent="0.25">
      <c r="B144" s="15" t="s">
        <v>28</v>
      </c>
      <c r="C144" s="15" t="s">
        <v>38</v>
      </c>
      <c r="D144" s="15" t="s">
        <v>27</v>
      </c>
      <c r="E144" s="15" t="s">
        <v>39</v>
      </c>
    </row>
    <row r="145" spans="1:6" x14ac:dyDescent="0.25">
      <c r="A145" s="4" t="s">
        <v>393</v>
      </c>
      <c r="B145" s="24">
        <f>SUM(B$96:B$128)</f>
        <v>27575409.744716436</v>
      </c>
      <c r="C145" s="24">
        <f>SUM(C$96:C$128)</f>
        <v>8363158.8438812234</v>
      </c>
      <c r="D145" s="24">
        <f>SUM(D$96:D$128)</f>
        <v>30222512.568365358</v>
      </c>
      <c r="E145" s="24">
        <f>SUM(E$96:E$128)</f>
        <v>22327893.617820755</v>
      </c>
      <c r="F145" s="17"/>
    </row>
    <row r="147" spans="1:6" ht="21" customHeight="1" x14ac:dyDescent="0.3">
      <c r="A147" s="1" t="s">
        <v>414</v>
      </c>
    </row>
    <row r="148" spans="1:6" x14ac:dyDescent="0.25">
      <c r="A148" s="2" t="s">
        <v>197</v>
      </c>
    </row>
    <row r="149" spans="1:6" x14ac:dyDescent="0.25">
      <c r="A149" s="21" t="s">
        <v>415</v>
      </c>
    </row>
    <row r="150" spans="1:6" x14ac:dyDescent="0.25">
      <c r="A150" s="21" t="s">
        <v>416</v>
      </c>
    </row>
    <row r="151" spans="1:6" x14ac:dyDescent="0.25">
      <c r="A151" s="2" t="s">
        <v>397</v>
      </c>
    </row>
    <row r="153" spans="1:6" x14ac:dyDescent="0.25">
      <c r="B153" s="15" t="s">
        <v>28</v>
      </c>
      <c r="C153" s="15" t="s">
        <v>38</v>
      </c>
      <c r="D153" s="15" t="s">
        <v>27</v>
      </c>
      <c r="E153" s="15" t="s">
        <v>39</v>
      </c>
    </row>
    <row r="154" spans="1:6" ht="30" x14ac:dyDescent="0.25">
      <c r="A154" s="4" t="s">
        <v>398</v>
      </c>
      <c r="B154" s="30">
        <f>B137/B145</f>
        <v>0.51322366825288823</v>
      </c>
      <c r="C154" s="30">
        <f>C137/C145</f>
        <v>0.74756196671321606</v>
      </c>
      <c r="D154" s="30">
        <f>D137/D145</f>
        <v>0.71457981070270704</v>
      </c>
      <c r="E154" s="30">
        <f>E137/E145</f>
        <v>0.69367246699583951</v>
      </c>
      <c r="F154" s="17"/>
    </row>
    <row r="156" spans="1:6" ht="21" customHeight="1" x14ac:dyDescent="0.3">
      <c r="A156" s="1" t="s">
        <v>417</v>
      </c>
    </row>
    <row r="157" spans="1:6" x14ac:dyDescent="0.25">
      <c r="A157" s="2" t="s">
        <v>197</v>
      </c>
    </row>
    <row r="158" spans="1:6" x14ac:dyDescent="0.25">
      <c r="A158" s="21" t="s">
        <v>418</v>
      </c>
    </row>
    <row r="159" spans="1:6" x14ac:dyDescent="0.25">
      <c r="A159" s="21" t="s">
        <v>419</v>
      </c>
    </row>
    <row r="160" spans="1:6" x14ac:dyDescent="0.25">
      <c r="A160" s="21" t="s">
        <v>420</v>
      </c>
    </row>
    <row r="161" spans="1:6" x14ac:dyDescent="0.25">
      <c r="A161" s="2" t="s">
        <v>421</v>
      </c>
    </row>
    <row r="163" spans="1:6" x14ac:dyDescent="0.25">
      <c r="B163" s="15" t="s">
        <v>28</v>
      </c>
      <c r="C163" s="15" t="s">
        <v>27</v>
      </c>
      <c r="D163" s="15" t="s">
        <v>190</v>
      </c>
      <c r="E163" s="15" t="s">
        <v>191</v>
      </c>
    </row>
    <row r="164" spans="1:6" x14ac:dyDescent="0.25">
      <c r="A164" s="4" t="s">
        <v>422</v>
      </c>
      <c r="B164" s="30">
        <f>1-Input!B13*B154</f>
        <v>0.90221131185693337</v>
      </c>
      <c r="C164" s="30">
        <f>1-Input!B19*D154</f>
        <v>0.54981471925729464</v>
      </c>
      <c r="D164" s="30">
        <f>1-E154</f>
        <v>0.30632753300416049</v>
      </c>
      <c r="E164" s="30">
        <f>1-E154</f>
        <v>0.30632753300416049</v>
      </c>
      <c r="F164" s="17"/>
    </row>
    <row r="166" spans="1:6" ht="21" customHeight="1" x14ac:dyDescent="0.3">
      <c r="A166" s="1" t="s">
        <v>423</v>
      </c>
    </row>
    <row r="167" spans="1:6" x14ac:dyDescent="0.25">
      <c r="A167" s="2" t="s">
        <v>197</v>
      </c>
    </row>
    <row r="168" spans="1:6" x14ac:dyDescent="0.25">
      <c r="A168" s="21" t="s">
        <v>424</v>
      </c>
    </row>
    <row r="169" spans="1:6" x14ac:dyDescent="0.25">
      <c r="A169" s="2" t="s">
        <v>352</v>
      </c>
    </row>
    <row r="171" spans="1:6" x14ac:dyDescent="0.25">
      <c r="B171" s="15" t="s">
        <v>191</v>
      </c>
    </row>
    <row r="172" spans="1:6" x14ac:dyDescent="0.25">
      <c r="A172" s="4" t="s">
        <v>425</v>
      </c>
      <c r="B172" s="32">
        <f>$E$164</f>
        <v>0.30632753300416049</v>
      </c>
      <c r="C172" s="17"/>
    </row>
    <row r="173" spans="1:6" x14ac:dyDescent="0.25">
      <c r="A173" s="4" t="s">
        <v>426</v>
      </c>
      <c r="B173" s="32">
        <f>$E$164</f>
        <v>0.30632753300416049</v>
      </c>
      <c r="C173" s="17"/>
    </row>
    <row r="174" spans="1:6" x14ac:dyDescent="0.25">
      <c r="A174" s="4" t="s">
        <v>427</v>
      </c>
      <c r="B174" s="32">
        <f>$E$164</f>
        <v>0.30632753300416049</v>
      </c>
      <c r="C174" s="17"/>
    </row>
    <row r="175" spans="1:6" x14ac:dyDescent="0.25">
      <c r="A175" s="4" t="s">
        <v>428</v>
      </c>
      <c r="B175" s="32">
        <f>$E$164</f>
        <v>0.30632753300416049</v>
      </c>
      <c r="C175" s="17"/>
    </row>
    <row r="177" spans="1:3" ht="21" customHeight="1" x14ac:dyDescent="0.3">
      <c r="A177" s="1" t="s">
        <v>429</v>
      </c>
    </row>
    <row r="178" spans="1:3" x14ac:dyDescent="0.25">
      <c r="A178" s="2" t="s">
        <v>197</v>
      </c>
    </row>
    <row r="179" spans="1:3" x14ac:dyDescent="0.25">
      <c r="A179" s="21" t="s">
        <v>424</v>
      </c>
    </row>
    <row r="180" spans="1:3" x14ac:dyDescent="0.25">
      <c r="A180" s="2" t="s">
        <v>352</v>
      </c>
    </row>
    <row r="182" spans="1:3" x14ac:dyDescent="0.25">
      <c r="B182" s="15" t="s">
        <v>190</v>
      </c>
    </row>
    <row r="183" spans="1:3" x14ac:dyDescent="0.25">
      <c r="A183" s="4" t="s">
        <v>430</v>
      </c>
      <c r="B183" s="32">
        <f>$D$164</f>
        <v>0.30632753300416049</v>
      </c>
      <c r="C183" s="17"/>
    </row>
    <row r="184" spans="1:3" x14ac:dyDescent="0.25">
      <c r="A184" s="4" t="s">
        <v>431</v>
      </c>
      <c r="B184" s="32">
        <f>$D$164</f>
        <v>0.30632753300416049</v>
      </c>
      <c r="C184" s="17"/>
    </row>
    <row r="185" spans="1:3" x14ac:dyDescent="0.25">
      <c r="A185" s="4" t="s">
        <v>432</v>
      </c>
      <c r="B185" s="32">
        <f>$D$164</f>
        <v>0.30632753300416049</v>
      </c>
      <c r="C185" s="17"/>
    </row>
    <row r="186" spans="1:3" x14ac:dyDescent="0.25">
      <c r="A186" s="4" t="s">
        <v>433</v>
      </c>
      <c r="B186" s="32">
        <f>$D$164</f>
        <v>0.30632753300416049</v>
      </c>
      <c r="C186" s="17"/>
    </row>
    <row r="188" spans="1:3" ht="21" customHeight="1" x14ac:dyDescent="0.3">
      <c r="A188" s="1" t="s">
        <v>434</v>
      </c>
    </row>
    <row r="189" spans="1:3" x14ac:dyDescent="0.25">
      <c r="A189" s="2" t="s">
        <v>197</v>
      </c>
    </row>
    <row r="190" spans="1:3" x14ac:dyDescent="0.25">
      <c r="A190" s="21" t="s">
        <v>435</v>
      </c>
    </row>
    <row r="191" spans="1:3" x14ac:dyDescent="0.25">
      <c r="A191" s="21" t="s">
        <v>436</v>
      </c>
    </row>
    <row r="192" spans="1:3" x14ac:dyDescent="0.25">
      <c r="A192" s="2" t="s">
        <v>437</v>
      </c>
    </row>
    <row r="193" spans="1:9" x14ac:dyDescent="0.25">
      <c r="A193" s="2" t="s">
        <v>292</v>
      </c>
    </row>
    <row r="195" spans="1:9" x14ac:dyDescent="0.25">
      <c r="B195" s="15" t="s">
        <v>28</v>
      </c>
      <c r="C195" s="15" t="s">
        <v>38</v>
      </c>
      <c r="D195" s="15" t="s">
        <v>27</v>
      </c>
      <c r="E195" s="15" t="s">
        <v>83</v>
      </c>
      <c r="F195" s="15" t="s">
        <v>190</v>
      </c>
      <c r="G195" s="15" t="s">
        <v>81</v>
      </c>
      <c r="H195" s="15" t="s">
        <v>191</v>
      </c>
    </row>
    <row r="196" spans="1:9" x14ac:dyDescent="0.25">
      <c r="A196" s="4" t="s">
        <v>438</v>
      </c>
      <c r="B196" s="26">
        <v>1</v>
      </c>
      <c r="C196" s="26">
        <v>1</v>
      </c>
      <c r="D196" s="26">
        <v>1</v>
      </c>
      <c r="E196" s="26"/>
      <c r="F196" s="26"/>
      <c r="G196" s="26"/>
      <c r="H196" s="26"/>
      <c r="I196" s="17"/>
    </row>
    <row r="197" spans="1:9" x14ac:dyDescent="0.25">
      <c r="A197" s="4" t="s">
        <v>439</v>
      </c>
      <c r="B197" s="26">
        <v>1</v>
      </c>
      <c r="C197" s="26">
        <v>1</v>
      </c>
      <c r="D197" s="26">
        <v>1</v>
      </c>
      <c r="E197" s="26"/>
      <c r="F197" s="26"/>
      <c r="G197" s="26"/>
      <c r="H197" s="26"/>
      <c r="I197" s="17"/>
    </row>
    <row r="198" spans="1:9" x14ac:dyDescent="0.25">
      <c r="A198" s="4" t="s">
        <v>440</v>
      </c>
      <c r="B198" s="26">
        <v>1</v>
      </c>
      <c r="C198" s="26">
        <v>1</v>
      </c>
      <c r="D198" s="26">
        <v>1</v>
      </c>
      <c r="E198" s="26"/>
      <c r="F198" s="26"/>
      <c r="G198" s="26"/>
      <c r="H198" s="26"/>
      <c r="I198" s="17"/>
    </row>
    <row r="199" spans="1:9" x14ac:dyDescent="0.25">
      <c r="A199" s="4" t="s">
        <v>441</v>
      </c>
      <c r="B199" s="26">
        <v>1</v>
      </c>
      <c r="C199" s="26">
        <v>1</v>
      </c>
      <c r="D199" s="26">
        <v>1</v>
      </c>
      <c r="E199" s="26"/>
      <c r="F199" s="26"/>
      <c r="G199" s="26"/>
      <c r="H199" s="26"/>
      <c r="I199" s="17"/>
    </row>
    <row r="200" spans="1:9" x14ac:dyDescent="0.25">
      <c r="A200" s="4" t="s">
        <v>430</v>
      </c>
      <c r="B200" s="26">
        <v>1</v>
      </c>
      <c r="C200" s="26">
        <v>1</v>
      </c>
      <c r="D200" s="26">
        <v>1</v>
      </c>
      <c r="E200" s="26">
        <v>1</v>
      </c>
      <c r="F200" s="34">
        <f>$B$183</f>
        <v>0.30632753300416049</v>
      </c>
      <c r="G200" s="26"/>
      <c r="H200" s="26"/>
      <c r="I200" s="17"/>
    </row>
    <row r="201" spans="1:9" x14ac:dyDescent="0.25">
      <c r="A201" s="4" t="s">
        <v>431</v>
      </c>
      <c r="B201" s="26">
        <v>1</v>
      </c>
      <c r="C201" s="26">
        <v>1</v>
      </c>
      <c r="D201" s="26">
        <v>1</v>
      </c>
      <c r="E201" s="26">
        <v>1</v>
      </c>
      <c r="F201" s="34">
        <f>$B$184</f>
        <v>0.30632753300416049</v>
      </c>
      <c r="G201" s="26"/>
      <c r="H201" s="26"/>
      <c r="I201" s="17"/>
    </row>
    <row r="202" spans="1:9" x14ac:dyDescent="0.25">
      <c r="A202" s="4" t="s">
        <v>432</v>
      </c>
      <c r="B202" s="26">
        <v>1</v>
      </c>
      <c r="C202" s="26">
        <v>1</v>
      </c>
      <c r="D202" s="26">
        <v>1</v>
      </c>
      <c r="E202" s="26">
        <v>1</v>
      </c>
      <c r="F202" s="34">
        <f>$B$185</f>
        <v>0.30632753300416049</v>
      </c>
      <c r="G202" s="26"/>
      <c r="H202" s="26"/>
      <c r="I202" s="17"/>
    </row>
    <row r="203" spans="1:9" x14ac:dyDescent="0.25">
      <c r="A203" s="4" t="s">
        <v>433</v>
      </c>
      <c r="B203" s="26">
        <v>1</v>
      </c>
      <c r="C203" s="26">
        <v>1</v>
      </c>
      <c r="D203" s="26">
        <v>1</v>
      </c>
      <c r="E203" s="26">
        <v>1</v>
      </c>
      <c r="F203" s="34">
        <f>$B$186</f>
        <v>0.30632753300416049</v>
      </c>
      <c r="G203" s="26"/>
      <c r="H203" s="26"/>
      <c r="I203" s="17"/>
    </row>
    <row r="204" spans="1:9" x14ac:dyDescent="0.25">
      <c r="A204" s="4" t="s">
        <v>442</v>
      </c>
      <c r="B204" s="26">
        <v>1</v>
      </c>
      <c r="C204" s="26">
        <v>1</v>
      </c>
      <c r="D204" s="26">
        <v>1</v>
      </c>
      <c r="E204" s="26">
        <v>1</v>
      </c>
      <c r="F204" s="26">
        <v>1</v>
      </c>
      <c r="G204" s="26"/>
      <c r="H204" s="26"/>
      <c r="I204" s="17"/>
    </row>
    <row r="205" spans="1:9" x14ac:dyDescent="0.25">
      <c r="A205" s="4" t="s">
        <v>443</v>
      </c>
      <c r="B205" s="26">
        <v>1</v>
      </c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17"/>
    </row>
    <row r="206" spans="1:9" x14ac:dyDescent="0.25">
      <c r="A206" s="4" t="s">
        <v>444</v>
      </c>
      <c r="B206" s="26">
        <v>1</v>
      </c>
      <c r="C206" s="26">
        <v>1</v>
      </c>
      <c r="D206" s="26">
        <v>1</v>
      </c>
      <c r="E206" s="26">
        <v>1</v>
      </c>
      <c r="F206" s="26">
        <v>1</v>
      </c>
      <c r="G206" s="26"/>
      <c r="H206" s="26"/>
      <c r="I206" s="17"/>
    </row>
    <row r="207" spans="1:9" x14ac:dyDescent="0.25">
      <c r="A207" s="4" t="s">
        <v>445</v>
      </c>
      <c r="B207" s="26">
        <v>1</v>
      </c>
      <c r="C207" s="26">
        <v>1</v>
      </c>
      <c r="D207" s="26">
        <v>1</v>
      </c>
      <c r="E207" s="26">
        <v>1</v>
      </c>
      <c r="F207" s="26">
        <v>1</v>
      </c>
      <c r="G207" s="26"/>
      <c r="H207" s="26"/>
      <c r="I207" s="17"/>
    </row>
    <row r="208" spans="1:9" x14ac:dyDescent="0.25">
      <c r="A208" s="4" t="s">
        <v>425</v>
      </c>
      <c r="B208" s="26">
        <v>1</v>
      </c>
      <c r="C208" s="26">
        <v>1</v>
      </c>
      <c r="D208" s="26">
        <v>1</v>
      </c>
      <c r="E208" s="26">
        <v>1</v>
      </c>
      <c r="F208" s="26">
        <v>1</v>
      </c>
      <c r="G208" s="26">
        <v>1</v>
      </c>
      <c r="H208" s="34">
        <f>$B$172</f>
        <v>0.30632753300416049</v>
      </c>
      <c r="I208" s="17"/>
    </row>
    <row r="209" spans="1:9" x14ac:dyDescent="0.25">
      <c r="A209" s="4" t="s">
        <v>426</v>
      </c>
      <c r="B209" s="26">
        <v>1</v>
      </c>
      <c r="C209" s="26">
        <v>1</v>
      </c>
      <c r="D209" s="26">
        <v>1</v>
      </c>
      <c r="E209" s="26">
        <v>1</v>
      </c>
      <c r="F209" s="26">
        <v>1</v>
      </c>
      <c r="G209" s="26">
        <v>1</v>
      </c>
      <c r="H209" s="34">
        <f>$B$173</f>
        <v>0.30632753300416049</v>
      </c>
      <c r="I209" s="17"/>
    </row>
    <row r="210" spans="1:9" x14ac:dyDescent="0.25">
      <c r="A210" s="4" t="s">
        <v>427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34">
        <f>$B$174</f>
        <v>0.30632753300416049</v>
      </c>
      <c r="I210" s="17"/>
    </row>
    <row r="211" spans="1:9" x14ac:dyDescent="0.25">
      <c r="A211" s="4" t="s">
        <v>428</v>
      </c>
      <c r="B211" s="26">
        <v>1</v>
      </c>
      <c r="C211" s="26">
        <v>1</v>
      </c>
      <c r="D211" s="26">
        <v>1</v>
      </c>
      <c r="E211" s="26">
        <v>1</v>
      </c>
      <c r="F211" s="26">
        <v>1</v>
      </c>
      <c r="G211" s="26">
        <v>1</v>
      </c>
      <c r="H211" s="34">
        <f>$B$175</f>
        <v>0.30632753300416049</v>
      </c>
      <c r="I211" s="17"/>
    </row>
    <row r="212" spans="1:9" x14ac:dyDescent="0.25">
      <c r="A212" s="4" t="s">
        <v>446</v>
      </c>
      <c r="B212" s="26">
        <v>1</v>
      </c>
      <c r="C212" s="26">
        <v>1</v>
      </c>
      <c r="D212" s="26">
        <v>1</v>
      </c>
      <c r="E212" s="26">
        <v>1</v>
      </c>
      <c r="F212" s="26">
        <v>1</v>
      </c>
      <c r="G212" s="26">
        <v>1</v>
      </c>
      <c r="H212" s="26">
        <v>1</v>
      </c>
      <c r="I212" s="17"/>
    </row>
    <row r="213" spans="1:9" x14ac:dyDescent="0.25">
      <c r="A213" s="4" t="s">
        <v>447</v>
      </c>
      <c r="B213" s="26">
        <v>1</v>
      </c>
      <c r="C213" s="26">
        <v>1</v>
      </c>
      <c r="D213" s="26">
        <v>1</v>
      </c>
      <c r="E213" s="26">
        <v>1</v>
      </c>
      <c r="F213" s="26">
        <v>1</v>
      </c>
      <c r="G213" s="26">
        <v>1</v>
      </c>
      <c r="H213" s="26">
        <v>1</v>
      </c>
      <c r="I213" s="17"/>
    </row>
    <row r="214" spans="1:9" x14ac:dyDescent="0.25">
      <c r="A214" s="4" t="s">
        <v>448</v>
      </c>
      <c r="B214" s="26">
        <v>1</v>
      </c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17"/>
    </row>
    <row r="215" spans="1:9" x14ac:dyDescent="0.25">
      <c r="A215" s="4" t="s">
        <v>449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>
        <v>1</v>
      </c>
      <c r="I215" s="17"/>
    </row>
    <row r="217" spans="1:9" ht="21" customHeight="1" x14ac:dyDescent="0.3">
      <c r="A217" s="1" t="s">
        <v>450</v>
      </c>
    </row>
    <row r="218" spans="1:9" x14ac:dyDescent="0.25">
      <c r="A218" s="2" t="s">
        <v>197</v>
      </c>
    </row>
    <row r="219" spans="1:9" x14ac:dyDescent="0.25">
      <c r="A219" s="21" t="s">
        <v>451</v>
      </c>
    </row>
    <row r="220" spans="1:9" x14ac:dyDescent="0.25">
      <c r="A220" s="23" t="s">
        <v>204</v>
      </c>
      <c r="B220" s="23" t="s">
        <v>205</v>
      </c>
      <c r="C220" s="27" t="s">
        <v>222</v>
      </c>
      <c r="D220" s="27"/>
      <c r="E220" s="27"/>
      <c r="F220" s="27"/>
    </row>
    <row r="221" spans="1:9" x14ac:dyDescent="0.25">
      <c r="A221" s="23" t="s">
        <v>207</v>
      </c>
      <c r="B221" s="23" t="s">
        <v>208</v>
      </c>
      <c r="C221" s="27" t="s">
        <v>224</v>
      </c>
      <c r="D221" s="27"/>
      <c r="E221" s="27"/>
      <c r="F221" s="27"/>
    </row>
    <row r="223" spans="1:9" x14ac:dyDescent="0.25">
      <c r="C223" s="28" t="s">
        <v>452</v>
      </c>
      <c r="D223" s="28"/>
      <c r="E223" s="28"/>
      <c r="F223" s="28"/>
    </row>
    <row r="224" spans="1:9" x14ac:dyDescent="0.25">
      <c r="B224" s="15" t="s">
        <v>225</v>
      </c>
      <c r="C224" s="15" t="s">
        <v>83</v>
      </c>
      <c r="D224" s="15" t="s">
        <v>190</v>
      </c>
      <c r="E224" s="15" t="s">
        <v>81</v>
      </c>
      <c r="F224" s="15" t="s">
        <v>191</v>
      </c>
    </row>
    <row r="225" spans="1:7" x14ac:dyDescent="0.25">
      <c r="A225" s="4" t="s">
        <v>101</v>
      </c>
      <c r="B225" s="35">
        <f>CDCM!B132</f>
        <v>63808080</v>
      </c>
      <c r="C225" s="10"/>
      <c r="D225" s="10"/>
      <c r="E225" s="10"/>
      <c r="F225" s="10"/>
      <c r="G225" s="17"/>
    </row>
    <row r="226" spans="1:7" x14ac:dyDescent="0.25">
      <c r="A226" s="4" t="s">
        <v>102</v>
      </c>
      <c r="B226" s="35">
        <f>CDCM!B133</f>
        <v>101440000</v>
      </c>
      <c r="C226" s="10"/>
      <c r="D226" s="10"/>
      <c r="E226" s="10"/>
      <c r="F226" s="10"/>
      <c r="G226" s="17"/>
    </row>
    <row r="227" spans="1:7" x14ac:dyDescent="0.25">
      <c r="A227" s="4" t="s">
        <v>103</v>
      </c>
      <c r="B227" s="35">
        <f>CDCM!B134</f>
        <v>187288320</v>
      </c>
      <c r="C227" s="10"/>
      <c r="D227" s="10"/>
      <c r="E227" s="10"/>
      <c r="F227" s="10"/>
      <c r="G227" s="17"/>
    </row>
    <row r="228" spans="1:7" x14ac:dyDescent="0.25">
      <c r="A228" s="4" t="s">
        <v>104</v>
      </c>
      <c r="B228" s="35">
        <f>CDCM!B135</f>
        <v>0</v>
      </c>
      <c r="C228" s="10"/>
      <c r="D228" s="10"/>
      <c r="E228" s="10"/>
      <c r="F228" s="10"/>
      <c r="G228" s="17"/>
    </row>
    <row r="229" spans="1:7" x14ac:dyDescent="0.25">
      <c r="A229" s="4" t="s">
        <v>105</v>
      </c>
      <c r="B229" s="35">
        <f>CDCM!B136</f>
        <v>320779889.80000001</v>
      </c>
      <c r="C229" s="10"/>
      <c r="D229" s="10"/>
      <c r="E229" s="10"/>
      <c r="F229" s="10"/>
      <c r="G229" s="17"/>
    </row>
    <row r="230" spans="1:7" x14ac:dyDescent="0.25">
      <c r="A230" s="4" t="s">
        <v>106</v>
      </c>
      <c r="B230" s="35">
        <f>CDCM!B137</f>
        <v>470224495</v>
      </c>
      <c r="C230" s="10"/>
      <c r="D230" s="10"/>
      <c r="E230" s="10"/>
      <c r="F230" s="10"/>
      <c r="G230" s="17"/>
    </row>
    <row r="231" spans="1:7" x14ac:dyDescent="0.25">
      <c r="A231" s="4" t="s">
        <v>107</v>
      </c>
      <c r="B231" s="35">
        <f>CDCM!B138</f>
        <v>552980660</v>
      </c>
      <c r="C231" s="10"/>
      <c r="D231" s="10"/>
      <c r="E231" s="10"/>
      <c r="F231" s="10"/>
      <c r="G231" s="17"/>
    </row>
    <row r="232" spans="1:7" x14ac:dyDescent="0.25">
      <c r="A232" s="4" t="s">
        <v>108</v>
      </c>
      <c r="B232" s="35">
        <f>CDCM!B139</f>
        <v>32892860.000000004</v>
      </c>
      <c r="C232" s="10"/>
      <c r="D232" s="10"/>
      <c r="E232" s="10"/>
      <c r="F232" s="10"/>
      <c r="G232" s="17"/>
    </row>
    <row r="233" spans="1:7" x14ac:dyDescent="0.25">
      <c r="A233" s="4" t="s">
        <v>109</v>
      </c>
      <c r="B233" s="35">
        <f>CDCM!B140</f>
        <v>32058950</v>
      </c>
      <c r="C233" s="10"/>
      <c r="D233" s="10"/>
      <c r="E233" s="10"/>
      <c r="F233" s="10"/>
      <c r="G233" s="17"/>
    </row>
    <row r="234" spans="1:7" x14ac:dyDescent="0.25">
      <c r="A234" s="4" t="s">
        <v>110</v>
      </c>
      <c r="B234" s="35">
        <f>CDCM!B141</f>
        <v>2095470</v>
      </c>
      <c r="C234" s="10"/>
      <c r="D234" s="10"/>
      <c r="E234" s="10"/>
      <c r="F234" s="10"/>
      <c r="G234" s="17"/>
    </row>
    <row r="235" spans="1:7" x14ac:dyDescent="0.25">
      <c r="A235" s="4" t="s">
        <v>111</v>
      </c>
      <c r="B235" s="35">
        <f>CDCM!B142</f>
        <v>0</v>
      </c>
      <c r="C235" s="10"/>
      <c r="D235" s="10"/>
      <c r="E235" s="10"/>
      <c r="F235" s="10"/>
      <c r="G235" s="17"/>
    </row>
    <row r="236" spans="1:7" x14ac:dyDescent="0.25">
      <c r="A236" s="4" t="s">
        <v>112</v>
      </c>
      <c r="B236" s="35">
        <f>CDCM!B143</f>
        <v>0</v>
      </c>
      <c r="C236" s="10"/>
      <c r="D236" s="10"/>
      <c r="E236" s="10"/>
      <c r="F236" s="10"/>
      <c r="G236" s="17"/>
    </row>
    <row r="237" spans="1:7" x14ac:dyDescent="0.25">
      <c r="A237" s="4" t="s">
        <v>113</v>
      </c>
      <c r="B237" s="35">
        <f>CDCM!B144</f>
        <v>0</v>
      </c>
      <c r="C237" s="10"/>
      <c r="D237" s="10"/>
      <c r="E237" s="10"/>
      <c r="F237" s="10"/>
      <c r="G237" s="17"/>
    </row>
    <row r="238" spans="1:7" x14ac:dyDescent="0.25">
      <c r="A238" s="4" t="s">
        <v>114</v>
      </c>
      <c r="B238" s="35">
        <f>CDCM!B145</f>
        <v>254149740</v>
      </c>
      <c r="C238" s="10"/>
      <c r="D238" s="10"/>
      <c r="E238" s="10"/>
      <c r="F238" s="10"/>
      <c r="G238" s="17"/>
    </row>
    <row r="239" spans="1:7" x14ac:dyDescent="0.25">
      <c r="A239" s="4" t="s">
        <v>115</v>
      </c>
      <c r="B239" s="35">
        <f>CDCM!B146</f>
        <v>0</v>
      </c>
      <c r="C239" s="10"/>
      <c r="D239" s="10"/>
      <c r="E239" s="10"/>
      <c r="F239" s="10"/>
      <c r="G239" s="17"/>
    </row>
    <row r="240" spans="1:7" x14ac:dyDescent="0.25">
      <c r="A240" s="4" t="s">
        <v>116</v>
      </c>
      <c r="B240" s="35">
        <f>CDCM!B147</f>
        <v>0</v>
      </c>
      <c r="C240" s="10"/>
      <c r="D240" s="10"/>
      <c r="E240" s="10"/>
      <c r="F240" s="10"/>
      <c r="G240" s="17"/>
    </row>
    <row r="241" spans="1:7" x14ac:dyDescent="0.25">
      <c r="A241" s="4" t="s">
        <v>117</v>
      </c>
      <c r="B241" s="35">
        <f>CDCM!B148</f>
        <v>0</v>
      </c>
      <c r="C241" s="10"/>
      <c r="D241" s="10"/>
      <c r="E241" s="10"/>
      <c r="F241" s="10"/>
      <c r="G241" s="17"/>
    </row>
    <row r="242" spans="1:7" x14ac:dyDescent="0.25">
      <c r="A242" s="4" t="s">
        <v>118</v>
      </c>
      <c r="B242" s="35">
        <f>CDCM!B149</f>
        <v>333192650</v>
      </c>
      <c r="C242" s="10"/>
      <c r="D242" s="10"/>
      <c r="E242" s="10"/>
      <c r="F242" s="10"/>
      <c r="G242" s="17"/>
    </row>
    <row r="243" spans="1:7" x14ac:dyDescent="0.25">
      <c r="A243" s="4" t="s">
        <v>119</v>
      </c>
      <c r="B243" s="35">
        <f>CDCM!B150</f>
        <v>0</v>
      </c>
      <c r="C243" s="10"/>
      <c r="D243" s="10"/>
      <c r="E243" s="10"/>
      <c r="F243" s="10"/>
      <c r="G243" s="17"/>
    </row>
    <row r="244" spans="1:7" x14ac:dyDescent="0.25">
      <c r="A244" s="4" t="s">
        <v>120</v>
      </c>
      <c r="B244" s="35">
        <f>CDCM!B151</f>
        <v>460749012</v>
      </c>
      <c r="C244" s="10"/>
      <c r="D244" s="10"/>
      <c r="E244" s="10"/>
      <c r="F244" s="10"/>
      <c r="G244" s="17"/>
    </row>
    <row r="245" spans="1:7" x14ac:dyDescent="0.25">
      <c r="A245" s="4" t="s">
        <v>121</v>
      </c>
      <c r="B245" s="35">
        <f>CDCM!B152</f>
        <v>0</v>
      </c>
      <c r="C245" s="10"/>
      <c r="D245" s="10"/>
      <c r="E245" s="10"/>
      <c r="F245" s="10"/>
      <c r="G245" s="17"/>
    </row>
    <row r="246" spans="1:7" x14ac:dyDescent="0.25">
      <c r="A246" s="4" t="s">
        <v>122</v>
      </c>
      <c r="B246" s="35">
        <f>CDCM!B153</f>
        <v>2678450</v>
      </c>
      <c r="C246" s="10"/>
      <c r="D246" s="10"/>
      <c r="E246" s="10"/>
      <c r="F246" s="10"/>
      <c r="G246" s="17"/>
    </row>
    <row r="247" spans="1:7" x14ac:dyDescent="0.25">
      <c r="A247" s="4" t="s">
        <v>123</v>
      </c>
      <c r="B247" s="35">
        <f>CDCM!B154</f>
        <v>7587030</v>
      </c>
      <c r="C247" s="26">
        <v>1</v>
      </c>
      <c r="D247" s="26">
        <v>0</v>
      </c>
      <c r="E247" s="26">
        <v>0</v>
      </c>
      <c r="F247" s="26">
        <v>0</v>
      </c>
      <c r="G247" s="17"/>
    </row>
    <row r="248" spans="1:7" x14ac:dyDescent="0.25">
      <c r="A248" s="4" t="s">
        <v>124</v>
      </c>
      <c r="B248" s="35">
        <f>CDCM!B155</f>
        <v>73927800</v>
      </c>
      <c r="C248" s="26">
        <v>1</v>
      </c>
      <c r="D248" s="26">
        <v>0</v>
      </c>
      <c r="E248" s="26">
        <v>0</v>
      </c>
      <c r="F248" s="26">
        <v>0</v>
      </c>
      <c r="G248" s="17"/>
    </row>
    <row r="249" spans="1:7" x14ac:dyDescent="0.25">
      <c r="A249" s="4" t="s">
        <v>125</v>
      </c>
      <c r="B249" s="35">
        <f>CDCM!B156</f>
        <v>1044880</v>
      </c>
      <c r="C249" s="10"/>
      <c r="D249" s="10"/>
      <c r="E249" s="10"/>
      <c r="F249" s="10"/>
      <c r="G249" s="17"/>
    </row>
    <row r="250" spans="1:7" x14ac:dyDescent="0.25">
      <c r="A250" s="4" t="s">
        <v>126</v>
      </c>
      <c r="B250" s="35">
        <f>CDCM!B157</f>
        <v>23649500</v>
      </c>
      <c r="C250" s="10"/>
      <c r="D250" s="10"/>
      <c r="E250" s="10"/>
      <c r="F250" s="10"/>
      <c r="G250" s="17"/>
    </row>
    <row r="251" spans="1:7" x14ac:dyDescent="0.25">
      <c r="A251" s="4" t="s">
        <v>127</v>
      </c>
      <c r="B251" s="35">
        <f>CDCM!B158</f>
        <v>92419280</v>
      </c>
      <c r="C251" s="10"/>
      <c r="D251" s="10"/>
      <c r="E251" s="10"/>
      <c r="F251" s="10"/>
      <c r="G251" s="17"/>
    </row>
    <row r="252" spans="1:7" ht="30" x14ac:dyDescent="0.25">
      <c r="A252" s="4" t="s">
        <v>128</v>
      </c>
      <c r="B252" s="35">
        <f>CDCM!B159</f>
        <v>0</v>
      </c>
      <c r="C252" s="10"/>
      <c r="D252" s="10"/>
      <c r="E252" s="10"/>
      <c r="F252" s="10"/>
      <c r="G252" s="17"/>
    </row>
    <row r="253" spans="1:7" ht="30" x14ac:dyDescent="0.25">
      <c r="A253" s="4" t="s">
        <v>129</v>
      </c>
      <c r="B253" s="35">
        <f>CDCM!B160</f>
        <v>0</v>
      </c>
      <c r="C253" s="10"/>
      <c r="D253" s="10"/>
      <c r="E253" s="10"/>
      <c r="F253" s="10"/>
      <c r="G253" s="17"/>
    </row>
    <row r="254" spans="1:7" x14ac:dyDescent="0.25">
      <c r="A254" s="4" t="s">
        <v>130</v>
      </c>
      <c r="B254" s="35">
        <f>CDCM!B161</f>
        <v>0</v>
      </c>
      <c r="C254" s="26">
        <v>1</v>
      </c>
      <c r="D254" s="26">
        <v>0</v>
      </c>
      <c r="E254" s="26">
        <v>0</v>
      </c>
      <c r="F254" s="26">
        <v>0</v>
      </c>
      <c r="G254" s="17"/>
    </row>
    <row r="255" spans="1:7" x14ac:dyDescent="0.25">
      <c r="A255" s="4" t="s">
        <v>131</v>
      </c>
      <c r="B255" s="35">
        <f>CDCM!B162</f>
        <v>0</v>
      </c>
      <c r="C255" s="26">
        <v>1</v>
      </c>
      <c r="D255" s="26">
        <v>0</v>
      </c>
      <c r="E255" s="26">
        <v>0</v>
      </c>
      <c r="F255" s="26">
        <v>0</v>
      </c>
      <c r="G255" s="17"/>
    </row>
    <row r="256" spans="1:7" x14ac:dyDescent="0.25">
      <c r="A256" s="4" t="s">
        <v>132</v>
      </c>
      <c r="B256" s="35">
        <f>CDCM!B163</f>
        <v>0</v>
      </c>
      <c r="C256" s="10"/>
      <c r="D256" s="10"/>
      <c r="E256" s="10"/>
      <c r="F256" s="10"/>
      <c r="G256" s="17"/>
    </row>
    <row r="257" spans="1:7" x14ac:dyDescent="0.25">
      <c r="A257" s="4" t="s">
        <v>133</v>
      </c>
      <c r="B257" s="35">
        <f>CDCM!B164</f>
        <v>0</v>
      </c>
      <c r="C257" s="10"/>
      <c r="D257" s="10"/>
      <c r="E257" s="10"/>
      <c r="F257" s="10"/>
      <c r="G257" s="17"/>
    </row>
    <row r="258" spans="1:7" x14ac:dyDescent="0.25">
      <c r="A258" s="4" t="s">
        <v>134</v>
      </c>
      <c r="B258" s="35">
        <f>CDCM!B165</f>
        <v>0</v>
      </c>
      <c r="C258" s="10"/>
      <c r="D258" s="10"/>
      <c r="E258" s="10"/>
      <c r="F258" s="10"/>
      <c r="G258" s="17"/>
    </row>
    <row r="259" spans="1:7" x14ac:dyDescent="0.25">
      <c r="A259" s="4" t="s">
        <v>135</v>
      </c>
      <c r="B259" s="35">
        <f>CDCM!B166</f>
        <v>0</v>
      </c>
      <c r="C259" s="10"/>
      <c r="D259" s="10"/>
      <c r="E259" s="10"/>
      <c r="F259" s="10"/>
      <c r="G259" s="17"/>
    </row>
    <row r="260" spans="1:7" ht="30" x14ac:dyDescent="0.25">
      <c r="A260" s="4" t="s">
        <v>136</v>
      </c>
      <c r="B260" s="35">
        <f>CDCM!B167</f>
        <v>0</v>
      </c>
      <c r="C260" s="10"/>
      <c r="D260" s="10"/>
      <c r="E260" s="10"/>
      <c r="F260" s="10"/>
      <c r="G260" s="17"/>
    </row>
    <row r="261" spans="1:7" x14ac:dyDescent="0.25">
      <c r="A261" s="4" t="s">
        <v>137</v>
      </c>
      <c r="B261" s="35">
        <f>CDCM!B168</f>
        <v>56142980</v>
      </c>
      <c r="C261" s="10"/>
      <c r="D261" s="10"/>
      <c r="E261" s="10"/>
      <c r="F261" s="10"/>
      <c r="G261" s="17"/>
    </row>
    <row r="262" spans="1:7" x14ac:dyDescent="0.25">
      <c r="A262" s="4" t="s">
        <v>138</v>
      </c>
      <c r="B262" s="35">
        <f>CDCM!B169</f>
        <v>105162460</v>
      </c>
      <c r="C262" s="10"/>
      <c r="D262" s="10"/>
      <c r="E262" s="10"/>
      <c r="F262" s="10"/>
      <c r="G262" s="17"/>
    </row>
    <row r="263" spans="1:7" x14ac:dyDescent="0.25">
      <c r="A263" s="4" t="s">
        <v>139</v>
      </c>
      <c r="B263" s="35">
        <f>CDCM!B170</f>
        <v>0</v>
      </c>
      <c r="C263" s="10"/>
      <c r="D263" s="10"/>
      <c r="E263" s="10"/>
      <c r="F263" s="10"/>
      <c r="G263" s="17"/>
    </row>
    <row r="264" spans="1:7" x14ac:dyDescent="0.25">
      <c r="A264" s="4" t="s">
        <v>140</v>
      </c>
      <c r="B264" s="35">
        <f>CDCM!B171</f>
        <v>0</v>
      </c>
      <c r="C264" s="10"/>
      <c r="D264" s="10"/>
      <c r="E264" s="10"/>
      <c r="F264" s="10"/>
      <c r="G264" s="17"/>
    </row>
    <row r="265" spans="1:7" x14ac:dyDescent="0.25">
      <c r="A265" s="4" t="s">
        <v>141</v>
      </c>
      <c r="B265" s="35">
        <f>CDCM!B172</f>
        <v>31879680</v>
      </c>
      <c r="C265" s="26">
        <v>0</v>
      </c>
      <c r="D265" s="26">
        <v>1</v>
      </c>
      <c r="E265" s="26">
        <v>0</v>
      </c>
      <c r="F265" s="26">
        <v>0</v>
      </c>
      <c r="G265" s="17"/>
    </row>
    <row r="266" spans="1:7" x14ac:dyDescent="0.25">
      <c r="A266" s="4" t="s">
        <v>142</v>
      </c>
      <c r="B266" s="35">
        <f>CDCM!B173</f>
        <v>1380470</v>
      </c>
      <c r="C266" s="26">
        <v>0</v>
      </c>
      <c r="D266" s="26">
        <v>1</v>
      </c>
      <c r="E266" s="26">
        <v>0</v>
      </c>
      <c r="F266" s="26">
        <v>0</v>
      </c>
      <c r="G266" s="17"/>
    </row>
    <row r="267" spans="1:7" x14ac:dyDescent="0.25">
      <c r="A267" s="4" t="s">
        <v>143</v>
      </c>
      <c r="B267" s="35">
        <f>CDCM!B174</f>
        <v>13669950</v>
      </c>
      <c r="C267" s="26">
        <v>0</v>
      </c>
      <c r="D267" s="26">
        <v>1</v>
      </c>
      <c r="E267" s="26">
        <v>0</v>
      </c>
      <c r="F267" s="26">
        <v>0</v>
      </c>
      <c r="G267" s="17"/>
    </row>
    <row r="268" spans="1:7" x14ac:dyDescent="0.25">
      <c r="A268" s="4" t="s">
        <v>144</v>
      </c>
      <c r="B268" s="35">
        <f>CDCM!B175</f>
        <v>1469720</v>
      </c>
      <c r="C268" s="26">
        <v>0</v>
      </c>
      <c r="D268" s="26">
        <v>1</v>
      </c>
      <c r="E268" s="26">
        <v>0</v>
      </c>
      <c r="F268" s="26">
        <v>0</v>
      </c>
      <c r="G268" s="17"/>
    </row>
    <row r="269" spans="1:7" x14ac:dyDescent="0.25">
      <c r="A269" s="4" t="s">
        <v>145</v>
      </c>
      <c r="B269" s="35">
        <f>CDCM!B176</f>
        <v>39995640</v>
      </c>
      <c r="C269" s="26">
        <v>0</v>
      </c>
      <c r="D269" s="26">
        <v>1</v>
      </c>
      <c r="E269" s="26">
        <v>0</v>
      </c>
      <c r="F269" s="26">
        <v>0</v>
      </c>
      <c r="G269" s="17"/>
    </row>
    <row r="270" spans="1:7" x14ac:dyDescent="0.25">
      <c r="A270" s="4" t="s">
        <v>146</v>
      </c>
      <c r="B270" s="35">
        <f>CDCM!B177</f>
        <v>8618400</v>
      </c>
      <c r="C270" s="26">
        <v>0</v>
      </c>
      <c r="D270" s="26">
        <v>1</v>
      </c>
      <c r="E270" s="26">
        <v>0</v>
      </c>
      <c r="F270" s="26">
        <v>0</v>
      </c>
      <c r="G270" s="17"/>
    </row>
    <row r="271" spans="1:7" x14ac:dyDescent="0.25">
      <c r="A271" s="4" t="s">
        <v>147</v>
      </c>
      <c r="B271" s="35">
        <f>CDCM!B178</f>
        <v>15587980</v>
      </c>
      <c r="C271" s="26">
        <v>0</v>
      </c>
      <c r="D271" s="26">
        <v>1</v>
      </c>
      <c r="E271" s="26">
        <v>0</v>
      </c>
      <c r="F271" s="26">
        <v>0</v>
      </c>
      <c r="G271" s="17"/>
    </row>
    <row r="272" spans="1:7" x14ac:dyDescent="0.25">
      <c r="A272" s="4" t="s">
        <v>148</v>
      </c>
      <c r="B272" s="35">
        <f>CDCM!B179</f>
        <v>18707030</v>
      </c>
      <c r="C272" s="26">
        <v>0</v>
      </c>
      <c r="D272" s="26">
        <v>1</v>
      </c>
      <c r="E272" s="26">
        <v>0</v>
      </c>
      <c r="F272" s="26">
        <v>0</v>
      </c>
      <c r="G272" s="17"/>
    </row>
    <row r="273" spans="1:7" x14ac:dyDescent="0.25">
      <c r="A273" s="4" t="s">
        <v>149</v>
      </c>
      <c r="B273" s="35">
        <f>CDCM!B180</f>
        <v>66938793.599999994</v>
      </c>
      <c r="C273" s="26">
        <v>0</v>
      </c>
      <c r="D273" s="26">
        <v>1</v>
      </c>
      <c r="E273" s="26">
        <v>0</v>
      </c>
      <c r="F273" s="26">
        <v>0</v>
      </c>
      <c r="G273" s="17"/>
    </row>
    <row r="274" spans="1:7" x14ac:dyDescent="0.25">
      <c r="A274" s="4" t="s">
        <v>150</v>
      </c>
      <c r="B274" s="35">
        <f>CDCM!B181</f>
        <v>0</v>
      </c>
      <c r="C274" s="26">
        <v>0</v>
      </c>
      <c r="D274" s="26">
        <v>1</v>
      </c>
      <c r="E274" s="26">
        <v>0</v>
      </c>
      <c r="F274" s="26">
        <v>0</v>
      </c>
      <c r="G274" s="17"/>
    </row>
    <row r="275" spans="1:7" x14ac:dyDescent="0.25">
      <c r="A275" s="4" t="s">
        <v>151</v>
      </c>
      <c r="B275" s="35">
        <f>CDCM!B182</f>
        <v>1408864.08</v>
      </c>
      <c r="C275" s="26">
        <v>0</v>
      </c>
      <c r="D275" s="26">
        <v>1</v>
      </c>
      <c r="E275" s="26">
        <v>0</v>
      </c>
      <c r="F275" s="26">
        <v>0</v>
      </c>
      <c r="G275" s="17"/>
    </row>
    <row r="276" spans="1:7" x14ac:dyDescent="0.25">
      <c r="A276" s="4" t="s">
        <v>152</v>
      </c>
      <c r="B276" s="35">
        <f>CDCM!B183</f>
        <v>2666700</v>
      </c>
      <c r="C276" s="26">
        <v>0</v>
      </c>
      <c r="D276" s="26">
        <v>1</v>
      </c>
      <c r="E276" s="26">
        <v>0</v>
      </c>
      <c r="F276" s="26">
        <v>0</v>
      </c>
      <c r="G276" s="17"/>
    </row>
    <row r="277" spans="1:7" x14ac:dyDescent="0.25">
      <c r="A277" s="4" t="s">
        <v>153</v>
      </c>
      <c r="B277" s="35">
        <f>CDCM!B184</f>
        <v>888900</v>
      </c>
      <c r="C277" s="26">
        <v>0</v>
      </c>
      <c r="D277" s="26">
        <v>1</v>
      </c>
      <c r="E277" s="26">
        <v>0</v>
      </c>
      <c r="F277" s="26">
        <v>0</v>
      </c>
      <c r="G277" s="17"/>
    </row>
    <row r="278" spans="1:7" x14ac:dyDescent="0.25">
      <c r="A278" s="4" t="s">
        <v>154</v>
      </c>
      <c r="B278" s="35">
        <f>CDCM!B185</f>
        <v>444450</v>
      </c>
      <c r="C278" s="26">
        <v>0</v>
      </c>
      <c r="D278" s="26">
        <v>1</v>
      </c>
      <c r="E278" s="26">
        <v>0</v>
      </c>
      <c r="F278" s="26">
        <v>0</v>
      </c>
      <c r="G278" s="17"/>
    </row>
    <row r="279" spans="1:7" x14ac:dyDescent="0.25">
      <c r="A279" s="4" t="s">
        <v>155</v>
      </c>
      <c r="B279" s="35">
        <f>CDCM!B186</f>
        <v>1474876</v>
      </c>
      <c r="C279" s="26">
        <v>0</v>
      </c>
      <c r="D279" s="26">
        <v>1</v>
      </c>
      <c r="E279" s="26">
        <v>0</v>
      </c>
      <c r="F279" s="26">
        <v>0</v>
      </c>
      <c r="G279" s="17"/>
    </row>
    <row r="280" spans="1:7" x14ac:dyDescent="0.25">
      <c r="A280" s="4" t="s">
        <v>156</v>
      </c>
      <c r="B280" s="35">
        <f>CDCM!B187</f>
        <v>20706380</v>
      </c>
      <c r="C280" s="26">
        <v>0</v>
      </c>
      <c r="D280" s="26">
        <v>0</v>
      </c>
      <c r="E280" s="26">
        <v>1</v>
      </c>
      <c r="F280" s="26">
        <v>0</v>
      </c>
      <c r="G280" s="17"/>
    </row>
    <row r="281" spans="1:7" x14ac:dyDescent="0.25">
      <c r="A281" s="4" t="s">
        <v>157</v>
      </c>
      <c r="B281" s="35">
        <f>CDCM!B188</f>
        <v>14083600</v>
      </c>
      <c r="C281" s="26">
        <v>0</v>
      </c>
      <c r="D281" s="26">
        <v>0</v>
      </c>
      <c r="E281" s="26">
        <v>1</v>
      </c>
      <c r="F281" s="26">
        <v>0</v>
      </c>
      <c r="G281" s="17"/>
    </row>
    <row r="282" spans="1:7" x14ac:dyDescent="0.25">
      <c r="A282" s="4" t="s">
        <v>158</v>
      </c>
      <c r="B282" s="35">
        <f>CDCM!B189</f>
        <v>530720</v>
      </c>
      <c r="C282" s="26">
        <v>0</v>
      </c>
      <c r="D282" s="26">
        <v>0</v>
      </c>
      <c r="E282" s="26">
        <v>1</v>
      </c>
      <c r="F282" s="26">
        <v>0</v>
      </c>
      <c r="G282" s="17"/>
    </row>
    <row r="283" spans="1:7" x14ac:dyDescent="0.25">
      <c r="A283" s="4" t="s">
        <v>159</v>
      </c>
      <c r="B283" s="35">
        <f>CDCM!B190</f>
        <v>0</v>
      </c>
      <c r="C283" s="26">
        <v>0</v>
      </c>
      <c r="D283" s="26">
        <v>0</v>
      </c>
      <c r="E283" s="26">
        <v>1</v>
      </c>
      <c r="F283" s="26">
        <v>0</v>
      </c>
      <c r="G283" s="17"/>
    </row>
    <row r="284" spans="1:7" x14ac:dyDescent="0.25">
      <c r="A284" s="4" t="s">
        <v>160</v>
      </c>
      <c r="B284" s="35">
        <f>CDCM!B191</f>
        <v>0</v>
      </c>
      <c r="C284" s="26">
        <v>0</v>
      </c>
      <c r="D284" s="26">
        <v>0</v>
      </c>
      <c r="E284" s="26">
        <v>1</v>
      </c>
      <c r="F284" s="26">
        <v>0</v>
      </c>
      <c r="G284" s="17"/>
    </row>
    <row r="285" spans="1:7" x14ac:dyDescent="0.25">
      <c r="A285" s="4" t="s">
        <v>161</v>
      </c>
      <c r="B285" s="35">
        <f>CDCM!B192</f>
        <v>0</v>
      </c>
      <c r="C285" s="26">
        <v>1</v>
      </c>
      <c r="D285" s="26">
        <v>0</v>
      </c>
      <c r="E285" s="26">
        <v>0</v>
      </c>
      <c r="F285" s="26">
        <v>0</v>
      </c>
      <c r="G285" s="17"/>
    </row>
    <row r="286" spans="1:7" x14ac:dyDescent="0.25">
      <c r="A286" s="4" t="s">
        <v>162</v>
      </c>
      <c r="B286" s="35">
        <f>CDCM!B193</f>
        <v>4669830</v>
      </c>
      <c r="C286" s="26">
        <v>0</v>
      </c>
      <c r="D286" s="26">
        <v>0</v>
      </c>
      <c r="E286" s="26">
        <v>1</v>
      </c>
      <c r="F286" s="26">
        <v>0</v>
      </c>
      <c r="G286" s="17"/>
    </row>
    <row r="287" spans="1:7" x14ac:dyDescent="0.25">
      <c r="A287" s="4" t="s">
        <v>163</v>
      </c>
      <c r="B287" s="35">
        <f>CDCM!B194</f>
        <v>0</v>
      </c>
      <c r="C287" s="26">
        <v>1</v>
      </c>
      <c r="D287" s="26">
        <v>0</v>
      </c>
      <c r="E287" s="26">
        <v>0</v>
      </c>
      <c r="F287" s="26">
        <v>0</v>
      </c>
      <c r="G287" s="17"/>
    </row>
    <row r="288" spans="1:7" x14ac:dyDescent="0.25">
      <c r="A288" s="4" t="s">
        <v>164</v>
      </c>
      <c r="B288" s="35">
        <f>CDCM!B195</f>
        <v>0</v>
      </c>
      <c r="C288" s="26">
        <v>1</v>
      </c>
      <c r="D288" s="26">
        <v>0</v>
      </c>
      <c r="E288" s="26">
        <v>0</v>
      </c>
      <c r="F288" s="26">
        <v>0</v>
      </c>
      <c r="G288" s="17"/>
    </row>
    <row r="289" spans="1:7" x14ac:dyDescent="0.25">
      <c r="A289" s="4" t="s">
        <v>165</v>
      </c>
      <c r="B289" s="35">
        <f>CDCM!B196</f>
        <v>64894310</v>
      </c>
      <c r="C289" s="26">
        <v>1</v>
      </c>
      <c r="D289" s="26">
        <v>0</v>
      </c>
      <c r="E289" s="26">
        <v>0</v>
      </c>
      <c r="F289" s="26">
        <v>0</v>
      </c>
      <c r="G289" s="17"/>
    </row>
    <row r="290" spans="1:7" x14ac:dyDescent="0.25">
      <c r="A290" s="4" t="s">
        <v>166</v>
      </c>
      <c r="B290" s="35">
        <f>CDCM!B197</f>
        <v>0</v>
      </c>
      <c r="C290" s="26">
        <v>1</v>
      </c>
      <c r="D290" s="26">
        <v>0</v>
      </c>
      <c r="E290" s="26">
        <v>0</v>
      </c>
      <c r="F290" s="26">
        <v>0</v>
      </c>
      <c r="G290" s="17"/>
    </row>
    <row r="291" spans="1:7" x14ac:dyDescent="0.25">
      <c r="A291" s="4" t="s">
        <v>167</v>
      </c>
      <c r="B291" s="35">
        <f>CDCM!B198</f>
        <v>13737600</v>
      </c>
      <c r="C291" s="26">
        <v>1</v>
      </c>
      <c r="D291" s="26">
        <v>0</v>
      </c>
      <c r="E291" s="26">
        <v>0</v>
      </c>
      <c r="F291" s="26">
        <v>0</v>
      </c>
      <c r="G291" s="17"/>
    </row>
    <row r="292" spans="1:7" x14ac:dyDescent="0.25">
      <c r="A292" s="4" t="s">
        <v>168</v>
      </c>
      <c r="B292" s="35">
        <f>CDCM!B199</f>
        <v>0</v>
      </c>
      <c r="C292" s="26">
        <v>1</v>
      </c>
      <c r="D292" s="26">
        <v>0</v>
      </c>
      <c r="E292" s="26">
        <v>0</v>
      </c>
      <c r="F292" s="26">
        <v>0</v>
      </c>
      <c r="G292" s="17"/>
    </row>
    <row r="293" spans="1:7" x14ac:dyDescent="0.25">
      <c r="A293" s="4" t="s">
        <v>169</v>
      </c>
      <c r="B293" s="35">
        <f>CDCM!B200</f>
        <v>4809350</v>
      </c>
      <c r="C293" s="26">
        <v>0</v>
      </c>
      <c r="D293" s="26">
        <v>0</v>
      </c>
      <c r="E293" s="26">
        <v>0</v>
      </c>
      <c r="F293" s="26">
        <v>1</v>
      </c>
      <c r="G293" s="17"/>
    </row>
    <row r="294" spans="1:7" x14ac:dyDescent="0.25">
      <c r="A294" s="4" t="s">
        <v>170</v>
      </c>
      <c r="B294" s="35">
        <f>CDCM!B201</f>
        <v>58272390</v>
      </c>
      <c r="C294" s="26">
        <v>0</v>
      </c>
      <c r="D294" s="26">
        <v>0</v>
      </c>
      <c r="E294" s="26">
        <v>0</v>
      </c>
      <c r="F294" s="26">
        <v>1</v>
      </c>
      <c r="G294" s="17"/>
    </row>
    <row r="295" spans="1:7" x14ac:dyDescent="0.25">
      <c r="A295" s="4" t="s">
        <v>171</v>
      </c>
      <c r="B295" s="35">
        <f>CDCM!B202</f>
        <v>3039400</v>
      </c>
      <c r="C295" s="26">
        <v>0</v>
      </c>
      <c r="D295" s="26">
        <v>0</v>
      </c>
      <c r="E295" s="26">
        <v>0</v>
      </c>
      <c r="F295" s="26">
        <v>1</v>
      </c>
      <c r="G295" s="17"/>
    </row>
    <row r="296" spans="1:7" x14ac:dyDescent="0.25">
      <c r="A296" s="4" t="s">
        <v>172</v>
      </c>
      <c r="B296" s="35">
        <f>CDCM!B203</f>
        <v>232151480</v>
      </c>
      <c r="C296" s="26">
        <v>0</v>
      </c>
      <c r="D296" s="26">
        <v>0</v>
      </c>
      <c r="E296" s="26">
        <v>0</v>
      </c>
      <c r="F296" s="26">
        <v>1</v>
      </c>
      <c r="G296" s="17"/>
    </row>
    <row r="297" spans="1:7" x14ac:dyDescent="0.25">
      <c r="A297" s="4" t="s">
        <v>173</v>
      </c>
      <c r="B297" s="35">
        <f>CDCM!B204</f>
        <v>17890400</v>
      </c>
      <c r="C297" s="26">
        <v>0</v>
      </c>
      <c r="D297" s="26">
        <v>0</v>
      </c>
      <c r="E297" s="26">
        <v>0</v>
      </c>
      <c r="F297" s="26">
        <v>1</v>
      </c>
      <c r="G297" s="17"/>
    </row>
    <row r="298" spans="1:7" ht="30" x14ac:dyDescent="0.25">
      <c r="A298" s="4" t="s">
        <v>174</v>
      </c>
      <c r="B298" s="35">
        <f>CDCM!B205</f>
        <v>0</v>
      </c>
      <c r="C298" s="26">
        <v>0</v>
      </c>
      <c r="D298" s="26">
        <v>0</v>
      </c>
      <c r="E298" s="26">
        <v>0</v>
      </c>
      <c r="F298" s="26">
        <v>1</v>
      </c>
      <c r="G298" s="17"/>
    </row>
    <row r="299" spans="1:7" x14ac:dyDescent="0.25">
      <c r="A299" s="4" t="s">
        <v>175</v>
      </c>
      <c r="B299" s="35">
        <f>CDCM!B206</f>
        <v>76759520</v>
      </c>
      <c r="C299" s="26">
        <v>0</v>
      </c>
      <c r="D299" s="26">
        <v>0</v>
      </c>
      <c r="E299" s="26">
        <v>0</v>
      </c>
      <c r="F299" s="26">
        <v>1</v>
      </c>
      <c r="G299" s="17"/>
    </row>
    <row r="300" spans="1:7" x14ac:dyDescent="0.25">
      <c r="A300" s="4" t="s">
        <v>176</v>
      </c>
      <c r="B300" s="35">
        <f>CDCM!B207</f>
        <v>0</v>
      </c>
      <c r="C300" s="26">
        <v>0</v>
      </c>
      <c r="D300" s="26">
        <v>0</v>
      </c>
      <c r="E300" s="26">
        <v>0</v>
      </c>
      <c r="F300" s="26">
        <v>1</v>
      </c>
      <c r="G300" s="17"/>
    </row>
    <row r="301" spans="1:7" x14ac:dyDescent="0.25">
      <c r="A301" s="4" t="s">
        <v>177</v>
      </c>
      <c r="B301" s="35">
        <f>CDCM!B208</f>
        <v>0</v>
      </c>
      <c r="C301" s="26">
        <v>0</v>
      </c>
      <c r="D301" s="26">
        <v>0</v>
      </c>
      <c r="E301" s="26">
        <v>0</v>
      </c>
      <c r="F301" s="26">
        <v>1</v>
      </c>
      <c r="G301" s="17"/>
    </row>
    <row r="302" spans="1:7" x14ac:dyDescent="0.25">
      <c r="A302" s="4" t="s">
        <v>178</v>
      </c>
      <c r="B302" s="35">
        <f>CDCM!B209</f>
        <v>32607360</v>
      </c>
      <c r="C302" s="26">
        <v>0</v>
      </c>
      <c r="D302" s="26">
        <v>0</v>
      </c>
      <c r="E302" s="26">
        <v>0</v>
      </c>
      <c r="F302" s="26">
        <v>1</v>
      </c>
      <c r="G302" s="17"/>
    </row>
    <row r="303" spans="1:7" x14ac:dyDescent="0.25">
      <c r="A303" s="4" t="s">
        <v>179</v>
      </c>
      <c r="B303" s="35">
        <f>CDCM!B210</f>
        <v>0</v>
      </c>
      <c r="C303" s="26">
        <v>0</v>
      </c>
      <c r="D303" s="26">
        <v>0</v>
      </c>
      <c r="E303" s="26">
        <v>0</v>
      </c>
      <c r="F303" s="26">
        <v>1</v>
      </c>
      <c r="G303" s="17"/>
    </row>
    <row r="304" spans="1:7" x14ac:dyDescent="0.25">
      <c r="A304" s="4" t="s">
        <v>180</v>
      </c>
      <c r="B304" s="35">
        <f>CDCM!B211</f>
        <v>149333450</v>
      </c>
      <c r="C304" s="26">
        <v>0</v>
      </c>
      <c r="D304" s="26">
        <v>0</v>
      </c>
      <c r="E304" s="26">
        <v>1</v>
      </c>
      <c r="F304" s="26">
        <v>0</v>
      </c>
      <c r="G304" s="17"/>
    </row>
    <row r="305" spans="1:7" x14ac:dyDescent="0.25">
      <c r="A305" s="4" t="s">
        <v>181</v>
      </c>
      <c r="B305" s="35">
        <f>CDCM!B212</f>
        <v>0</v>
      </c>
      <c r="C305" s="26">
        <v>0</v>
      </c>
      <c r="D305" s="26">
        <v>0</v>
      </c>
      <c r="E305" s="26">
        <v>1</v>
      </c>
      <c r="F305" s="26">
        <v>0</v>
      </c>
      <c r="G305" s="17"/>
    </row>
    <row r="306" spans="1:7" ht="30" x14ac:dyDescent="0.25">
      <c r="A306" s="4" t="s">
        <v>182</v>
      </c>
      <c r="B306" s="35">
        <f>CDCM!B213</f>
        <v>0</v>
      </c>
      <c r="C306" s="26">
        <v>1</v>
      </c>
      <c r="D306" s="26">
        <v>0</v>
      </c>
      <c r="E306" s="26">
        <v>0</v>
      </c>
      <c r="F306" s="26">
        <v>0</v>
      </c>
      <c r="G306" s="17"/>
    </row>
    <row r="307" spans="1:7" ht="30" x14ac:dyDescent="0.25">
      <c r="A307" s="4" t="s">
        <v>183</v>
      </c>
      <c r="B307" s="35">
        <f>CDCM!B214</f>
        <v>0</v>
      </c>
      <c r="C307" s="26">
        <v>1</v>
      </c>
      <c r="D307" s="26">
        <v>0</v>
      </c>
      <c r="E307" s="26">
        <v>0</v>
      </c>
      <c r="F307" s="26">
        <v>0</v>
      </c>
      <c r="G307" s="17"/>
    </row>
    <row r="308" spans="1:7" x14ac:dyDescent="0.25">
      <c r="A308" s="4" t="s">
        <v>184</v>
      </c>
      <c r="B308" s="35">
        <f>CDCM!B215</f>
        <v>0</v>
      </c>
      <c r="C308" s="10"/>
      <c r="D308" s="10"/>
      <c r="E308" s="10"/>
      <c r="F308" s="10"/>
      <c r="G308" s="17"/>
    </row>
    <row r="309" spans="1:7" ht="30" x14ac:dyDescent="0.25">
      <c r="A309" s="4" t="s">
        <v>185</v>
      </c>
      <c r="B309" s="35">
        <f>CDCM!B216</f>
        <v>0</v>
      </c>
      <c r="C309" s="10"/>
      <c r="D309" s="10"/>
      <c r="E309" s="10"/>
      <c r="F309" s="10"/>
      <c r="G309" s="17"/>
    </row>
    <row r="311" spans="1:7" ht="21" customHeight="1" x14ac:dyDescent="0.3">
      <c r="A311" s="1" t="s">
        <v>453</v>
      </c>
    </row>
    <row r="312" spans="1:7" x14ac:dyDescent="0.25">
      <c r="A312" s="2" t="s">
        <v>197</v>
      </c>
    </row>
    <row r="313" spans="1:7" x14ac:dyDescent="0.25">
      <c r="A313" s="21" t="s">
        <v>454</v>
      </c>
    </row>
    <row r="314" spans="1:7" x14ac:dyDescent="0.25">
      <c r="A314" s="21" t="s">
        <v>455</v>
      </c>
    </row>
    <row r="315" spans="1:7" x14ac:dyDescent="0.25">
      <c r="A315" s="2" t="s">
        <v>232</v>
      </c>
    </row>
    <row r="317" spans="1:7" x14ac:dyDescent="0.25">
      <c r="B317" s="15" t="s">
        <v>83</v>
      </c>
      <c r="C317" s="15" t="s">
        <v>190</v>
      </c>
      <c r="D317" s="15" t="s">
        <v>81</v>
      </c>
      <c r="E317" s="15" t="s">
        <v>191</v>
      </c>
    </row>
    <row r="318" spans="1:7" x14ac:dyDescent="0.25">
      <c r="A318" s="4" t="s">
        <v>233</v>
      </c>
      <c r="B318" s="35">
        <f>SUMPRODUCT(C$225:C$309,$B$225:$B$309)</f>
        <v>160146740</v>
      </c>
      <c r="C318" s="35">
        <f>SUMPRODUCT(D$225:D$309,$B$225:$B$309)</f>
        <v>205131453.68000001</v>
      </c>
      <c r="D318" s="35">
        <f>SUMPRODUCT(E$225:E$309,$B$225:$B$309)</f>
        <v>189323980</v>
      </c>
      <c r="E318" s="35">
        <f>SUMPRODUCT(F$225:F$309,$B$225:$B$309)</f>
        <v>425529900</v>
      </c>
      <c r="F318" s="17"/>
    </row>
    <row r="320" spans="1:7" ht="21" customHeight="1" x14ac:dyDescent="0.3">
      <c r="A320" s="1" t="s">
        <v>456</v>
      </c>
    </row>
    <row r="321" spans="1:6" x14ac:dyDescent="0.25">
      <c r="A321" s="2" t="s">
        <v>197</v>
      </c>
    </row>
    <row r="322" spans="1:6" x14ac:dyDescent="0.25">
      <c r="A322" s="21" t="s">
        <v>457</v>
      </c>
    </row>
    <row r="323" spans="1:6" x14ac:dyDescent="0.25">
      <c r="A323" s="2" t="s">
        <v>236</v>
      </c>
    </row>
    <row r="325" spans="1:6" x14ac:dyDescent="0.25">
      <c r="B325" s="15" t="s">
        <v>83</v>
      </c>
      <c r="C325" s="15" t="s">
        <v>190</v>
      </c>
      <c r="D325" s="15" t="s">
        <v>81</v>
      </c>
      <c r="E325" s="15" t="s">
        <v>191</v>
      </c>
    </row>
    <row r="326" spans="1:6" x14ac:dyDescent="0.25">
      <c r="A326" s="4" t="s">
        <v>237</v>
      </c>
      <c r="B326" s="30">
        <f>B318/SUM($B$318:$E$318)</f>
        <v>0.16339302049234414</v>
      </c>
      <c r="C326" s="30">
        <f>C318/SUM($B$318:$E$318)</f>
        <v>0.20928960411408051</v>
      </c>
      <c r="D326" s="30">
        <f>D318/SUM($B$318:$E$318)</f>
        <v>0.19316170247257078</v>
      </c>
      <c r="E326" s="30">
        <f>E318/SUM($B$318:$E$318)</f>
        <v>0.43415567292100449</v>
      </c>
      <c r="F326" s="17"/>
    </row>
    <row r="328" spans="1:6" ht="21" customHeight="1" x14ac:dyDescent="0.3">
      <c r="A328" s="1" t="s">
        <v>458</v>
      </c>
    </row>
    <row r="329" spans="1:6" x14ac:dyDescent="0.25">
      <c r="A329" s="2" t="s">
        <v>197</v>
      </c>
    </row>
    <row r="330" spans="1:6" x14ac:dyDescent="0.25">
      <c r="A330" s="21" t="s">
        <v>410</v>
      </c>
    </row>
    <row r="331" spans="1:6" x14ac:dyDescent="0.25">
      <c r="A331" s="21" t="s">
        <v>295</v>
      </c>
    </row>
    <row r="332" spans="1:6" x14ac:dyDescent="0.25">
      <c r="A332" s="2" t="s">
        <v>286</v>
      </c>
    </row>
    <row r="334" spans="1:6" x14ac:dyDescent="0.25">
      <c r="B334" s="15" t="s">
        <v>28</v>
      </c>
      <c r="C334" s="15" t="s">
        <v>38</v>
      </c>
      <c r="D334" s="15" t="s">
        <v>27</v>
      </c>
      <c r="E334" s="15" t="s">
        <v>39</v>
      </c>
    </row>
    <row r="335" spans="1:6" ht="30" x14ac:dyDescent="0.25">
      <c r="A335" s="4" t="s">
        <v>40</v>
      </c>
      <c r="B335" s="24">
        <f>B56*(1-CDCM!$C89)</f>
        <v>0</v>
      </c>
      <c r="C335" s="24">
        <f>C56*(1-CDCM!$C89)</f>
        <v>0</v>
      </c>
      <c r="D335" s="24">
        <f>D56*(1-CDCM!$C89)</f>
        <v>0</v>
      </c>
      <c r="E335" s="24">
        <f>E56*(1-CDCM!$C89)</f>
        <v>0</v>
      </c>
      <c r="F335" s="17"/>
    </row>
    <row r="336" spans="1:6" ht="30" x14ac:dyDescent="0.25">
      <c r="A336" s="4" t="s">
        <v>44</v>
      </c>
      <c r="B336" s="24">
        <f>B57*(1-CDCM!$C90)</f>
        <v>0</v>
      </c>
      <c r="C336" s="24">
        <f>C57*(1-CDCM!$C90)</f>
        <v>0</v>
      </c>
      <c r="D336" s="24">
        <f>D57*(1-CDCM!$C90)</f>
        <v>0</v>
      </c>
      <c r="E336" s="24">
        <f>E57*(1-CDCM!$C90)</f>
        <v>0</v>
      </c>
      <c r="F336" s="17"/>
    </row>
    <row r="337" spans="1:6" x14ac:dyDescent="0.25">
      <c r="A337" s="4" t="s">
        <v>45</v>
      </c>
      <c r="B337" s="24">
        <f>B58*(1-CDCM!$C91)</f>
        <v>993739.20517711155</v>
      </c>
      <c r="C337" s="24">
        <f>C58*(1-CDCM!$C91)</f>
        <v>156295.37598580422</v>
      </c>
      <c r="D337" s="24">
        <f>D58*(1-CDCM!$C91)</f>
        <v>638610.79089692188</v>
      </c>
      <c r="E337" s="24">
        <f>E58*(1-CDCM!$C91)</f>
        <v>506354.62794016203</v>
      </c>
      <c r="F337" s="17"/>
    </row>
    <row r="338" spans="1:6" x14ac:dyDescent="0.25">
      <c r="A338" s="4" t="s">
        <v>46</v>
      </c>
      <c r="B338" s="24">
        <f>B59*(1-CDCM!$C92)</f>
        <v>3847873.920517711</v>
      </c>
      <c r="C338" s="24">
        <f>C59*(1-CDCM!$C92)</f>
        <v>168629.5375985805</v>
      </c>
      <c r="D338" s="24">
        <f>D59*(1-CDCM!$C92)</f>
        <v>1823361.0790896928</v>
      </c>
      <c r="E338" s="24">
        <f>E59*(1-CDCM!$C92)</f>
        <v>509635.46279401664</v>
      </c>
      <c r="F338" s="17"/>
    </row>
    <row r="339" spans="1:6" x14ac:dyDescent="0.25">
      <c r="A339" s="4" t="s">
        <v>47</v>
      </c>
      <c r="B339" s="24">
        <f>B60*(1-CDCM!$C93)</f>
        <v>634873.9205177112</v>
      </c>
      <c r="C339" s="24">
        <f>C60*(1-CDCM!$C93)</f>
        <v>1239629.5375985804</v>
      </c>
      <c r="D339" s="24">
        <f>D60*(1-CDCM!$C93)</f>
        <v>522861.07908969221</v>
      </c>
      <c r="E339" s="24">
        <f>E60*(1-CDCM!$C93)</f>
        <v>1810135.4627940166</v>
      </c>
      <c r="F339" s="17"/>
    </row>
    <row r="340" spans="1:6" x14ac:dyDescent="0.25">
      <c r="A340" s="4" t="s">
        <v>48</v>
      </c>
      <c r="B340" s="24">
        <f>B61*(1-CDCM!$C94)</f>
        <v>872288.31482615229</v>
      </c>
      <c r="C340" s="24">
        <f>C61*(1-CDCM!$C94)</f>
        <v>-3040.7027095889284</v>
      </c>
      <c r="D340" s="24">
        <f>D61*(1-CDCM!$C94)</f>
        <v>1795323.9667584321</v>
      </c>
      <c r="E340" s="24">
        <f>E61*(1-CDCM!$C94)</f>
        <v>471928.42112500407</v>
      </c>
      <c r="F340" s="17"/>
    </row>
    <row r="341" spans="1:6" x14ac:dyDescent="0.25">
      <c r="A341" s="4" t="s">
        <v>49</v>
      </c>
      <c r="B341" s="24">
        <f>B62*(1-CDCM!$C95)</f>
        <v>123223.66144196186</v>
      </c>
      <c r="C341" s="24">
        <f>C62*(1-CDCM!$C95)</f>
        <v>19380.626622239728</v>
      </c>
      <c r="D341" s="24">
        <f>D62*(1-CDCM!$C95)</f>
        <v>79187.738071218322</v>
      </c>
      <c r="E341" s="24">
        <f>E62*(1-CDCM!$C95)</f>
        <v>62787.973864580097</v>
      </c>
      <c r="F341" s="17"/>
    </row>
    <row r="342" spans="1:6" x14ac:dyDescent="0.25">
      <c r="A342" s="4" t="s">
        <v>50</v>
      </c>
      <c r="B342" s="24">
        <f>B63*(1-CDCM!$C96)</f>
        <v>718804.69174477737</v>
      </c>
      <c r="C342" s="24">
        <f>C63*(1-CDCM!$C96)</f>
        <v>113053.6552963984</v>
      </c>
      <c r="D342" s="24">
        <f>D63*(1-CDCM!$C96)</f>
        <v>461928.47208210692</v>
      </c>
      <c r="E342" s="24">
        <f>E63*(1-CDCM!$C96)</f>
        <v>366263.18087671726</v>
      </c>
      <c r="F342" s="17"/>
    </row>
    <row r="343" spans="1:6" x14ac:dyDescent="0.25">
      <c r="A343" s="4" t="s">
        <v>51</v>
      </c>
      <c r="B343" s="24">
        <f>B64*(1-CDCM!$C97)</f>
        <v>595581.0303028156</v>
      </c>
      <c r="C343" s="24">
        <f>C64*(1-CDCM!$C97)</f>
        <v>93673.028674158675</v>
      </c>
      <c r="D343" s="24">
        <f>D64*(1-CDCM!$C97)</f>
        <v>382740.73401088855</v>
      </c>
      <c r="E343" s="24">
        <f>E64*(1-CDCM!$C97)</f>
        <v>303475.20701213717</v>
      </c>
      <c r="F343" s="17"/>
    </row>
    <row r="344" spans="1:6" x14ac:dyDescent="0.25">
      <c r="A344" s="4" t="s">
        <v>52</v>
      </c>
      <c r="B344" s="24">
        <f>B65*(1-CDCM!$C98)</f>
        <v>1478683.9373035422</v>
      </c>
      <c r="C344" s="24">
        <f>C65*(1-CDCM!$C98)</f>
        <v>232567.51946687672</v>
      </c>
      <c r="D344" s="24">
        <f>D65*(1-CDCM!$C98)</f>
        <v>950252.85685461992</v>
      </c>
      <c r="E344" s="24">
        <f>E65*(1-CDCM!$C98)</f>
        <v>753455.68637496117</v>
      </c>
      <c r="F344" s="17"/>
    </row>
    <row r="345" spans="1:6" x14ac:dyDescent="0.25">
      <c r="A345" s="4" t="s">
        <v>53</v>
      </c>
      <c r="B345" s="24">
        <f>B66*(1-CDCM!$C99)</f>
        <v>390208.26123287919</v>
      </c>
      <c r="C345" s="24">
        <f>C66*(1-CDCM!$C99)</f>
        <v>61371.984303759134</v>
      </c>
      <c r="D345" s="24">
        <f>D66*(1-CDCM!$C99)</f>
        <v>250761.17055885802</v>
      </c>
      <c r="E345" s="24">
        <f>E66*(1-CDCM!$C99)</f>
        <v>198828.58390450367</v>
      </c>
      <c r="F345" s="17"/>
    </row>
    <row r="346" spans="1:6" x14ac:dyDescent="0.25">
      <c r="A346" s="4" t="s">
        <v>54</v>
      </c>
      <c r="B346" s="24">
        <f>B67*(1-CDCM!$C100)</f>
        <v>205372.76906993639</v>
      </c>
      <c r="C346" s="24">
        <f>C67*(1-CDCM!$C100)</f>
        <v>32301.044370399544</v>
      </c>
      <c r="D346" s="24">
        <f>D67*(1-CDCM!$C100)</f>
        <v>131979.56345203053</v>
      </c>
      <c r="E346" s="24">
        <f>E67*(1-CDCM!$C100)</f>
        <v>104646.6231076335</v>
      </c>
      <c r="F346" s="17"/>
    </row>
    <row r="347" spans="1:6" x14ac:dyDescent="0.25">
      <c r="A347" s="4" t="s">
        <v>55</v>
      </c>
      <c r="B347" s="24">
        <f>B68*(1-CDCM!$C101)</f>
        <v>143760.9383489555</v>
      </c>
      <c r="C347" s="24">
        <f>C68*(1-CDCM!$C101)</f>
        <v>22610.731059279682</v>
      </c>
      <c r="D347" s="24">
        <f>D68*(1-CDCM!$C101)</f>
        <v>92385.694416421378</v>
      </c>
      <c r="E347" s="24">
        <f>E68*(1-CDCM!$C101)</f>
        <v>73252.636175343447</v>
      </c>
      <c r="F347" s="17"/>
    </row>
    <row r="348" spans="1:6" x14ac:dyDescent="0.25">
      <c r="A348" s="4" t="s">
        <v>56</v>
      </c>
      <c r="B348" s="24">
        <f>B69*(1-CDCM!$C102)</f>
        <v>184835.49216294277</v>
      </c>
      <c r="C348" s="24">
        <f>C69*(1-CDCM!$C102)</f>
        <v>29070.93993335959</v>
      </c>
      <c r="D348" s="24">
        <f>D69*(1-CDCM!$C102)</f>
        <v>118781.60710682749</v>
      </c>
      <c r="E348" s="24">
        <f>E69*(1-CDCM!$C102)</f>
        <v>94181.960796870146</v>
      </c>
      <c r="F348" s="17"/>
    </row>
    <row r="349" spans="1:6" x14ac:dyDescent="0.25">
      <c r="A349" s="4" t="s">
        <v>57</v>
      </c>
      <c r="B349" s="24">
        <f>B70*(1-CDCM!$C103)</f>
        <v>554506.47648882831</v>
      </c>
      <c r="C349" s="24">
        <f>C70*(1-CDCM!$C103)</f>
        <v>87212.819800078767</v>
      </c>
      <c r="D349" s="24">
        <f>D70*(1-CDCM!$C103)</f>
        <v>356344.82132048247</v>
      </c>
      <c r="E349" s="24">
        <f>E70*(1-CDCM!$C103)</f>
        <v>282545.88239061047</v>
      </c>
      <c r="F349" s="17"/>
    </row>
    <row r="350" spans="1:6" x14ac:dyDescent="0.25">
      <c r="A350" s="4" t="s">
        <v>58</v>
      </c>
      <c r="B350" s="24">
        <f>B71*(1-CDCM!$C104)</f>
        <v>0</v>
      </c>
      <c r="C350" s="24">
        <f>C71*(1-CDCM!$C104)</f>
        <v>0</v>
      </c>
      <c r="D350" s="24">
        <f>D71*(1-CDCM!$C104)</f>
        <v>0</v>
      </c>
      <c r="E350" s="24">
        <f>E71*(1-CDCM!$C104)</f>
        <v>0</v>
      </c>
      <c r="F350" s="17"/>
    </row>
    <row r="351" spans="1:6" x14ac:dyDescent="0.25">
      <c r="A351" s="4" t="s">
        <v>59</v>
      </c>
      <c r="B351" s="24">
        <f>B72*(1-CDCM!$C105)</f>
        <v>0</v>
      </c>
      <c r="C351" s="24">
        <f>C72*(1-CDCM!$C105)</f>
        <v>0</v>
      </c>
      <c r="D351" s="24">
        <f>D72*(1-CDCM!$C105)</f>
        <v>0</v>
      </c>
      <c r="E351" s="24">
        <f>E72*(1-CDCM!$C105)</f>
        <v>0</v>
      </c>
      <c r="F351" s="17"/>
    </row>
    <row r="352" spans="1:6" x14ac:dyDescent="0.25">
      <c r="A352" s="4" t="s">
        <v>60</v>
      </c>
      <c r="B352" s="24">
        <f>B73*(1-CDCM!$C106)</f>
        <v>184835.49216294277</v>
      </c>
      <c r="C352" s="24">
        <f>C73*(1-CDCM!$C106)</f>
        <v>29070.93993335959</v>
      </c>
      <c r="D352" s="24">
        <f>D73*(1-CDCM!$C106)</f>
        <v>118781.60710682749</v>
      </c>
      <c r="E352" s="24">
        <f>E73*(1-CDCM!$C106)</f>
        <v>94181.960796870146</v>
      </c>
      <c r="F352" s="17"/>
    </row>
    <row r="353" spans="1:6" x14ac:dyDescent="0.25">
      <c r="A353" s="4" t="s">
        <v>61</v>
      </c>
      <c r="B353" s="24">
        <f>B74*(1-CDCM!$C107)</f>
        <v>225910.04597693004</v>
      </c>
      <c r="C353" s="24">
        <f>C74*(1-CDCM!$C107)</f>
        <v>35531.148807439495</v>
      </c>
      <c r="D353" s="24">
        <f>D74*(1-CDCM!$C107)</f>
        <v>145177.5197972336</v>
      </c>
      <c r="E353" s="24">
        <f>E74*(1-CDCM!$C107)</f>
        <v>115111.28541839686</v>
      </c>
      <c r="F353" s="17"/>
    </row>
    <row r="354" spans="1:6" x14ac:dyDescent="0.25">
      <c r="A354" s="4" t="s">
        <v>62</v>
      </c>
      <c r="B354" s="24">
        <f>B75*(1-CDCM!$C108)</f>
        <v>1191162.0606056312</v>
      </c>
      <c r="C354" s="24">
        <f>C75*(1-CDCM!$C108)</f>
        <v>187346.05734831735</v>
      </c>
      <c r="D354" s="24">
        <f>D75*(1-CDCM!$C108)</f>
        <v>765481.46802177711</v>
      </c>
      <c r="E354" s="24">
        <f>E75*(1-CDCM!$C108)</f>
        <v>606950.41402427433</v>
      </c>
      <c r="F354" s="17"/>
    </row>
    <row r="355" spans="1:6" x14ac:dyDescent="0.25">
      <c r="A355" s="4" t="s">
        <v>63</v>
      </c>
      <c r="B355" s="24">
        <f>B76*(1-CDCM!$C109)</f>
        <v>369670.98432588554</v>
      </c>
      <c r="C355" s="24">
        <f>C76*(1-CDCM!$C109)</f>
        <v>58141.87986671918</v>
      </c>
      <c r="D355" s="24">
        <f>D76*(1-CDCM!$C109)</f>
        <v>237563.21421365498</v>
      </c>
      <c r="E355" s="24">
        <f>E76*(1-CDCM!$C109)</f>
        <v>188363.92159374029</v>
      </c>
      <c r="F355" s="17"/>
    </row>
    <row r="356" spans="1:6" x14ac:dyDescent="0.25">
      <c r="A356" s="4" t="s">
        <v>64</v>
      </c>
      <c r="B356" s="24">
        <f>B77*(1-CDCM!$C110)</f>
        <v>0</v>
      </c>
      <c r="C356" s="24">
        <f>C77*(1-CDCM!$C110)</f>
        <v>0</v>
      </c>
      <c r="D356" s="24">
        <f>D77*(1-CDCM!$C110)</f>
        <v>0</v>
      </c>
      <c r="E356" s="24">
        <f>E77*(1-CDCM!$C110)</f>
        <v>0</v>
      </c>
      <c r="F356" s="17"/>
    </row>
    <row r="357" spans="1:6" x14ac:dyDescent="0.25">
      <c r="A357" s="4" t="s">
        <v>65</v>
      </c>
      <c r="B357" s="24">
        <f>B78*(1-CDCM!$C111)</f>
        <v>0</v>
      </c>
      <c r="C357" s="24">
        <f>C78*(1-CDCM!$C111)</f>
        <v>0</v>
      </c>
      <c r="D357" s="24">
        <f>D78*(1-CDCM!$C111)</f>
        <v>0</v>
      </c>
      <c r="E357" s="24">
        <f>E78*(1-CDCM!$C111)</f>
        <v>0</v>
      </c>
      <c r="F357" s="17"/>
    </row>
    <row r="358" spans="1:6" x14ac:dyDescent="0.25">
      <c r="A358" s="4" t="s">
        <v>66</v>
      </c>
      <c r="B358" s="24">
        <f>B79*(1-CDCM!$C112)</f>
        <v>0</v>
      </c>
      <c r="C358" s="24">
        <f>C79*(1-CDCM!$C112)</f>
        <v>0</v>
      </c>
      <c r="D358" s="24">
        <f>D79*(1-CDCM!$C112)</f>
        <v>0</v>
      </c>
      <c r="E358" s="24">
        <f>E79*(1-CDCM!$C112)</f>
        <v>0</v>
      </c>
      <c r="F358" s="17"/>
    </row>
    <row r="359" spans="1:6" x14ac:dyDescent="0.25">
      <c r="A359" s="4" t="s">
        <v>67</v>
      </c>
      <c r="B359" s="24">
        <f>B80*(1-CDCM!$C113)</f>
        <v>0</v>
      </c>
      <c r="C359" s="24">
        <f>C80*(1-CDCM!$C113)</f>
        <v>0</v>
      </c>
      <c r="D359" s="24">
        <f>D80*(1-CDCM!$C113)</f>
        <v>0</v>
      </c>
      <c r="E359" s="24">
        <f>E80*(1-CDCM!$C113)</f>
        <v>0</v>
      </c>
      <c r="F359" s="17"/>
    </row>
    <row r="360" spans="1:6" ht="30" x14ac:dyDescent="0.25">
      <c r="A360" s="4" t="s">
        <v>68</v>
      </c>
      <c r="B360" s="24">
        <f>B81*(1-CDCM!$C114)</f>
        <v>0</v>
      </c>
      <c r="C360" s="24">
        <f>C81*(1-CDCM!$C114)</f>
        <v>0</v>
      </c>
      <c r="D360" s="24">
        <f>D81*(1-CDCM!$C114)</f>
        <v>0</v>
      </c>
      <c r="E360" s="24">
        <f>E81*(1-CDCM!$C114)</f>
        <v>0</v>
      </c>
      <c r="F360" s="17"/>
    </row>
    <row r="361" spans="1:6" x14ac:dyDescent="0.25">
      <c r="A361" s="4" t="s">
        <v>69</v>
      </c>
      <c r="B361" s="24">
        <f>B82*(1-CDCM!$C115)</f>
        <v>0</v>
      </c>
      <c r="C361" s="24">
        <f>C82*(1-CDCM!$C115)</f>
        <v>0</v>
      </c>
      <c r="D361" s="24">
        <f>D82*(1-CDCM!$C115)</f>
        <v>0</v>
      </c>
      <c r="E361" s="24">
        <f>E82*(1-CDCM!$C115)</f>
        <v>0</v>
      </c>
      <c r="F361" s="17"/>
    </row>
    <row r="362" spans="1:6" x14ac:dyDescent="0.25">
      <c r="A362" s="4" t="s">
        <v>70</v>
      </c>
      <c r="B362" s="24">
        <f>B83*(1-CDCM!$C116)</f>
        <v>0</v>
      </c>
      <c r="C362" s="24">
        <f>C83*(1-CDCM!$C116)</f>
        <v>0</v>
      </c>
      <c r="D362" s="24">
        <f>D83*(1-CDCM!$C116)</f>
        <v>0</v>
      </c>
      <c r="E362" s="24">
        <f>E83*(1-CDCM!$C116)</f>
        <v>0</v>
      </c>
      <c r="F362" s="17"/>
    </row>
    <row r="363" spans="1:6" x14ac:dyDescent="0.25">
      <c r="A363" s="4" t="s">
        <v>71</v>
      </c>
      <c r="B363" s="24">
        <f>B84*(1-CDCM!$C117)</f>
        <v>0</v>
      </c>
      <c r="C363" s="24">
        <f>C84*(1-CDCM!$C117)</f>
        <v>0</v>
      </c>
      <c r="D363" s="24">
        <f>D84*(1-CDCM!$C117)</f>
        <v>0</v>
      </c>
      <c r="E363" s="24">
        <f>E84*(1-CDCM!$C117)</f>
        <v>0</v>
      </c>
      <c r="F363" s="17"/>
    </row>
    <row r="364" spans="1:6" x14ac:dyDescent="0.25">
      <c r="A364" s="4" t="s">
        <v>72</v>
      </c>
      <c r="B364" s="24">
        <f>B85*(1-CDCM!$C118)</f>
        <v>0</v>
      </c>
      <c r="C364" s="24">
        <f>C85*(1-CDCM!$C118)</f>
        <v>0</v>
      </c>
      <c r="D364" s="24">
        <f>D85*(1-CDCM!$C118)</f>
        <v>0</v>
      </c>
      <c r="E364" s="24">
        <f>E85*(1-CDCM!$C118)</f>
        <v>0</v>
      </c>
      <c r="F364" s="17"/>
    </row>
    <row r="365" spans="1:6" x14ac:dyDescent="0.25">
      <c r="A365" s="4" t="s">
        <v>73</v>
      </c>
      <c r="B365" s="24">
        <f>B86*(1-CDCM!$C119)</f>
        <v>0</v>
      </c>
      <c r="C365" s="24">
        <f>C86*(1-CDCM!$C119)</f>
        <v>0</v>
      </c>
      <c r="D365" s="24">
        <f>D86*(1-CDCM!$C119)</f>
        <v>0</v>
      </c>
      <c r="E365" s="24">
        <f>E86*(1-CDCM!$C119)</f>
        <v>0</v>
      </c>
      <c r="F365" s="17"/>
    </row>
    <row r="366" spans="1:6" ht="30" x14ac:dyDescent="0.25">
      <c r="A366" s="4" t="s">
        <v>74</v>
      </c>
      <c r="B366" s="24">
        <f>B87*(1-CDCM!$C120)</f>
        <v>0</v>
      </c>
      <c r="C366" s="24">
        <f>C87*(1-CDCM!$C120)</f>
        <v>0</v>
      </c>
      <c r="D366" s="24">
        <f>D87*(1-CDCM!$C120)</f>
        <v>0</v>
      </c>
      <c r="E366" s="24">
        <f>E87*(1-CDCM!$C120)</f>
        <v>0</v>
      </c>
      <c r="F366" s="17"/>
    </row>
    <row r="367" spans="1:6" ht="30" x14ac:dyDescent="0.25">
      <c r="A367" s="4" t="s">
        <v>75</v>
      </c>
      <c r="B367" s="24">
        <f>B88*(1-CDCM!$C121)</f>
        <v>0</v>
      </c>
      <c r="C367" s="24">
        <f>C88*(1-CDCM!$C121)</f>
        <v>0</v>
      </c>
      <c r="D367" s="24">
        <f>D88*(1-CDCM!$C121)</f>
        <v>0</v>
      </c>
      <c r="E367" s="24">
        <f>E88*(1-CDCM!$C121)</f>
        <v>0</v>
      </c>
      <c r="F367" s="17"/>
    </row>
    <row r="369" spans="1:6" ht="21" customHeight="1" x14ac:dyDescent="0.3">
      <c r="A369" s="1" t="s">
        <v>459</v>
      </c>
    </row>
    <row r="370" spans="1:6" x14ac:dyDescent="0.25">
      <c r="A370" s="2" t="s">
        <v>197</v>
      </c>
    </row>
    <row r="371" spans="1:6" x14ac:dyDescent="0.25">
      <c r="A371" s="21" t="s">
        <v>460</v>
      </c>
    </row>
    <row r="372" spans="1:6" x14ac:dyDescent="0.25">
      <c r="A372" s="2" t="s">
        <v>298</v>
      </c>
    </row>
    <row r="374" spans="1:6" x14ac:dyDescent="0.25">
      <c r="B374" s="15" t="s">
        <v>28</v>
      </c>
      <c r="C374" s="15" t="s">
        <v>38</v>
      </c>
      <c r="D374" s="15" t="s">
        <v>27</v>
      </c>
      <c r="E374" s="15" t="s">
        <v>39</v>
      </c>
    </row>
    <row r="375" spans="1:6" x14ac:dyDescent="0.25">
      <c r="A375" s="4" t="s">
        <v>299</v>
      </c>
      <c r="B375" s="24">
        <f>SUM(B$335:B$367)</f>
        <v>12715331.202206716</v>
      </c>
      <c r="C375" s="24">
        <f>SUM(C$335:C$367)</f>
        <v>2562846.1239557625</v>
      </c>
      <c r="D375" s="24">
        <f>SUM(D$335:D$367)</f>
        <v>8871523.3828476835</v>
      </c>
      <c r="E375" s="24">
        <f>SUM(E$335:E$367)</f>
        <v>6542099.2909898404</v>
      </c>
      <c r="F375" s="17"/>
    </row>
    <row r="377" spans="1:6" ht="21" customHeight="1" x14ac:dyDescent="0.3">
      <c r="A377" s="1" t="s">
        <v>461</v>
      </c>
    </row>
    <row r="378" spans="1:6" x14ac:dyDescent="0.25">
      <c r="A378" s="2" t="s">
        <v>197</v>
      </c>
    </row>
    <row r="379" spans="1:6" x14ac:dyDescent="0.25">
      <c r="A379" s="21" t="s">
        <v>462</v>
      </c>
    </row>
    <row r="380" spans="1:6" x14ac:dyDescent="0.25">
      <c r="A380" s="2" t="s">
        <v>236</v>
      </c>
    </row>
    <row r="382" spans="1:6" x14ac:dyDescent="0.25">
      <c r="B382" s="15" t="s">
        <v>28</v>
      </c>
      <c r="C382" s="15" t="s">
        <v>38</v>
      </c>
      <c r="D382" s="15" t="s">
        <v>27</v>
      </c>
      <c r="E382" s="15" t="s">
        <v>39</v>
      </c>
    </row>
    <row r="383" spans="1:6" x14ac:dyDescent="0.25">
      <c r="A383" s="4" t="s">
        <v>302</v>
      </c>
      <c r="B383" s="30">
        <f>B375/SUM($B$375:$E$375)</f>
        <v>0.41429082693770702</v>
      </c>
      <c r="C383" s="30">
        <f>C375/SUM($B$375:$E$375)</f>
        <v>8.3502633405527285E-2</v>
      </c>
      <c r="D383" s="30">
        <f>D375/SUM($B$375:$E$375)</f>
        <v>0.28905190907172873</v>
      </c>
      <c r="E383" s="30">
        <f>E375/SUM($B$375:$E$375)</f>
        <v>0.21315463058503706</v>
      </c>
      <c r="F383" s="17"/>
    </row>
    <row r="385" spans="1:6" ht="21" customHeight="1" x14ac:dyDescent="0.3">
      <c r="A385" s="1" t="s">
        <v>463</v>
      </c>
    </row>
    <row r="386" spans="1:6" x14ac:dyDescent="0.25">
      <c r="A386" s="2" t="s">
        <v>197</v>
      </c>
    </row>
    <row r="387" spans="1:6" x14ac:dyDescent="0.25">
      <c r="A387" s="21" t="s">
        <v>360</v>
      </c>
    </row>
    <row r="388" spans="1:6" x14ac:dyDescent="0.25">
      <c r="A388" s="21" t="s">
        <v>464</v>
      </c>
    </row>
    <row r="389" spans="1:6" x14ac:dyDescent="0.25">
      <c r="A389" s="21" t="s">
        <v>465</v>
      </c>
    </row>
    <row r="390" spans="1:6" x14ac:dyDescent="0.25">
      <c r="A390" s="21" t="s">
        <v>363</v>
      </c>
    </row>
    <row r="391" spans="1:6" x14ac:dyDescent="0.25">
      <c r="A391" s="21" t="s">
        <v>364</v>
      </c>
    </row>
    <row r="392" spans="1:6" x14ac:dyDescent="0.25">
      <c r="A392" s="21" t="s">
        <v>466</v>
      </c>
    </row>
    <row r="393" spans="1:6" x14ac:dyDescent="0.25">
      <c r="A393" s="2" t="s">
        <v>366</v>
      </c>
    </row>
    <row r="395" spans="1:6" x14ac:dyDescent="0.25">
      <c r="B395" s="15" t="s">
        <v>28</v>
      </c>
      <c r="C395" s="15" t="s">
        <v>38</v>
      </c>
      <c r="D395" s="15" t="s">
        <v>27</v>
      </c>
      <c r="E395" s="15" t="s">
        <v>39</v>
      </c>
    </row>
    <row r="396" spans="1:6" x14ac:dyDescent="0.25">
      <c r="A396" s="4" t="s">
        <v>367</v>
      </c>
      <c r="B396" s="33">
        <f>(((1-CDCM!$B698)*CDCM!B643+CDCM!$B698*B383)*CDCM!$B717+Input!$B51*B383)/CDCM!B737*100</f>
        <v>0.64132498544146066</v>
      </c>
      <c r="C396" s="33">
        <f>(((1-CDCM!$B698)*CDCM!C643+CDCM!$B698*C383)*CDCM!$B717+Input!$B51*C383)/CDCM!C737*100</f>
        <v>0.20405544095639253</v>
      </c>
      <c r="D396" s="33">
        <f>(((1-CDCM!$B698)*CDCM!D643+CDCM!$B698*D383)*CDCM!$B717+Input!$B51*D383)/CDCM!D737*100</f>
        <v>0.58671297322267879</v>
      </c>
      <c r="E396" s="33">
        <f>(((1-CDCM!$B698)*CDCM!E643+CDCM!$B698*E383)*CDCM!$B717+Input!$B51*E383)/CDCM!E737*100</f>
        <v>0.43951225658149518</v>
      </c>
      <c r="F396" s="17"/>
    </row>
    <row r="398" spans="1:6" ht="21" customHeight="1" x14ac:dyDescent="0.3">
      <c r="A398" s="1" t="s">
        <v>467</v>
      </c>
    </row>
    <row r="399" spans="1:6" x14ac:dyDescent="0.25">
      <c r="A399" s="2" t="s">
        <v>197</v>
      </c>
    </row>
    <row r="400" spans="1:6" x14ac:dyDescent="0.25">
      <c r="A400" s="21" t="s">
        <v>369</v>
      </c>
    </row>
    <row r="401" spans="1:6" x14ac:dyDescent="0.25">
      <c r="A401" s="21" t="s">
        <v>370</v>
      </c>
    </row>
    <row r="402" spans="1:6" x14ac:dyDescent="0.25">
      <c r="A402" s="21" t="s">
        <v>357</v>
      </c>
    </row>
    <row r="403" spans="1:6" x14ac:dyDescent="0.25">
      <c r="A403" s="2" t="s">
        <v>372</v>
      </c>
    </row>
    <row r="405" spans="1:6" x14ac:dyDescent="0.25">
      <c r="B405" s="15" t="s">
        <v>39</v>
      </c>
    </row>
    <row r="406" spans="1:6" x14ac:dyDescent="0.25">
      <c r="A406" s="4" t="s">
        <v>373</v>
      </c>
      <c r="B406" s="33">
        <f>100*(Input!$C31+CDCM!$B707)/CDCM!$E737</f>
        <v>5.398301513174987E-2</v>
      </c>
      <c r="C406" s="17"/>
    </row>
    <row r="408" spans="1:6" ht="21" customHeight="1" x14ac:dyDescent="0.3">
      <c r="A408" s="1" t="s">
        <v>468</v>
      </c>
    </row>
    <row r="409" spans="1:6" x14ac:dyDescent="0.25">
      <c r="A409" s="2" t="s">
        <v>197</v>
      </c>
    </row>
    <row r="410" spans="1:6" x14ac:dyDescent="0.25">
      <c r="A410" s="21" t="s">
        <v>469</v>
      </c>
    </row>
    <row r="411" spans="1:6" x14ac:dyDescent="0.25">
      <c r="A411" s="21" t="s">
        <v>470</v>
      </c>
    </row>
    <row r="412" spans="1:6" x14ac:dyDescent="0.25">
      <c r="A412" s="2" t="s">
        <v>377</v>
      </c>
    </row>
    <row r="414" spans="1:6" x14ac:dyDescent="0.25">
      <c r="B414" s="15" t="s">
        <v>28</v>
      </c>
      <c r="C414" s="15" t="s">
        <v>38</v>
      </c>
      <c r="D414" s="15" t="s">
        <v>27</v>
      </c>
      <c r="E414" s="15" t="s">
        <v>39</v>
      </c>
    </row>
    <row r="415" spans="1:6" x14ac:dyDescent="0.25">
      <c r="A415" s="4" t="s">
        <v>378</v>
      </c>
      <c r="B415" s="30">
        <f>B396/(SUM($B$396:$E$396)+$B406)</f>
        <v>0.33305398758772342</v>
      </c>
      <c r="C415" s="30">
        <f>C396/(SUM($B$396:$E$396)+$B406)</f>
        <v>0.10597042036763314</v>
      </c>
      <c r="D415" s="30">
        <f>D396/(SUM($B$396:$E$396)+$B406)</f>
        <v>0.30469278405978911</v>
      </c>
      <c r="E415" s="30">
        <f>E396/(SUM($B$396:$E$396)+$B406)</f>
        <v>0.22824825629923493</v>
      </c>
      <c r="F415" s="17"/>
    </row>
    <row r="417" spans="1:6" ht="21" customHeight="1" x14ac:dyDescent="0.3">
      <c r="A417" s="1" t="s">
        <v>471</v>
      </c>
    </row>
    <row r="418" spans="1:6" x14ac:dyDescent="0.25">
      <c r="A418" s="2" t="s">
        <v>197</v>
      </c>
    </row>
    <row r="419" spans="1:6" x14ac:dyDescent="0.25">
      <c r="A419" s="21" t="s">
        <v>472</v>
      </c>
    </row>
    <row r="420" spans="1:6" x14ac:dyDescent="0.25">
      <c r="A420" s="2" t="s">
        <v>272</v>
      </c>
    </row>
    <row r="422" spans="1:6" x14ac:dyDescent="0.25">
      <c r="B422" s="15" t="s">
        <v>39</v>
      </c>
    </row>
    <row r="423" spans="1:6" x14ac:dyDescent="0.25">
      <c r="A423" s="4" t="s">
        <v>473</v>
      </c>
      <c r="B423" s="32">
        <f>$E415</f>
        <v>0.22824825629923493</v>
      </c>
      <c r="C423" s="17"/>
    </row>
    <row r="425" spans="1:6" ht="21" customHeight="1" x14ac:dyDescent="0.3">
      <c r="A425" s="1" t="s">
        <v>474</v>
      </c>
    </row>
    <row r="426" spans="1:6" x14ac:dyDescent="0.25">
      <c r="A426" s="2" t="s">
        <v>197</v>
      </c>
    </row>
    <row r="427" spans="1:6" x14ac:dyDescent="0.25">
      <c r="A427" s="21" t="s">
        <v>475</v>
      </c>
    </row>
    <row r="428" spans="1:6" x14ac:dyDescent="0.25">
      <c r="A428" s="21" t="s">
        <v>476</v>
      </c>
    </row>
    <row r="429" spans="1:6" x14ac:dyDescent="0.25">
      <c r="A429" s="2" t="s">
        <v>284</v>
      </c>
    </row>
    <row r="431" spans="1:6" x14ac:dyDescent="0.25">
      <c r="B431" s="15" t="s">
        <v>83</v>
      </c>
      <c r="C431" s="15" t="s">
        <v>190</v>
      </c>
      <c r="D431" s="15" t="s">
        <v>81</v>
      </c>
      <c r="E431" s="15" t="s">
        <v>191</v>
      </c>
    </row>
    <row r="432" spans="1:6" ht="30" x14ac:dyDescent="0.25">
      <c r="A432" s="4" t="s">
        <v>477</v>
      </c>
      <c r="B432" s="30">
        <f>B326*$B423</f>
        <v>3.7294172018842706E-2</v>
      </c>
      <c r="C432" s="30">
        <f>C326*$B423</f>
        <v>4.776998720059606E-2</v>
      </c>
      <c r="D432" s="30">
        <f>D326*$B423</f>
        <v>4.4088821773155894E-2</v>
      </c>
      <c r="E432" s="30">
        <f>E326*$B423</f>
        <v>9.9095275306640238E-2</v>
      </c>
      <c r="F432" s="17"/>
    </row>
    <row r="434" spans="1:9" ht="21" customHeight="1" x14ac:dyDescent="0.3">
      <c r="A434" s="1" t="s">
        <v>478</v>
      </c>
    </row>
    <row r="435" spans="1:9" x14ac:dyDescent="0.25">
      <c r="A435" s="2" t="s">
        <v>197</v>
      </c>
    </row>
    <row r="436" spans="1:9" x14ac:dyDescent="0.25">
      <c r="A436" s="21" t="s">
        <v>479</v>
      </c>
    </row>
    <row r="437" spans="1:9" x14ac:dyDescent="0.25">
      <c r="A437" s="21" t="s">
        <v>480</v>
      </c>
    </row>
    <row r="438" spans="1:9" x14ac:dyDescent="0.25">
      <c r="A438" s="2" t="s">
        <v>200</v>
      </c>
    </row>
    <row r="440" spans="1:9" x14ac:dyDescent="0.25">
      <c r="B440" s="15" t="s">
        <v>28</v>
      </c>
      <c r="C440" s="15" t="s">
        <v>38</v>
      </c>
      <c r="D440" s="15" t="s">
        <v>27</v>
      </c>
      <c r="E440" s="15" t="s">
        <v>83</v>
      </c>
      <c r="F440" s="15" t="s">
        <v>190</v>
      </c>
      <c r="G440" s="15" t="s">
        <v>81</v>
      </c>
      <c r="H440" s="15" t="s">
        <v>191</v>
      </c>
    </row>
    <row r="441" spans="1:9" x14ac:dyDescent="0.25">
      <c r="A441" s="4" t="s">
        <v>481</v>
      </c>
      <c r="B441" s="32">
        <f>$B415</f>
        <v>0.33305398758772342</v>
      </c>
      <c r="C441" s="32">
        <f>$C415</f>
        <v>0.10597042036763314</v>
      </c>
      <c r="D441" s="32">
        <f>$D415</f>
        <v>0.30469278405978911</v>
      </c>
      <c r="E441" s="32">
        <f>$B432</f>
        <v>3.7294172018842706E-2</v>
      </c>
      <c r="F441" s="32">
        <f>$C432</f>
        <v>4.776998720059606E-2</v>
      </c>
      <c r="G441" s="32">
        <f>$D432</f>
        <v>4.4088821773155894E-2</v>
      </c>
      <c r="H441" s="32">
        <f>$E432</f>
        <v>9.9095275306640238E-2</v>
      </c>
      <c r="I441" s="17"/>
    </row>
    <row r="443" spans="1:9" ht="21" customHeight="1" x14ac:dyDescent="0.3">
      <c r="A443" s="1" t="s">
        <v>482</v>
      </c>
    </row>
    <row r="444" spans="1:9" x14ac:dyDescent="0.25">
      <c r="A444" s="2" t="s">
        <v>197</v>
      </c>
    </row>
    <row r="445" spans="1:9" x14ac:dyDescent="0.25">
      <c r="A445" s="21" t="s">
        <v>483</v>
      </c>
    </row>
    <row r="446" spans="1:9" x14ac:dyDescent="0.25">
      <c r="A446" s="21" t="s">
        <v>484</v>
      </c>
    </row>
    <row r="447" spans="1:9" x14ac:dyDescent="0.25">
      <c r="A447" s="2" t="s">
        <v>232</v>
      </c>
    </row>
    <row r="449" spans="1:3" ht="45" x14ac:dyDescent="0.25">
      <c r="B449" s="15" t="s">
        <v>485</v>
      </c>
    </row>
    <row r="450" spans="1:3" x14ac:dyDescent="0.25">
      <c r="A450" s="4" t="s">
        <v>438</v>
      </c>
      <c r="B450" s="30">
        <f t="shared" ref="B450:B469" si="2">SUMPRODUCT($B196:$H196,$B$441:$H$441)</f>
        <v>0.74371719201514574</v>
      </c>
      <c r="C450" s="17"/>
    </row>
    <row r="451" spans="1:3" x14ac:dyDescent="0.25">
      <c r="A451" s="4" t="s">
        <v>439</v>
      </c>
      <c r="B451" s="30">
        <f t="shared" si="2"/>
        <v>0.74371719201514574</v>
      </c>
      <c r="C451" s="17"/>
    </row>
    <row r="452" spans="1:3" x14ac:dyDescent="0.25">
      <c r="A452" s="4" t="s">
        <v>440</v>
      </c>
      <c r="B452" s="30">
        <f t="shared" si="2"/>
        <v>0.74371719201514574</v>
      </c>
      <c r="C452" s="17"/>
    </row>
    <row r="453" spans="1:3" x14ac:dyDescent="0.25">
      <c r="A453" s="4" t="s">
        <v>441</v>
      </c>
      <c r="B453" s="30">
        <f t="shared" si="2"/>
        <v>0.74371719201514574</v>
      </c>
      <c r="C453" s="17"/>
    </row>
    <row r="454" spans="1:3" x14ac:dyDescent="0.25">
      <c r="A454" s="4" t="s">
        <v>430</v>
      </c>
      <c r="B454" s="30">
        <f t="shared" si="2"/>
        <v>0.79564462636478728</v>
      </c>
      <c r="C454" s="17"/>
    </row>
    <row r="455" spans="1:3" x14ac:dyDescent="0.25">
      <c r="A455" s="4" t="s">
        <v>431</v>
      </c>
      <c r="B455" s="30">
        <f t="shared" si="2"/>
        <v>0.79564462636478728</v>
      </c>
      <c r="C455" s="17"/>
    </row>
    <row r="456" spans="1:3" x14ac:dyDescent="0.25">
      <c r="A456" s="4" t="s">
        <v>432</v>
      </c>
      <c r="B456" s="30">
        <f t="shared" si="2"/>
        <v>0.79564462636478728</v>
      </c>
      <c r="C456" s="17"/>
    </row>
    <row r="457" spans="1:3" x14ac:dyDescent="0.25">
      <c r="A457" s="4" t="s">
        <v>433</v>
      </c>
      <c r="B457" s="30">
        <f t="shared" si="2"/>
        <v>0.79564462636478728</v>
      </c>
      <c r="C457" s="17"/>
    </row>
    <row r="458" spans="1:3" x14ac:dyDescent="0.25">
      <c r="A458" s="4" t="s">
        <v>442</v>
      </c>
      <c r="B458" s="30">
        <f t="shared" si="2"/>
        <v>0.82878135123458452</v>
      </c>
      <c r="C458" s="17"/>
    </row>
    <row r="459" spans="1:3" x14ac:dyDescent="0.25">
      <c r="A459" s="4" t="s">
        <v>443</v>
      </c>
      <c r="B459" s="30">
        <f t="shared" si="2"/>
        <v>0.82878135123458452</v>
      </c>
      <c r="C459" s="17"/>
    </row>
    <row r="460" spans="1:3" x14ac:dyDescent="0.25">
      <c r="A460" s="4" t="s">
        <v>444</v>
      </c>
      <c r="B460" s="30">
        <f t="shared" si="2"/>
        <v>0.82878135123458452</v>
      </c>
      <c r="C460" s="17"/>
    </row>
    <row r="461" spans="1:3" x14ac:dyDescent="0.25">
      <c r="A461" s="4" t="s">
        <v>445</v>
      </c>
      <c r="B461" s="30">
        <f t="shared" si="2"/>
        <v>0.82878135123458452</v>
      </c>
      <c r="C461" s="17"/>
    </row>
    <row r="462" spans="1:3" x14ac:dyDescent="0.25">
      <c r="A462" s="4" t="s">
        <v>425</v>
      </c>
      <c r="B462" s="30">
        <f t="shared" si="2"/>
        <v>0.90322578422479161</v>
      </c>
      <c r="C462" s="17"/>
    </row>
    <row r="463" spans="1:3" x14ac:dyDescent="0.25">
      <c r="A463" s="4" t="s">
        <v>426</v>
      </c>
      <c r="B463" s="30">
        <f t="shared" si="2"/>
        <v>0.90322578422479161</v>
      </c>
      <c r="C463" s="17"/>
    </row>
    <row r="464" spans="1:3" x14ac:dyDescent="0.25">
      <c r="A464" s="4" t="s">
        <v>427</v>
      </c>
      <c r="B464" s="30">
        <f t="shared" si="2"/>
        <v>0.90322578422479161</v>
      </c>
      <c r="C464" s="17"/>
    </row>
    <row r="465" spans="1:9" x14ac:dyDescent="0.25">
      <c r="A465" s="4" t="s">
        <v>428</v>
      </c>
      <c r="B465" s="30">
        <f t="shared" si="2"/>
        <v>0.90322578422479161</v>
      </c>
      <c r="C465" s="17"/>
    </row>
    <row r="466" spans="1:9" x14ac:dyDescent="0.25">
      <c r="A466" s="4" t="s">
        <v>446</v>
      </c>
      <c r="B466" s="30">
        <f t="shared" si="2"/>
        <v>0.97196544831438059</v>
      </c>
      <c r="C466" s="17"/>
    </row>
    <row r="467" spans="1:9" x14ac:dyDescent="0.25">
      <c r="A467" s="4" t="s">
        <v>447</v>
      </c>
      <c r="B467" s="30">
        <f t="shared" si="2"/>
        <v>0.97196544831438059</v>
      </c>
      <c r="C467" s="17"/>
    </row>
    <row r="468" spans="1:9" x14ac:dyDescent="0.25">
      <c r="A468" s="4" t="s">
        <v>448</v>
      </c>
      <c r="B468" s="30">
        <f t="shared" si="2"/>
        <v>0.97196544831438059</v>
      </c>
      <c r="C468" s="17"/>
    </row>
    <row r="469" spans="1:9" x14ac:dyDescent="0.25">
      <c r="A469" s="4" t="s">
        <v>449</v>
      </c>
      <c r="B469" s="30">
        <f t="shared" si="2"/>
        <v>0.97196544831438059</v>
      </c>
      <c r="C469" s="17"/>
    </row>
    <row r="471" spans="1:9" ht="21" customHeight="1" x14ac:dyDescent="0.3">
      <c r="A471" s="1" t="s">
        <v>486</v>
      </c>
    </row>
    <row r="473" spans="1:9" x14ac:dyDescent="0.25">
      <c r="B473" s="15" t="s">
        <v>28</v>
      </c>
      <c r="C473" s="15" t="s">
        <v>38</v>
      </c>
      <c r="D473" s="15" t="s">
        <v>27</v>
      </c>
      <c r="E473" s="15" t="s">
        <v>83</v>
      </c>
      <c r="F473" s="15" t="s">
        <v>190</v>
      </c>
      <c r="G473" s="15" t="s">
        <v>81</v>
      </c>
      <c r="H473" s="15" t="s">
        <v>191</v>
      </c>
    </row>
    <row r="474" spans="1:9" x14ac:dyDescent="0.25">
      <c r="A474" s="4" t="s">
        <v>438</v>
      </c>
      <c r="B474" s="10"/>
      <c r="C474" s="10"/>
      <c r="D474" s="10"/>
      <c r="E474" s="10"/>
      <c r="F474" s="10"/>
      <c r="G474" s="10"/>
      <c r="H474" s="10"/>
      <c r="I474" s="17"/>
    </row>
    <row r="475" spans="1:9" x14ac:dyDescent="0.25">
      <c r="A475" s="4" t="s">
        <v>439</v>
      </c>
      <c r="B475" s="26">
        <v>1</v>
      </c>
      <c r="C475" s="10"/>
      <c r="D475" s="10"/>
      <c r="E475" s="10"/>
      <c r="F475" s="10"/>
      <c r="G475" s="10"/>
      <c r="H475" s="10"/>
      <c r="I475" s="17"/>
    </row>
    <row r="476" spans="1:9" x14ac:dyDescent="0.25">
      <c r="A476" s="4" t="s">
        <v>440</v>
      </c>
      <c r="B476" s="26">
        <v>1</v>
      </c>
      <c r="C476" s="26">
        <v>1</v>
      </c>
      <c r="D476" s="10"/>
      <c r="E476" s="10"/>
      <c r="F476" s="10"/>
      <c r="G476" s="10"/>
      <c r="H476" s="10"/>
      <c r="I476" s="17"/>
    </row>
    <row r="477" spans="1:9" x14ac:dyDescent="0.25">
      <c r="A477" s="4" t="s">
        <v>441</v>
      </c>
      <c r="B477" s="26">
        <v>1</v>
      </c>
      <c r="C477" s="26">
        <v>1</v>
      </c>
      <c r="D477" s="26">
        <v>1</v>
      </c>
      <c r="E477" s="10"/>
      <c r="F477" s="10"/>
      <c r="G477" s="10"/>
      <c r="H477" s="10"/>
      <c r="I477" s="17"/>
    </row>
    <row r="478" spans="1:9" x14ac:dyDescent="0.25">
      <c r="A478" s="4" t="s">
        <v>430</v>
      </c>
      <c r="B478" s="10"/>
      <c r="C478" s="10"/>
      <c r="D478" s="10"/>
      <c r="E478" s="10"/>
      <c r="F478" s="10"/>
      <c r="G478" s="10"/>
      <c r="H478" s="10"/>
      <c r="I478" s="17"/>
    </row>
    <row r="479" spans="1:9" x14ac:dyDescent="0.25">
      <c r="A479" s="4" t="s">
        <v>431</v>
      </c>
      <c r="B479" s="26">
        <v>1</v>
      </c>
      <c r="C479" s="10"/>
      <c r="D479" s="10"/>
      <c r="E479" s="10"/>
      <c r="F479" s="10"/>
      <c r="G479" s="10"/>
      <c r="H479" s="10"/>
      <c r="I479" s="17"/>
    </row>
    <row r="480" spans="1:9" x14ac:dyDescent="0.25">
      <c r="A480" s="4" t="s">
        <v>432</v>
      </c>
      <c r="B480" s="26">
        <v>1</v>
      </c>
      <c r="C480" s="26">
        <v>1</v>
      </c>
      <c r="D480" s="10"/>
      <c r="E480" s="10"/>
      <c r="F480" s="10"/>
      <c r="G480" s="10"/>
      <c r="H480" s="10"/>
      <c r="I480" s="17"/>
    </row>
    <row r="481" spans="1:9" x14ac:dyDescent="0.25">
      <c r="A481" s="4" t="s">
        <v>433</v>
      </c>
      <c r="B481" s="26">
        <v>1</v>
      </c>
      <c r="C481" s="26">
        <v>1</v>
      </c>
      <c r="D481" s="26">
        <v>1</v>
      </c>
      <c r="E481" s="10"/>
      <c r="F481" s="10"/>
      <c r="G481" s="10"/>
      <c r="H481" s="10"/>
      <c r="I481" s="17"/>
    </row>
    <row r="482" spans="1:9" x14ac:dyDescent="0.25">
      <c r="A482" s="4" t="s">
        <v>442</v>
      </c>
      <c r="B482" s="10"/>
      <c r="C482" s="10"/>
      <c r="D482" s="10"/>
      <c r="E482" s="10"/>
      <c r="F482" s="10"/>
      <c r="G482" s="10"/>
      <c r="H482" s="10"/>
      <c r="I482" s="17"/>
    </row>
    <row r="483" spans="1:9" x14ac:dyDescent="0.25">
      <c r="A483" s="4" t="s">
        <v>443</v>
      </c>
      <c r="B483" s="26">
        <v>1</v>
      </c>
      <c r="C483" s="10"/>
      <c r="D483" s="10"/>
      <c r="E483" s="10"/>
      <c r="F483" s="10"/>
      <c r="G483" s="10"/>
      <c r="H483" s="10"/>
      <c r="I483" s="17"/>
    </row>
    <row r="484" spans="1:9" x14ac:dyDescent="0.25">
      <c r="A484" s="4" t="s">
        <v>444</v>
      </c>
      <c r="B484" s="26">
        <v>1</v>
      </c>
      <c r="C484" s="26">
        <v>1</v>
      </c>
      <c r="D484" s="10"/>
      <c r="E484" s="10"/>
      <c r="F484" s="10"/>
      <c r="G484" s="10"/>
      <c r="H484" s="10"/>
      <c r="I484" s="17"/>
    </row>
    <row r="485" spans="1:9" x14ac:dyDescent="0.25">
      <c r="A485" s="4" t="s">
        <v>445</v>
      </c>
      <c r="B485" s="26">
        <v>1</v>
      </c>
      <c r="C485" s="26">
        <v>1</v>
      </c>
      <c r="D485" s="26">
        <v>1</v>
      </c>
      <c r="E485" s="10"/>
      <c r="F485" s="10"/>
      <c r="G485" s="10"/>
      <c r="H485" s="10"/>
      <c r="I485" s="17"/>
    </row>
    <row r="486" spans="1:9" x14ac:dyDescent="0.25">
      <c r="A486" s="4" t="s">
        <v>425</v>
      </c>
      <c r="B486" s="10"/>
      <c r="C486" s="10"/>
      <c r="D486" s="10"/>
      <c r="E486" s="10"/>
      <c r="F486" s="10"/>
      <c r="G486" s="10"/>
      <c r="H486" s="10"/>
      <c r="I486" s="17"/>
    </row>
    <row r="487" spans="1:9" x14ac:dyDescent="0.25">
      <c r="A487" s="4" t="s">
        <v>426</v>
      </c>
      <c r="B487" s="26">
        <v>1</v>
      </c>
      <c r="C487" s="10"/>
      <c r="D487" s="10"/>
      <c r="E487" s="10"/>
      <c r="F487" s="10"/>
      <c r="G487" s="10"/>
      <c r="H487" s="10"/>
      <c r="I487" s="17"/>
    </row>
    <row r="488" spans="1:9" x14ac:dyDescent="0.25">
      <c r="A488" s="4" t="s">
        <v>427</v>
      </c>
      <c r="B488" s="26">
        <v>1</v>
      </c>
      <c r="C488" s="26">
        <v>1</v>
      </c>
      <c r="D488" s="10"/>
      <c r="E488" s="10"/>
      <c r="F488" s="10"/>
      <c r="G488" s="10"/>
      <c r="H488" s="10"/>
      <c r="I488" s="17"/>
    </row>
    <row r="489" spans="1:9" x14ac:dyDescent="0.25">
      <c r="A489" s="4" t="s">
        <v>428</v>
      </c>
      <c r="B489" s="26">
        <v>1</v>
      </c>
      <c r="C489" s="26">
        <v>1</v>
      </c>
      <c r="D489" s="26">
        <v>1</v>
      </c>
      <c r="E489" s="10"/>
      <c r="F489" s="10"/>
      <c r="G489" s="10"/>
      <c r="H489" s="10"/>
      <c r="I489" s="17"/>
    </row>
    <row r="490" spans="1:9" x14ac:dyDescent="0.25">
      <c r="A490" s="4" t="s">
        <v>446</v>
      </c>
      <c r="B490" s="10"/>
      <c r="C490" s="10"/>
      <c r="D490" s="10"/>
      <c r="E490" s="10"/>
      <c r="F490" s="10"/>
      <c r="G490" s="10"/>
      <c r="H490" s="10"/>
      <c r="I490" s="17"/>
    </row>
    <row r="491" spans="1:9" x14ac:dyDescent="0.25">
      <c r="A491" s="4" t="s">
        <v>447</v>
      </c>
      <c r="B491" s="26">
        <v>1</v>
      </c>
      <c r="C491" s="10"/>
      <c r="D491" s="10"/>
      <c r="E491" s="10"/>
      <c r="F491" s="10"/>
      <c r="G491" s="10"/>
      <c r="H491" s="10"/>
      <c r="I491" s="17"/>
    </row>
    <row r="492" spans="1:9" x14ac:dyDescent="0.25">
      <c r="A492" s="4" t="s">
        <v>448</v>
      </c>
      <c r="B492" s="26">
        <v>1</v>
      </c>
      <c r="C492" s="26">
        <v>1</v>
      </c>
      <c r="D492" s="10"/>
      <c r="E492" s="10"/>
      <c r="F492" s="10"/>
      <c r="G492" s="10"/>
      <c r="H492" s="10"/>
      <c r="I492" s="17"/>
    </row>
    <row r="493" spans="1:9" x14ac:dyDescent="0.25">
      <c r="A493" s="4" t="s">
        <v>449</v>
      </c>
      <c r="B493" s="26">
        <v>1</v>
      </c>
      <c r="C493" s="26">
        <v>1</v>
      </c>
      <c r="D493" s="26">
        <v>1</v>
      </c>
      <c r="E493" s="10"/>
      <c r="F493" s="10"/>
      <c r="G493" s="10"/>
      <c r="H493" s="10"/>
      <c r="I493" s="17"/>
    </row>
    <row r="495" spans="1:9" ht="21" customHeight="1" x14ac:dyDescent="0.3">
      <c r="A495" s="1" t="s">
        <v>487</v>
      </c>
    </row>
    <row r="496" spans="1:9" x14ac:dyDescent="0.25">
      <c r="A496" s="2" t="s">
        <v>197</v>
      </c>
    </row>
    <row r="497" spans="1:3" x14ac:dyDescent="0.25">
      <c r="A497" s="21" t="s">
        <v>488</v>
      </c>
    </row>
    <row r="498" spans="1:3" x14ac:dyDescent="0.25">
      <c r="A498" s="21" t="s">
        <v>484</v>
      </c>
    </row>
    <row r="499" spans="1:3" x14ac:dyDescent="0.25">
      <c r="A499" s="2" t="s">
        <v>232</v>
      </c>
    </row>
    <row r="501" spans="1:3" ht="45" x14ac:dyDescent="0.25">
      <c r="B501" s="15" t="s">
        <v>489</v>
      </c>
    </row>
    <row r="502" spans="1:3" x14ac:dyDescent="0.25">
      <c r="A502" s="4" t="s">
        <v>438</v>
      </c>
      <c r="B502" s="30">
        <f t="shared" ref="B502:B521" si="3">SUMPRODUCT($B474:$H474,$B$441:$H$441)</f>
        <v>0</v>
      </c>
      <c r="C502" s="17"/>
    </row>
    <row r="503" spans="1:3" x14ac:dyDescent="0.25">
      <c r="A503" s="4" t="s">
        <v>439</v>
      </c>
      <c r="B503" s="30">
        <f t="shared" si="3"/>
        <v>0.33305398758772342</v>
      </c>
      <c r="C503" s="17"/>
    </row>
    <row r="504" spans="1:3" x14ac:dyDescent="0.25">
      <c r="A504" s="4" t="s">
        <v>440</v>
      </c>
      <c r="B504" s="30">
        <f t="shared" si="3"/>
        <v>0.43902440795535658</v>
      </c>
      <c r="C504" s="17"/>
    </row>
    <row r="505" spans="1:3" x14ac:dyDescent="0.25">
      <c r="A505" s="4" t="s">
        <v>441</v>
      </c>
      <c r="B505" s="30">
        <f t="shared" si="3"/>
        <v>0.74371719201514574</v>
      </c>
      <c r="C505" s="17"/>
    </row>
    <row r="506" spans="1:3" x14ac:dyDescent="0.25">
      <c r="A506" s="4" t="s">
        <v>430</v>
      </c>
      <c r="B506" s="30">
        <f t="shared" si="3"/>
        <v>0</v>
      </c>
      <c r="C506" s="17"/>
    </row>
    <row r="507" spans="1:3" x14ac:dyDescent="0.25">
      <c r="A507" s="4" t="s">
        <v>431</v>
      </c>
      <c r="B507" s="30">
        <f t="shared" si="3"/>
        <v>0.33305398758772342</v>
      </c>
      <c r="C507" s="17"/>
    </row>
    <row r="508" spans="1:3" x14ac:dyDescent="0.25">
      <c r="A508" s="4" t="s">
        <v>432</v>
      </c>
      <c r="B508" s="30">
        <f t="shared" si="3"/>
        <v>0.43902440795535658</v>
      </c>
      <c r="C508" s="17"/>
    </row>
    <row r="509" spans="1:3" x14ac:dyDescent="0.25">
      <c r="A509" s="4" t="s">
        <v>433</v>
      </c>
      <c r="B509" s="30">
        <f t="shared" si="3"/>
        <v>0.74371719201514574</v>
      </c>
      <c r="C509" s="17"/>
    </row>
    <row r="510" spans="1:3" x14ac:dyDescent="0.25">
      <c r="A510" s="4" t="s">
        <v>442</v>
      </c>
      <c r="B510" s="30">
        <f t="shared" si="3"/>
        <v>0</v>
      </c>
      <c r="C510" s="17"/>
    </row>
    <row r="511" spans="1:3" x14ac:dyDescent="0.25">
      <c r="A511" s="4" t="s">
        <v>443</v>
      </c>
      <c r="B511" s="30">
        <f t="shared" si="3"/>
        <v>0.33305398758772342</v>
      </c>
      <c r="C511" s="17"/>
    </row>
    <row r="512" spans="1:3" x14ac:dyDescent="0.25">
      <c r="A512" s="4" t="s">
        <v>444</v>
      </c>
      <c r="B512" s="30">
        <f t="shared" si="3"/>
        <v>0.43902440795535658</v>
      </c>
      <c r="C512" s="17"/>
    </row>
    <row r="513" spans="1:3" x14ac:dyDescent="0.25">
      <c r="A513" s="4" t="s">
        <v>445</v>
      </c>
      <c r="B513" s="30">
        <f t="shared" si="3"/>
        <v>0.74371719201514574</v>
      </c>
      <c r="C513" s="17"/>
    </row>
    <row r="514" spans="1:3" x14ac:dyDescent="0.25">
      <c r="A514" s="4" t="s">
        <v>425</v>
      </c>
      <c r="B514" s="30">
        <f t="shared" si="3"/>
        <v>0</v>
      </c>
      <c r="C514" s="17"/>
    </row>
    <row r="515" spans="1:3" x14ac:dyDescent="0.25">
      <c r="A515" s="4" t="s">
        <v>426</v>
      </c>
      <c r="B515" s="30">
        <f t="shared" si="3"/>
        <v>0.33305398758772342</v>
      </c>
      <c r="C515" s="17"/>
    </row>
    <row r="516" spans="1:3" x14ac:dyDescent="0.25">
      <c r="A516" s="4" t="s">
        <v>427</v>
      </c>
      <c r="B516" s="30">
        <f t="shared" si="3"/>
        <v>0.43902440795535658</v>
      </c>
      <c r="C516" s="17"/>
    </row>
    <row r="517" spans="1:3" x14ac:dyDescent="0.25">
      <c r="A517" s="4" t="s">
        <v>428</v>
      </c>
      <c r="B517" s="30">
        <f t="shared" si="3"/>
        <v>0.74371719201514574</v>
      </c>
      <c r="C517" s="17"/>
    </row>
    <row r="518" spans="1:3" x14ac:dyDescent="0.25">
      <c r="A518" s="4" t="s">
        <v>446</v>
      </c>
      <c r="B518" s="30">
        <f t="shared" si="3"/>
        <v>0</v>
      </c>
      <c r="C518" s="17"/>
    </row>
    <row r="519" spans="1:3" x14ac:dyDescent="0.25">
      <c r="A519" s="4" t="s">
        <v>447</v>
      </c>
      <c r="B519" s="30">
        <f t="shared" si="3"/>
        <v>0.33305398758772342</v>
      </c>
      <c r="C519" s="17"/>
    </row>
    <row r="520" spans="1:3" x14ac:dyDescent="0.25">
      <c r="A520" s="4" t="s">
        <v>448</v>
      </c>
      <c r="B520" s="30">
        <f t="shared" si="3"/>
        <v>0.43902440795535658</v>
      </c>
      <c r="C520" s="17"/>
    </row>
    <row r="521" spans="1:3" x14ac:dyDescent="0.25">
      <c r="A521" s="4" t="s">
        <v>449</v>
      </c>
      <c r="B521" s="30">
        <f t="shared" si="3"/>
        <v>0.74371719201514574</v>
      </c>
      <c r="C521" s="17"/>
    </row>
    <row r="523" spans="1:3" ht="21" customHeight="1" x14ac:dyDescent="0.3">
      <c r="A523" s="1" t="s">
        <v>490</v>
      </c>
    </row>
    <row r="524" spans="1:3" x14ac:dyDescent="0.25">
      <c r="A524" s="2" t="s">
        <v>197</v>
      </c>
    </row>
    <row r="525" spans="1:3" x14ac:dyDescent="0.25">
      <c r="A525" s="21" t="s">
        <v>491</v>
      </c>
    </row>
    <row r="526" spans="1:3" x14ac:dyDescent="0.25">
      <c r="A526" s="21" t="s">
        <v>492</v>
      </c>
    </row>
    <row r="527" spans="1:3" x14ac:dyDescent="0.25">
      <c r="A527" s="2" t="s">
        <v>493</v>
      </c>
    </row>
    <row r="529" spans="1:3" ht="30" x14ac:dyDescent="0.25">
      <c r="B529" s="15" t="s">
        <v>494</v>
      </c>
    </row>
    <row r="530" spans="1:3" x14ac:dyDescent="0.25">
      <c r="A530" s="4" t="s">
        <v>438</v>
      </c>
      <c r="B530" s="30">
        <f t="shared" ref="B530:B549" si="4">1-MAX(0,(1-B450)/(1-B502))</f>
        <v>0.74371719201514574</v>
      </c>
      <c r="C530" s="17"/>
    </row>
    <row r="531" spans="1:3" x14ac:dyDescent="0.25">
      <c r="A531" s="4" t="s">
        <v>439</v>
      </c>
      <c r="B531" s="30">
        <f t="shared" si="4"/>
        <v>0.61573680145727971</v>
      </c>
      <c r="C531" s="17"/>
    </row>
    <row r="532" spans="1:3" x14ac:dyDescent="0.25">
      <c r="A532" s="4" t="s">
        <v>440</v>
      </c>
      <c r="B532" s="30">
        <f t="shared" si="4"/>
        <v>0.5431480235160413</v>
      </c>
      <c r="C532" s="17"/>
    </row>
    <row r="533" spans="1:3" x14ac:dyDescent="0.25">
      <c r="A533" s="4" t="s">
        <v>441</v>
      </c>
      <c r="B533" s="30">
        <f t="shared" si="4"/>
        <v>0</v>
      </c>
      <c r="C533" s="17"/>
    </row>
    <row r="534" spans="1:3" x14ac:dyDescent="0.25">
      <c r="A534" s="4" t="s">
        <v>430</v>
      </c>
      <c r="B534" s="30">
        <f t="shared" si="4"/>
        <v>0.79564462636478728</v>
      </c>
      <c r="C534" s="17"/>
    </row>
    <row r="535" spans="1:3" x14ac:dyDescent="0.25">
      <c r="A535" s="4" t="s">
        <v>431</v>
      </c>
      <c r="B535" s="30">
        <f t="shared" si="4"/>
        <v>0.69359532880917918</v>
      </c>
      <c r="C535" s="17"/>
    </row>
    <row r="536" spans="1:3" x14ac:dyDescent="0.25">
      <c r="A536" s="4" t="s">
        <v>432</v>
      </c>
      <c r="B536" s="30">
        <f t="shared" si="4"/>
        <v>0.6357143224531776</v>
      </c>
      <c r="C536" s="17"/>
    </row>
    <row r="537" spans="1:3" x14ac:dyDescent="0.25">
      <c r="A537" s="4" t="s">
        <v>433</v>
      </c>
      <c r="B537" s="30">
        <f t="shared" si="4"/>
        <v>0.20261770486263098</v>
      </c>
      <c r="C537" s="17"/>
    </row>
    <row r="538" spans="1:3" x14ac:dyDescent="0.25">
      <c r="A538" s="4" t="s">
        <v>442</v>
      </c>
      <c r="B538" s="30">
        <f t="shared" si="4"/>
        <v>0.82878135123458452</v>
      </c>
      <c r="C538" s="17"/>
    </row>
    <row r="539" spans="1:3" x14ac:dyDescent="0.25">
      <c r="A539" s="4" t="s">
        <v>443</v>
      </c>
      <c r="B539" s="30">
        <f t="shared" si="4"/>
        <v>0.74327959748025951</v>
      </c>
      <c r="C539" s="17"/>
    </row>
    <row r="540" spans="1:3" x14ac:dyDescent="0.25">
      <c r="A540" s="4" t="s">
        <v>444</v>
      </c>
      <c r="B540" s="30">
        <f t="shared" si="4"/>
        <v>0.69478413821649909</v>
      </c>
      <c r="C540" s="17"/>
    </row>
    <row r="541" spans="1:3" x14ac:dyDescent="0.25">
      <c r="A541" s="4" t="s">
        <v>445</v>
      </c>
      <c r="B541" s="30">
        <f t="shared" si="4"/>
        <v>0.33191519902679489</v>
      </c>
      <c r="C541" s="17"/>
    </row>
    <row r="542" spans="1:3" x14ac:dyDescent="0.25">
      <c r="A542" s="4" t="s">
        <v>425</v>
      </c>
      <c r="B542" s="30">
        <f t="shared" si="4"/>
        <v>0.90322578422479161</v>
      </c>
      <c r="C542" s="17"/>
    </row>
    <row r="543" spans="1:3" x14ac:dyDescent="0.25">
      <c r="A543" s="4" t="s">
        <v>426</v>
      </c>
      <c r="B543" s="30">
        <f t="shared" si="4"/>
        <v>0.85489947615821893</v>
      </c>
      <c r="C543" s="17"/>
    </row>
    <row r="544" spans="1:3" x14ac:dyDescent="0.25">
      <c r="A544" s="4" t="s">
        <v>427</v>
      </c>
      <c r="B544" s="30">
        <f t="shared" si="4"/>
        <v>0.82748943599758806</v>
      </c>
      <c r="C544" s="17"/>
    </row>
    <row r="545" spans="1:3" x14ac:dyDescent="0.25">
      <c r="A545" s="4" t="s">
        <v>428</v>
      </c>
      <c r="B545" s="30">
        <f t="shared" si="4"/>
        <v>0.62239286928318838</v>
      </c>
      <c r="C545" s="17"/>
    </row>
    <row r="546" spans="1:3" x14ac:dyDescent="0.25">
      <c r="A546" s="4" t="s">
        <v>446</v>
      </c>
      <c r="B546" s="30">
        <f t="shared" si="4"/>
        <v>0.97196544831438059</v>
      </c>
      <c r="C546" s="17"/>
    </row>
    <row r="547" spans="1:3" x14ac:dyDescent="0.25">
      <c r="A547" s="4" t="s">
        <v>447</v>
      </c>
      <c r="B547" s="30">
        <f t="shared" si="4"/>
        <v>0.9579657855900191</v>
      </c>
      <c r="C547" s="17"/>
    </row>
    <row r="548" spans="1:3" x14ac:dyDescent="0.25">
      <c r="A548" s="4" t="s">
        <v>448</v>
      </c>
      <c r="B548" s="30">
        <f t="shared" si="4"/>
        <v>0.95002536280867567</v>
      </c>
      <c r="C548" s="17"/>
    </row>
    <row r="549" spans="1:3" x14ac:dyDescent="0.25">
      <c r="A549" s="4" t="s">
        <v>449</v>
      </c>
      <c r="B549" s="30">
        <f t="shared" si="4"/>
        <v>0.89061087668714711</v>
      </c>
      <c r="C549" s="17"/>
    </row>
  </sheetData>
  <sheetProtection sheet="1" objects="1" scenarios="1"/>
  <hyperlinks>
    <hyperlink ref="A5" location="'CDCM'!B88" display="x1 = 1403. Allocation key (in Allocation rules)"/>
    <hyperlink ref="A6" location="'CDCM'!B275" display="x2 = 1412. LV only"/>
    <hyperlink ref="A7" location="'CDCM'!B232" display="x3 = 1406. MEAV percentages"/>
    <hyperlink ref="A8" location="'CDCM'!B270" display="x4 = 1411. EHV only"/>
    <hyperlink ref="A48" location="'CDCM'!B88" display="x1 = 1403. Allocation key (in Allocation rules)"/>
    <hyperlink ref="A49" location="'CDCM'!B9" display="x2 = 1401. Allocated costs after DCP 117 adjustments"/>
    <hyperlink ref="A50" location="'Input'!B116" display="x3 = 1335. Total costs (£/year)"/>
    <hyperlink ref="A51" location="'CDCM'!C51" display="x4 = 1402. Amounts already allocated (in Expenditure data)"/>
    <hyperlink ref="A52" location="'EDCM'!B11" display="x5 = 1501. All allocation percentages"/>
    <hyperlink ref="A92" location="'EDCM'!B55" display="x1 = 1502. Complete allocation"/>
    <hyperlink ref="A132" location="'EDCM'!B95" display="x1 = 1503. Complete allocation, zeroing out negative numbers"/>
    <hyperlink ref="A133" location="'CDCM'!D88" display="x2 = 1403. Direct cost indicator (in Allocation rules)"/>
    <hyperlink ref="A141" location="'EDCM'!B95" display="x1 = 1503. Complete allocation, zeroing out negative numbers"/>
    <hyperlink ref="A149" location="'EDCM'!B136" display="x1 = 1504. Direct costs"/>
    <hyperlink ref="A150" location="'EDCM'!B144" display="x2 = 1505. Total costs"/>
    <hyperlink ref="A158" location="'Input'!B12" display="x1 = 1301. DNO LV mains usage"/>
    <hyperlink ref="A159" location="'Input'!B18" display="x2 = 1302. DNO HV mains usage"/>
    <hyperlink ref="A160" location="'EDCM'!B153" display="x3 = 1506. Direct cost proportion for each network level"/>
    <hyperlink ref="A168" location="'EDCM'!B163" display="x1 = 1507. Splitting factors"/>
    <hyperlink ref="A179" location="'EDCM'!B163" display="x1 = 1507. Splitting factors"/>
    <hyperlink ref="A190" location="'EDCM'!B171" display="x1 = 1508. Splitting factor 132kV"/>
    <hyperlink ref="A191" location="'EDCM'!B182" display="x2 = 1509. Splitting factor EHV"/>
    <hyperlink ref="A219" location="'CDCM'!B131" display="x1 = 1404. MEAV (£) (in MEAV calculations)"/>
    <hyperlink ref="A313" location="'EDCM'!C224" display="x1 = 1511. MEAV EDCM mapping (in MEAV calculations)"/>
    <hyperlink ref="A314" location="'EDCM'!B224" display="x2 = 1511. MEAV (£) (in MEAV calculations) (copy)"/>
    <hyperlink ref="A322" location="'EDCM'!B317" display="x1 = 1512. MEAV by network level (£)"/>
    <hyperlink ref="A330" location="'EDCM'!B55" display="x1 = 1502. Complete allocation"/>
    <hyperlink ref="A331" location="'CDCM'!C88" display="x2 = 1403. Percentage capitalised (in Allocation rules)"/>
    <hyperlink ref="A371" location="'EDCM'!B334" display="x1 = 1514. Complete allocation, adjusted for regulatory capitalisation"/>
    <hyperlink ref="A379" location="'EDCM'!B374" display="x1 = 1515. Total expensed for each level"/>
    <hyperlink ref="A387" location="'CDCM'!B697" display="x1 = 1430. Proportion of price control revenue attributed to opex"/>
    <hyperlink ref="A388" location="'CDCM'!B642" display="x2 = 1424. Net capex percentages"/>
    <hyperlink ref="A389" location="'EDCM'!B382" display="x3 = 1516. Expensed proportions"/>
    <hyperlink ref="A390" location="'CDCM'!B716" display="x4 = 1432. Revenue to be allocated between network levels (£/year)"/>
    <hyperlink ref="A391" location="'Input'!B50" display="x5 = 1328. DCP 117/DCP 231 additional annual income (£)"/>
    <hyperlink ref="A392" location="'CDCM'!B736" display="x6 = 1434. Units flowing, loss adjusted to LV (kWh)"/>
    <hyperlink ref="A400" location="'Input'!C30" display="x1 = 1315. Net incentive revenue (in Analysis of allowed revenue for 2007/2008 (£/year))"/>
    <hyperlink ref="A401" location="'CDCM'!B706" display="x2 = 1431. To be deducted from revenue and treated as &quot;upstream&quot; cost"/>
    <hyperlink ref="A402" location="'CDCM'!B736" display="x3 = 1434. Units flowing, loss adjusted to LV (kWh)"/>
    <hyperlink ref="A410" location="'EDCM'!B395" display="x1 = 1517. p/kWh split (DCP 117 modified)"/>
    <hyperlink ref="A411" location="'EDCM'!B405" display="x2 = 1518. p/kWh not split"/>
    <hyperlink ref="A419" location="'EDCM'!B414" display="x1 = 1519. Allocated proportion"/>
    <hyperlink ref="A427" location="'EDCM'!B325" display="x1 = 1513. MEAV percentages"/>
    <hyperlink ref="A428" location="'EDCM'!B422" display="x2 = 1520. Allocation to EHV network levels"/>
    <hyperlink ref="A436" location="'EDCM'!B431" display="x1 = 1521. Allocation between EHV network levels"/>
    <hyperlink ref="A437" location="'EDCM'!B414" display="x2 = 1519. Allocated proportion"/>
    <hyperlink ref="A445" location="'EDCM'!B195" display="x1 = 1510. Network levels not covered by DNO network"/>
    <hyperlink ref="A446" location="'EDCM'!B440" display="x2 = 1522. Extended allocation"/>
    <hyperlink ref="A497" location="'EDCM'!B473" display="x1 = 1524. Network levels not covered by all-the-way tariff"/>
    <hyperlink ref="A498" location="'EDCM'!B440" display="x2 = 1522. Extended allocation"/>
    <hyperlink ref="A525" location="'EDCM'!B449" display="x1 = 1523. Proportion of costs not covered by DNO network"/>
    <hyperlink ref="A526" location="'EDCM'!B501" display="x2 = 1525. Proportion of costs not covered by all-the-way tariff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workbookViewId="0">
      <pane ySplit="1" topLeftCell="A2" activePane="bottomLeft" state="frozen"/>
      <selection pane="bottomLeft" activeCell="B17" sqref="B17:E17"/>
    </sheetView>
  </sheetViews>
  <sheetFormatPr defaultRowHeight="15" x14ac:dyDescent="0.25"/>
  <cols>
    <col min="1" max="1" width="36.7109375" customWidth="1"/>
    <col min="2" max="251" width="20.7109375" customWidth="1"/>
  </cols>
  <sheetData>
    <row r="1" spans="1:5" ht="21" customHeight="1" x14ac:dyDescent="0.3">
      <c r="A1" s="1" t="str">
        <f>"Results for "&amp;Input!B7&amp;" in "&amp;Input!C7&amp;" ("&amp;Input!D7&amp;")"</f>
        <v>Results for SWAE in 2018/19 (no data version)</v>
      </c>
    </row>
    <row r="3" spans="1:5" ht="21" customHeight="1" x14ac:dyDescent="0.3">
      <c r="A3" s="1" t="s">
        <v>495</v>
      </c>
    </row>
    <row r="4" spans="1:5" x14ac:dyDescent="0.25">
      <c r="A4" s="2" t="s">
        <v>197</v>
      </c>
    </row>
    <row r="5" spans="1:5" x14ac:dyDescent="0.25">
      <c r="A5" s="21" t="s">
        <v>496</v>
      </c>
    </row>
    <row r="6" spans="1:5" x14ac:dyDescent="0.25">
      <c r="A6" s="21" t="s">
        <v>497</v>
      </c>
    </row>
    <row r="7" spans="1:5" x14ac:dyDescent="0.25">
      <c r="A7" s="21" t="s">
        <v>498</v>
      </c>
    </row>
    <row r="8" spans="1:5" x14ac:dyDescent="0.25">
      <c r="A8" s="21" t="s">
        <v>499</v>
      </c>
    </row>
    <row r="9" spans="1:5" x14ac:dyDescent="0.25">
      <c r="A9" s="21" t="s">
        <v>500</v>
      </c>
    </row>
    <row r="10" spans="1:5" x14ac:dyDescent="0.25">
      <c r="A10" s="21" t="s">
        <v>501</v>
      </c>
    </row>
    <row r="11" spans="1:5" x14ac:dyDescent="0.25">
      <c r="A11" s="21" t="s">
        <v>502</v>
      </c>
    </row>
    <row r="12" spans="1:5" x14ac:dyDescent="0.25">
      <c r="A12" s="21" t="s">
        <v>503</v>
      </c>
    </row>
    <row r="13" spans="1:5" x14ac:dyDescent="0.25">
      <c r="A13" s="23" t="s">
        <v>204</v>
      </c>
      <c r="B13" s="23" t="s">
        <v>221</v>
      </c>
      <c r="C13" s="23" t="s">
        <v>221</v>
      </c>
      <c r="D13" s="23" t="s">
        <v>221</v>
      </c>
      <c r="E13" s="23" t="s">
        <v>221</v>
      </c>
    </row>
    <row r="14" spans="1:5" ht="30" x14ac:dyDescent="0.25">
      <c r="A14" s="23" t="s">
        <v>207</v>
      </c>
      <c r="B14" s="23" t="s">
        <v>504</v>
      </c>
      <c r="C14" s="23" t="s">
        <v>505</v>
      </c>
      <c r="D14" s="23" t="s">
        <v>506</v>
      </c>
      <c r="E14" s="23" t="s">
        <v>507</v>
      </c>
    </row>
    <row r="16" spans="1:5" x14ac:dyDescent="0.25">
      <c r="B16" s="15" t="s">
        <v>508</v>
      </c>
      <c r="C16" s="15" t="s">
        <v>509</v>
      </c>
      <c r="D16" s="15" t="s">
        <v>510</v>
      </c>
      <c r="E16" s="15" t="s">
        <v>511</v>
      </c>
    </row>
    <row r="17" spans="1:6" x14ac:dyDescent="0.25">
      <c r="A17" s="4" t="s">
        <v>512</v>
      </c>
      <c r="B17" s="30">
        <f>CDCM!$B812+CDCM!C812*(1-Input!$B13*CDCM!$B887)</f>
        <v>0.32652035190970308</v>
      </c>
      <c r="C17" s="30">
        <f>CDCM!$B812+CDCM!C812+CDCM!$D812+CDCM!$E812*(1-Input!$B19*CDCM!$C887)</f>
        <v>0.63696517951604736</v>
      </c>
      <c r="D17" s="30">
        <f>(CDCM!$D812+CDCM!$E812*(1-Input!$B19*CDCM!$C887))/(1-CDCM!C812-CDCM!$B812)</f>
        <v>0.44423374225997514</v>
      </c>
      <c r="E17" s="30">
        <f>CDCM!E812*(1-Input!$B19*CDCM!$C887)/(1-CDCM!$B812-CDCM!$C812-CDCM!$D812)</f>
        <v>0.32994932311782349</v>
      </c>
      <c r="F17" s="17"/>
    </row>
    <row r="19" spans="1:6" ht="21" customHeight="1" x14ac:dyDescent="0.3">
      <c r="A19" s="1" t="s">
        <v>513</v>
      </c>
    </row>
    <row r="20" spans="1:6" x14ac:dyDescent="0.25">
      <c r="A20" s="2" t="s">
        <v>197</v>
      </c>
    </row>
    <row r="21" spans="1:6" x14ac:dyDescent="0.25">
      <c r="A21" s="21" t="s">
        <v>514</v>
      </c>
    </row>
    <row r="22" spans="1:6" x14ac:dyDescent="0.25">
      <c r="A22" s="23" t="s">
        <v>204</v>
      </c>
      <c r="B22" s="23" t="s">
        <v>515</v>
      </c>
      <c r="C22" s="23" t="s">
        <v>515</v>
      </c>
      <c r="D22" s="23" t="s">
        <v>515</v>
      </c>
      <c r="E22" s="23" t="s">
        <v>515</v>
      </c>
    </row>
    <row r="23" spans="1:6" x14ac:dyDescent="0.25">
      <c r="A23" s="23" t="s">
        <v>207</v>
      </c>
      <c r="B23" s="23" t="s">
        <v>516</v>
      </c>
      <c r="C23" s="23" t="s">
        <v>516</v>
      </c>
      <c r="D23" s="23" t="s">
        <v>516</v>
      </c>
      <c r="E23" s="23" t="s">
        <v>516</v>
      </c>
    </row>
    <row r="25" spans="1:6" ht="30" x14ac:dyDescent="0.25">
      <c r="B25" s="15" t="s">
        <v>517</v>
      </c>
      <c r="C25" s="15" t="s">
        <v>518</v>
      </c>
      <c r="D25" s="15" t="s">
        <v>519</v>
      </c>
      <c r="E25" s="15" t="s">
        <v>520</v>
      </c>
    </row>
    <row r="26" spans="1:6" x14ac:dyDescent="0.25">
      <c r="A26" s="4" t="s">
        <v>521</v>
      </c>
      <c r="B26" s="32">
        <f>EDCM!B546</f>
        <v>0.97196544831438059</v>
      </c>
      <c r="C26" s="32">
        <f>EDCM!B547</f>
        <v>0.9579657855900191</v>
      </c>
      <c r="D26" s="32">
        <f>EDCM!B548</f>
        <v>0.95002536280867567</v>
      </c>
      <c r="E26" s="32">
        <f>EDCM!B549</f>
        <v>0.89061087668714711</v>
      </c>
      <c r="F26" s="17"/>
    </row>
    <row r="27" spans="1:6" x14ac:dyDescent="0.25">
      <c r="A27" s="4" t="s">
        <v>522</v>
      </c>
      <c r="B27" s="32">
        <f>EDCM!B542</f>
        <v>0.90322578422479161</v>
      </c>
      <c r="C27" s="32">
        <f>EDCM!B543</f>
        <v>0.85489947615821893</v>
      </c>
      <c r="D27" s="32">
        <f>EDCM!B544</f>
        <v>0.82748943599758806</v>
      </c>
      <c r="E27" s="32">
        <f>EDCM!B545</f>
        <v>0.62239286928318838</v>
      </c>
      <c r="F27" s="17"/>
    </row>
    <row r="28" spans="1:6" x14ac:dyDescent="0.25">
      <c r="A28" s="4" t="s">
        <v>523</v>
      </c>
      <c r="B28" s="32">
        <f>EDCM!B538</f>
        <v>0.82878135123458452</v>
      </c>
      <c r="C28" s="32">
        <f>EDCM!B539</f>
        <v>0.74327959748025951</v>
      </c>
      <c r="D28" s="32">
        <f>EDCM!B540</f>
        <v>0.69478413821649909</v>
      </c>
      <c r="E28" s="32">
        <f>EDCM!B541</f>
        <v>0.33191519902679489</v>
      </c>
      <c r="F28" s="17"/>
    </row>
    <row r="29" spans="1:6" x14ac:dyDescent="0.25">
      <c r="A29" s="4" t="s">
        <v>524</v>
      </c>
      <c r="B29" s="32">
        <f>EDCM!B534</f>
        <v>0.79564462636478728</v>
      </c>
      <c r="C29" s="32">
        <f>EDCM!B535</f>
        <v>0.69359532880917918</v>
      </c>
      <c r="D29" s="32">
        <f>EDCM!B536</f>
        <v>0.6357143224531776</v>
      </c>
      <c r="E29" s="32">
        <f>EDCM!B537</f>
        <v>0.20261770486263098</v>
      </c>
      <c r="F29" s="17"/>
    </row>
    <row r="30" spans="1:6" x14ac:dyDescent="0.25">
      <c r="A30" s="4" t="s">
        <v>525</v>
      </c>
      <c r="B30" s="32">
        <f>EDCM!B530</f>
        <v>0.74371719201514574</v>
      </c>
      <c r="C30" s="32">
        <f>EDCM!B531</f>
        <v>0.61573680145727971</v>
      </c>
      <c r="D30" s="32">
        <f>EDCM!B532</f>
        <v>0.5431480235160413</v>
      </c>
      <c r="E30" s="32">
        <f>EDCM!B533</f>
        <v>0</v>
      </c>
      <c r="F30" s="17"/>
    </row>
  </sheetData>
  <hyperlinks>
    <hyperlink ref="A5" location="'CDCM'!B811" display="x1 = 1442. LV services allocation (in Allocations to network levels)"/>
    <hyperlink ref="A6" location="'CDCM'!C811" display="x2 = 1442. LV mains allocation (in Allocations to network levels)"/>
    <hyperlink ref="A7" location="'Input'!B12" display="x3 = 1301. DNO LV mains usage"/>
    <hyperlink ref="A8" location="'CDCM'!B886" display="x4 = 1447. LV direct proportion (in HV and LV direct cost proportions)"/>
    <hyperlink ref="A9" location="'CDCM'!D811" display="x5 = 1442. HV/LV allocation (in Allocations to network levels)"/>
    <hyperlink ref="A10" location="'CDCM'!E811" display="x6 = 1442. HV allocation (in Allocations to network levels)"/>
    <hyperlink ref="A11" location="'Input'!B18" display="x7 = 1302. DNO HV mains usage"/>
    <hyperlink ref="A12" location="'CDCM'!C886" display="x8 = 1447. HV direct proportion (in HV and LV direct cost proportions)"/>
    <hyperlink ref="A21" location="'EDCM'!B529" display="x1 = 1526. LDNO discounts (EDCM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27</DocumentCategory>
    <DateLastActivated1 xmlns="c7312139-f4c2-453d-a4c8-c631b6303d87">2016-11-28T17:33:33+00:00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2016-11-28T00:00:00+00:00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 xsi:nil="true"/>
    <Archived xmlns="c7312139-f4c2-453d-a4c8-c631b6303d87">false</Archived>
    <SQLID xmlns="c7312139-f4c2-453d-a4c8-c631b6303d87" xsi:nil="true"/>
  </documentManagement>
</p:properties>
</file>

<file path=customXml/itemProps1.xml><?xml version="1.0" encoding="utf-8"?>
<ds:datastoreItem xmlns:ds="http://schemas.openxmlformats.org/officeDocument/2006/customXml" ds:itemID="{10A9DCE1-9752-4988-A8DA-90BDC4325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4B63C-8412-47ED-B76E-CB283842354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46A1642-3F46-4EE2-A161-CD03F5AC4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0539D8F-77EA-40EB-9515-0F99BF51828C}">
  <ds:schemaRefs>
    <ds:schemaRef ds:uri="http://schemas.microsoft.com/office/2006/metadata/properties"/>
    <ds:schemaRef ds:uri="http://schemas.microsoft.com/office/infopath/2007/PartnerControls"/>
    <ds:schemaRef ds:uri="c7312139-f4c2-453d-a4c8-c631b6303d87"/>
    <ds:schemaRef ds:uri="830862f3-40c2-43d5-9778-1909aaa95b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Input</vt:lpstr>
      <vt:lpstr>CDCM</vt:lpstr>
      <vt:lpstr>EDCM</vt:lpstr>
      <vt:lpstr>Results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Method M Model_DCP 234_01 April 2018 Pre-Release</dc:title>
  <dc:creator/>
  <cp:lastModifiedBy>Wornell, Dave I.</cp:lastModifiedBy>
  <dcterms:created xsi:type="dcterms:W3CDTF">2016-05-16T11:48:53Z</dcterms:created>
  <dcterms:modified xsi:type="dcterms:W3CDTF">2016-12-13T16:09:02Z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  <property fmtid="{D5CDD505-2E9C-101B-9397-08002B2CF9AE}" pid="3" name="SV_QUERY_LIST_4F35BF76-6C0D-4D9B-82B2-816C12CF3733">
    <vt:lpwstr>empty_477D106A-C0D6-4607-AEBD-E2C9D60EA279</vt:lpwstr>
  </property>
</Properties>
</file>