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19440" windowHeight="15600" tabRatio="735" firstSheet="19" activeTab="26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9" l="1"/>
  <c r="E110" i="19"/>
  <c r="E141" i="19"/>
  <c r="E145" i="19"/>
  <c r="G67" i="16"/>
  <c r="I41" i="16"/>
  <c r="K41" i="16"/>
  <c r="I40" i="16"/>
  <c r="K40" i="16"/>
  <c r="I39" i="16"/>
  <c r="K39" i="16"/>
  <c r="I38" i="16"/>
  <c r="K38" i="16"/>
  <c r="G34" i="16"/>
  <c r="H15" i="16"/>
  <c r="H19" i="16"/>
  <c r="H23" i="16"/>
  <c r="H25" i="16"/>
  <c r="G89" i="15"/>
  <c r="F89" i="15"/>
  <c r="E82" i="15"/>
  <c r="E83" i="15"/>
  <c r="E84" i="15"/>
  <c r="E85" i="15"/>
  <c r="E86" i="15"/>
  <c r="E87" i="15"/>
  <c r="E88" i="15"/>
  <c r="E89" i="15"/>
  <c r="I62" i="15"/>
  <c r="I63" i="15"/>
  <c r="I64" i="15"/>
  <c r="I65" i="15"/>
  <c r="I66" i="15"/>
  <c r="I67" i="15"/>
  <c r="I68" i="15"/>
  <c r="I69" i="15"/>
  <c r="I70" i="15"/>
  <c r="I71" i="15"/>
  <c r="E56" i="15"/>
  <c r="F56" i="15"/>
  <c r="G56" i="15"/>
  <c r="E75" i="15"/>
  <c r="E77" i="15"/>
  <c r="I72" i="15"/>
  <c r="I73" i="15"/>
  <c r="H71" i="15"/>
  <c r="H73" i="15"/>
  <c r="G71" i="15"/>
  <c r="G73" i="15"/>
  <c r="F71" i="15"/>
  <c r="F73" i="15"/>
  <c r="E71" i="15"/>
  <c r="E73" i="15"/>
  <c r="E58" i="15"/>
  <c r="F58" i="15"/>
  <c r="G58" i="15"/>
  <c r="G57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E21" i="15"/>
  <c r="E23" i="15"/>
  <c r="E25" i="15"/>
  <c r="F21" i="15"/>
  <c r="F23" i="15"/>
  <c r="F25" i="15"/>
  <c r="G21" i="15"/>
  <c r="G23" i="15"/>
  <c r="G25" i="15"/>
  <c r="H21" i="15"/>
  <c r="H23" i="15"/>
  <c r="H25" i="15"/>
  <c r="I21" i="15"/>
  <c r="I23" i="15"/>
  <c r="I25" i="15"/>
  <c r="J21" i="15"/>
  <c r="J23" i="15"/>
  <c r="J25" i="15"/>
  <c r="K21" i="15"/>
  <c r="K23" i="15"/>
  <c r="K25" i="15"/>
  <c r="L25" i="15"/>
  <c r="L24" i="15"/>
  <c r="L23" i="15"/>
  <c r="L22" i="15"/>
  <c r="L11" i="15"/>
  <c r="L12" i="15"/>
  <c r="L13" i="15"/>
  <c r="L14" i="15"/>
  <c r="L15" i="15"/>
  <c r="L16" i="15"/>
  <c r="L17" i="15"/>
  <c r="L18" i="15"/>
  <c r="L19" i="15"/>
  <c r="L20" i="15"/>
  <c r="L21" i="15"/>
  <c r="L10" i="15"/>
  <c r="G48" i="14"/>
  <c r="K40" i="14"/>
  <c r="I40" i="14"/>
  <c r="K34" i="14"/>
  <c r="I34" i="14"/>
  <c r="G11" i="14"/>
  <c r="G13" i="14"/>
  <c r="G14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30" i="14"/>
  <c r="G31" i="14"/>
  <c r="G33" i="14"/>
  <c r="G34" i="14"/>
  <c r="F34" i="14"/>
  <c r="E34" i="14"/>
  <c r="V137" i="10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M134" i="10"/>
  <c r="L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S129" i="10"/>
  <c r="P129" i="10"/>
  <c r="N129" i="10"/>
  <c r="M129" i="10"/>
  <c r="L129" i="10"/>
  <c r="K125" i="10"/>
  <c r="K126" i="10"/>
  <c r="K127" i="10"/>
  <c r="K128" i="10"/>
  <c r="K129" i="10"/>
  <c r="H129" i="10"/>
  <c r="F129" i="10"/>
  <c r="E129" i="10"/>
  <c r="D129" i="10"/>
  <c r="C125" i="10"/>
  <c r="C126" i="10"/>
  <c r="C127" i="10"/>
  <c r="C128" i="10"/>
  <c r="C129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09" i="10"/>
  <c r="S110" i="10"/>
  <c r="S111" i="10"/>
  <c r="P111" i="10"/>
  <c r="O111" i="10"/>
  <c r="N111" i="10"/>
  <c r="M111" i="10"/>
  <c r="L111" i="10"/>
  <c r="K107" i="10"/>
  <c r="K108" i="10"/>
  <c r="K109" i="10"/>
  <c r="K110" i="10"/>
  <c r="K111" i="10"/>
  <c r="H111" i="10"/>
  <c r="G111" i="10"/>
  <c r="F111" i="10"/>
  <c r="E111" i="10"/>
  <c r="D111" i="10"/>
  <c r="C107" i="10"/>
  <c r="C108" i="10"/>
  <c r="C109" i="10"/>
  <c r="C110" i="10"/>
  <c r="C111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H101" i="10"/>
  <c r="G101" i="10"/>
  <c r="F101" i="10"/>
  <c r="E101" i="10"/>
  <c r="D97" i="10"/>
  <c r="D98" i="10"/>
  <c r="D99" i="10"/>
  <c r="D100" i="10"/>
  <c r="D101" i="10"/>
  <c r="C97" i="10"/>
  <c r="C98" i="10"/>
  <c r="C99" i="10"/>
  <c r="C100" i="10"/>
  <c r="C101" i="10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S83" i="10"/>
  <c r="P83" i="10"/>
  <c r="O83" i="10"/>
  <c r="N83" i="10"/>
  <c r="M83" i="10"/>
  <c r="L83" i="10"/>
  <c r="K79" i="10"/>
  <c r="K80" i="10"/>
  <c r="K81" i="10"/>
  <c r="K82" i="10"/>
  <c r="K83" i="10"/>
  <c r="H83" i="10"/>
  <c r="G83" i="10"/>
  <c r="F83" i="10"/>
  <c r="E83" i="10"/>
  <c r="D83" i="10"/>
  <c r="C83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S65" i="10"/>
  <c r="P65" i="10"/>
  <c r="O65" i="10"/>
  <c r="N65" i="10"/>
  <c r="M65" i="10"/>
  <c r="L65" i="10"/>
  <c r="K61" i="10"/>
  <c r="K62" i="10"/>
  <c r="K63" i="10"/>
  <c r="K64" i="10"/>
  <c r="K65" i="10"/>
  <c r="H65" i="10"/>
  <c r="G65" i="10"/>
  <c r="F65" i="10"/>
  <c r="E65" i="10"/>
  <c r="D65" i="10"/>
  <c r="C61" i="10"/>
  <c r="C62" i="10"/>
  <c r="C63" i="10"/>
  <c r="C64" i="10"/>
  <c r="C65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H55" i="10"/>
  <c r="G55" i="10"/>
  <c r="F55" i="10"/>
  <c r="E55" i="10"/>
  <c r="D51" i="10"/>
  <c r="D52" i="10"/>
  <c r="D53" i="10"/>
  <c r="D54" i="10"/>
  <c r="D55" i="10"/>
  <c r="C51" i="10"/>
  <c r="C52" i="10"/>
  <c r="C53" i="10"/>
  <c r="C54" i="10"/>
  <c r="C55" i="10"/>
  <c r="M46" i="10"/>
  <c r="L46" i="10"/>
  <c r="K46" i="10"/>
  <c r="J46" i="10"/>
  <c r="I46" i="10"/>
  <c r="H46" i="10"/>
  <c r="G46" i="10"/>
  <c r="F46" i="10"/>
  <c r="E46" i="10"/>
  <c r="D46" i="10"/>
  <c r="M37" i="10"/>
  <c r="L37" i="10"/>
  <c r="K37" i="10"/>
  <c r="J37" i="10"/>
  <c r="I37" i="10"/>
  <c r="H37" i="10"/>
  <c r="G37" i="10"/>
  <c r="F37" i="10"/>
  <c r="E37" i="10"/>
  <c r="D37" i="10"/>
  <c r="M25" i="10"/>
  <c r="L25" i="10"/>
  <c r="K25" i="10"/>
  <c r="J25" i="10"/>
  <c r="I25" i="10"/>
  <c r="H25" i="10"/>
  <c r="G25" i="10"/>
  <c r="F25" i="10"/>
  <c r="E25" i="10"/>
  <c r="D25" i="10"/>
  <c r="Q153" i="9"/>
  <c r="T153" i="9"/>
  <c r="S153" i="9"/>
  <c r="P153" i="9"/>
  <c r="O153" i="9"/>
  <c r="Q152" i="9"/>
  <c r="T152" i="9"/>
  <c r="S152" i="9"/>
  <c r="P152" i="9"/>
  <c r="O152" i="9"/>
  <c r="Q151" i="9"/>
  <c r="T151" i="9"/>
  <c r="S151" i="9"/>
  <c r="P151" i="9"/>
  <c r="O151" i="9"/>
  <c r="Q148" i="9"/>
  <c r="T148" i="9"/>
  <c r="S148" i="9"/>
  <c r="P148" i="9"/>
  <c r="O148" i="9"/>
  <c r="Q147" i="9"/>
  <c r="T147" i="9"/>
  <c r="S147" i="9"/>
  <c r="P147" i="9"/>
  <c r="O147" i="9"/>
  <c r="Q146" i="9"/>
  <c r="T146" i="9"/>
  <c r="S146" i="9"/>
  <c r="P146" i="9"/>
  <c r="O146" i="9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M39" i="7"/>
  <c r="L39" i="7"/>
  <c r="M38" i="7"/>
  <c r="L38" i="7"/>
  <c r="M35" i="7"/>
  <c r="M37" i="7"/>
  <c r="L35" i="7"/>
  <c r="L37" i="7"/>
  <c r="K37" i="7"/>
  <c r="J37" i="7"/>
  <c r="I37" i="7"/>
  <c r="H37" i="7"/>
  <c r="G37" i="7"/>
  <c r="F37" i="7"/>
  <c r="E37" i="7"/>
  <c r="D37" i="7"/>
  <c r="M36" i="7"/>
  <c r="L36" i="7"/>
  <c r="M34" i="7"/>
  <c r="L34" i="7"/>
  <c r="M27" i="7"/>
  <c r="M29" i="7"/>
  <c r="L27" i="7"/>
  <c r="L29" i="7"/>
  <c r="K29" i="7"/>
  <c r="J29" i="7"/>
  <c r="I29" i="7"/>
  <c r="H29" i="7"/>
  <c r="G29" i="7"/>
  <c r="F29" i="7"/>
  <c r="E29" i="7"/>
  <c r="D29" i="7"/>
  <c r="M28" i="7"/>
  <c r="L28" i="7"/>
  <c r="M26" i="7"/>
  <c r="L26" i="7"/>
  <c r="Q19" i="7"/>
  <c r="T19" i="7"/>
  <c r="S19" i="7"/>
  <c r="P19" i="7"/>
  <c r="O19" i="7"/>
  <c r="Q18" i="7"/>
  <c r="T18" i="7"/>
  <c r="S18" i="7"/>
  <c r="P18" i="7"/>
  <c r="O18" i="7"/>
  <c r="Q16" i="7"/>
  <c r="S16" i="7"/>
  <c r="T16" i="7"/>
  <c r="P16" i="7"/>
  <c r="O16" i="7"/>
  <c r="Q15" i="7"/>
  <c r="T15" i="7"/>
  <c r="S15" i="7"/>
  <c r="P15" i="7"/>
  <c r="O15" i="7"/>
  <c r="Q14" i="7"/>
  <c r="S14" i="7"/>
  <c r="T14" i="7"/>
  <c r="P14" i="7"/>
  <c r="O14" i="7"/>
  <c r="Q13" i="7"/>
  <c r="S13" i="7"/>
  <c r="T13" i="7"/>
  <c r="P13" i="7"/>
  <c r="O13" i="7"/>
  <c r="Q12" i="7"/>
  <c r="S12" i="7"/>
  <c r="T12" i="7"/>
  <c r="P12" i="7"/>
  <c r="O12" i="7"/>
  <c r="Q11" i="7"/>
  <c r="S11" i="7"/>
  <c r="T11" i="7"/>
  <c r="P11" i="7"/>
  <c r="O11" i="7"/>
  <c r="D240" i="6"/>
  <c r="E240" i="6"/>
  <c r="F240" i="6"/>
  <c r="G240" i="6"/>
  <c r="H240" i="6"/>
  <c r="I227" i="6"/>
  <c r="I231" i="6"/>
  <c r="I235" i="6"/>
  <c r="I239" i="6"/>
  <c r="I240" i="6"/>
  <c r="J227" i="6"/>
  <c r="J231" i="6"/>
  <c r="J235" i="6"/>
  <c r="J239" i="6"/>
  <c r="J240" i="6"/>
  <c r="K227" i="6"/>
  <c r="K231" i="6"/>
  <c r="K235" i="6"/>
  <c r="K239" i="6"/>
  <c r="K240" i="6"/>
  <c r="L227" i="6"/>
  <c r="L231" i="6"/>
  <c r="L235" i="6"/>
  <c r="L239" i="6"/>
  <c r="L240" i="6"/>
  <c r="M227" i="6"/>
  <c r="M231" i="6"/>
  <c r="M235" i="6"/>
  <c r="M239" i="6"/>
  <c r="M240" i="6"/>
  <c r="D263" i="6"/>
  <c r="E263" i="6"/>
  <c r="F263" i="6"/>
  <c r="G263" i="6"/>
  <c r="H263" i="6"/>
  <c r="I250" i="6"/>
  <c r="I254" i="6"/>
  <c r="I258" i="6"/>
  <c r="I262" i="6"/>
  <c r="I263" i="6"/>
  <c r="J250" i="6"/>
  <c r="J254" i="6"/>
  <c r="J258" i="6"/>
  <c r="J262" i="6"/>
  <c r="J263" i="6"/>
  <c r="K250" i="6"/>
  <c r="K254" i="6"/>
  <c r="K258" i="6"/>
  <c r="K262" i="6"/>
  <c r="K263" i="6"/>
  <c r="L250" i="6"/>
  <c r="L254" i="6"/>
  <c r="L258" i="6"/>
  <c r="L262" i="6"/>
  <c r="L263" i="6"/>
  <c r="M250" i="6"/>
  <c r="M254" i="6"/>
  <c r="M258" i="6"/>
  <c r="M262" i="6"/>
  <c r="M263" i="6"/>
  <c r="D266" i="6"/>
  <c r="Q250" i="6"/>
  <c r="Q254" i="6"/>
  <c r="Q258" i="6"/>
  <c r="Q262" i="6"/>
  <c r="Q263" i="6"/>
  <c r="T263" i="6"/>
  <c r="S250" i="6"/>
  <c r="S254" i="6"/>
  <c r="S258" i="6"/>
  <c r="S262" i="6"/>
  <c r="S263" i="6"/>
  <c r="P250" i="6"/>
  <c r="P254" i="6"/>
  <c r="P258" i="6"/>
  <c r="P262" i="6"/>
  <c r="P263" i="6"/>
  <c r="O250" i="6"/>
  <c r="O254" i="6"/>
  <c r="O258" i="6"/>
  <c r="O262" i="6"/>
  <c r="O263" i="6"/>
  <c r="T262" i="6"/>
  <c r="T258" i="6"/>
  <c r="T254" i="6"/>
  <c r="T250" i="6"/>
  <c r="Q227" i="6"/>
  <c r="Q231" i="6"/>
  <c r="Q235" i="6"/>
  <c r="Q239" i="6"/>
  <c r="Q240" i="6"/>
  <c r="T240" i="6"/>
  <c r="S227" i="6"/>
  <c r="S231" i="6"/>
  <c r="S235" i="6"/>
  <c r="S239" i="6"/>
  <c r="S240" i="6"/>
  <c r="P227" i="6"/>
  <c r="P231" i="6"/>
  <c r="P235" i="6"/>
  <c r="P239" i="6"/>
  <c r="P240" i="6"/>
  <c r="O227" i="6"/>
  <c r="O231" i="6"/>
  <c r="O235" i="6"/>
  <c r="O239" i="6"/>
  <c r="O240" i="6"/>
  <c r="T239" i="6"/>
  <c r="T235" i="6"/>
  <c r="T231" i="6"/>
  <c r="T227" i="6"/>
  <c r="Q192" i="6"/>
  <c r="Q200" i="6"/>
  <c r="Q208" i="6"/>
  <c r="Q216" i="6"/>
  <c r="Q217" i="6"/>
  <c r="T217" i="6"/>
  <c r="I192" i="6"/>
  <c r="J192" i="6"/>
  <c r="K192" i="6"/>
  <c r="L192" i="6"/>
  <c r="M192" i="6"/>
  <c r="S192" i="6"/>
  <c r="I200" i="6"/>
  <c r="J200" i="6"/>
  <c r="K200" i="6"/>
  <c r="L200" i="6"/>
  <c r="M200" i="6"/>
  <c r="S200" i="6"/>
  <c r="I208" i="6"/>
  <c r="J208" i="6"/>
  <c r="K208" i="6"/>
  <c r="L208" i="6"/>
  <c r="M208" i="6"/>
  <c r="S208" i="6"/>
  <c r="I216" i="6"/>
  <c r="J216" i="6"/>
  <c r="K216" i="6"/>
  <c r="L216" i="6"/>
  <c r="M216" i="6"/>
  <c r="S216" i="6"/>
  <c r="S217" i="6"/>
  <c r="P192" i="6"/>
  <c r="P200" i="6"/>
  <c r="P208" i="6"/>
  <c r="P216" i="6"/>
  <c r="P217" i="6"/>
  <c r="O192" i="6"/>
  <c r="O200" i="6"/>
  <c r="O208" i="6"/>
  <c r="O216" i="6"/>
  <c r="O217" i="6"/>
  <c r="M217" i="6"/>
  <c r="L217" i="6"/>
  <c r="K217" i="6"/>
  <c r="J217" i="6"/>
  <c r="I217" i="6"/>
  <c r="H217" i="6"/>
  <c r="G217" i="6"/>
  <c r="F217" i="6"/>
  <c r="E217" i="6"/>
  <c r="D217" i="6"/>
  <c r="T216" i="6"/>
  <c r="M215" i="6"/>
  <c r="L215" i="6"/>
  <c r="K215" i="6"/>
  <c r="J215" i="6"/>
  <c r="I215" i="6"/>
  <c r="M212" i="6"/>
  <c r="L212" i="6"/>
  <c r="K212" i="6"/>
  <c r="J212" i="6"/>
  <c r="I212" i="6"/>
  <c r="T208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Q161" i="6"/>
  <c r="Q169" i="6"/>
  <c r="Q177" i="6"/>
  <c r="Q178" i="6"/>
  <c r="T178" i="6"/>
  <c r="I153" i="6"/>
  <c r="J153" i="6"/>
  <c r="K153" i="6"/>
  <c r="L153" i="6"/>
  <c r="M153" i="6"/>
  <c r="S153" i="6"/>
  <c r="I161" i="6"/>
  <c r="J161" i="6"/>
  <c r="K161" i="6"/>
  <c r="L161" i="6"/>
  <c r="M161" i="6"/>
  <c r="S161" i="6"/>
  <c r="I169" i="6"/>
  <c r="J169" i="6"/>
  <c r="K169" i="6"/>
  <c r="L169" i="6"/>
  <c r="M169" i="6"/>
  <c r="S169" i="6"/>
  <c r="I177" i="6"/>
  <c r="J177" i="6"/>
  <c r="K177" i="6"/>
  <c r="L177" i="6"/>
  <c r="M177" i="6"/>
  <c r="S177" i="6"/>
  <c r="S178" i="6"/>
  <c r="P153" i="6"/>
  <c r="P161" i="6"/>
  <c r="P169" i="6"/>
  <c r="P177" i="6"/>
  <c r="P178" i="6"/>
  <c r="O153" i="6"/>
  <c r="O161" i="6"/>
  <c r="O169" i="6"/>
  <c r="O177" i="6"/>
  <c r="O178" i="6"/>
  <c r="M178" i="6"/>
  <c r="L178" i="6"/>
  <c r="K178" i="6"/>
  <c r="J178" i="6"/>
  <c r="I178" i="6"/>
  <c r="H178" i="6"/>
  <c r="G178" i="6"/>
  <c r="F178" i="6"/>
  <c r="E178" i="6"/>
  <c r="D178" i="6"/>
  <c r="T177" i="6"/>
  <c r="M176" i="6"/>
  <c r="L176" i="6"/>
  <c r="K176" i="6"/>
  <c r="J176" i="6"/>
  <c r="I176" i="6"/>
  <c r="M173" i="6"/>
  <c r="L173" i="6"/>
  <c r="K173" i="6"/>
  <c r="J173" i="6"/>
  <c r="I173" i="6"/>
  <c r="T169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T153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136" i="6"/>
  <c r="M137" i="6"/>
  <c r="L118" i="6"/>
  <c r="L124" i="6"/>
  <c r="L130" i="6"/>
  <c r="L136" i="6"/>
  <c r="L137" i="6"/>
  <c r="K118" i="6"/>
  <c r="K124" i="6"/>
  <c r="K130" i="6"/>
  <c r="K136" i="6"/>
  <c r="K137" i="6"/>
  <c r="J118" i="6"/>
  <c r="J124" i="6"/>
  <c r="J130" i="6"/>
  <c r="J136" i="6"/>
  <c r="J137" i="6"/>
  <c r="I118" i="6"/>
  <c r="I124" i="6"/>
  <c r="I130" i="6"/>
  <c r="I136" i="6"/>
  <c r="I137" i="6"/>
  <c r="H137" i="6"/>
  <c r="G137" i="6"/>
  <c r="F137" i="6"/>
  <c r="E137" i="6"/>
  <c r="D137" i="6"/>
  <c r="M87" i="6"/>
  <c r="M93" i="6"/>
  <c r="M99" i="6"/>
  <c r="M105" i="6"/>
  <c r="M106" i="6"/>
  <c r="L87" i="6"/>
  <c r="L93" i="6"/>
  <c r="L99" i="6"/>
  <c r="L105" i="6"/>
  <c r="L106" i="6"/>
  <c r="K87" i="6"/>
  <c r="K93" i="6"/>
  <c r="K99" i="6"/>
  <c r="K105" i="6"/>
  <c r="K106" i="6"/>
  <c r="J87" i="6"/>
  <c r="J93" i="6"/>
  <c r="J99" i="6"/>
  <c r="J105" i="6"/>
  <c r="J106" i="6"/>
  <c r="I87" i="6"/>
  <c r="I93" i="6"/>
  <c r="I99" i="6"/>
  <c r="I105" i="6"/>
  <c r="I106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M75" i="6"/>
  <c r="L52" i="6"/>
  <c r="L53" i="6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L75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K75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J75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I75" i="6"/>
  <c r="H52" i="6"/>
  <c r="H53" i="6"/>
  <c r="H58" i="6"/>
  <c r="H59" i="6"/>
  <c r="H64" i="6"/>
  <c r="H65" i="6"/>
  <c r="H70" i="6"/>
  <c r="H71" i="6"/>
  <c r="H75" i="6"/>
  <c r="G52" i="6"/>
  <c r="G53" i="6"/>
  <c r="G58" i="6"/>
  <c r="G59" i="6"/>
  <c r="G64" i="6"/>
  <c r="G65" i="6"/>
  <c r="G70" i="6"/>
  <c r="G71" i="6"/>
  <c r="G75" i="6"/>
  <c r="F52" i="6"/>
  <c r="F53" i="6"/>
  <c r="F58" i="6"/>
  <c r="F59" i="6"/>
  <c r="F64" i="6"/>
  <c r="F65" i="6"/>
  <c r="F70" i="6"/>
  <c r="F71" i="6"/>
  <c r="F75" i="6"/>
  <c r="E52" i="6"/>
  <c r="E53" i="6"/>
  <c r="E58" i="6"/>
  <c r="E59" i="6"/>
  <c r="E64" i="6"/>
  <c r="E65" i="6"/>
  <c r="E70" i="6"/>
  <c r="E71" i="6"/>
  <c r="E75" i="6"/>
  <c r="D52" i="6"/>
  <c r="D53" i="6"/>
  <c r="D58" i="6"/>
  <c r="D59" i="6"/>
  <c r="D64" i="6"/>
  <c r="D65" i="6"/>
  <c r="D70" i="6"/>
  <c r="D71" i="6"/>
  <c r="D75" i="6"/>
  <c r="M74" i="6"/>
  <c r="L74" i="6"/>
  <c r="K74" i="6"/>
  <c r="J74" i="6"/>
  <c r="I74" i="6"/>
  <c r="H74" i="6"/>
  <c r="G74" i="6"/>
  <c r="F74" i="6"/>
  <c r="E74" i="6"/>
  <c r="D74" i="6"/>
  <c r="M68" i="6"/>
  <c r="L68" i="6"/>
  <c r="K68" i="6"/>
  <c r="J68" i="6"/>
  <c r="I68" i="6"/>
  <c r="H68" i="6"/>
  <c r="G68" i="6"/>
  <c r="F68" i="6"/>
  <c r="E68" i="6"/>
  <c r="D68" i="6"/>
  <c r="M62" i="6"/>
  <c r="L62" i="6"/>
  <c r="K62" i="6"/>
  <c r="J62" i="6"/>
  <c r="I62" i="6"/>
  <c r="H62" i="6"/>
  <c r="G62" i="6"/>
  <c r="F62" i="6"/>
  <c r="E62" i="6"/>
  <c r="D62" i="6"/>
  <c r="M56" i="6"/>
  <c r="L56" i="6"/>
  <c r="K56" i="6"/>
  <c r="J56" i="6"/>
  <c r="I56" i="6"/>
  <c r="H56" i="6"/>
  <c r="G56" i="6"/>
  <c r="F56" i="6"/>
  <c r="E56" i="6"/>
  <c r="D56" i="6"/>
  <c r="D43" i="6"/>
  <c r="E43" i="6"/>
  <c r="F43" i="6"/>
  <c r="G43" i="6"/>
  <c r="H43" i="6"/>
  <c r="Q43" i="6"/>
  <c r="T43" i="6"/>
  <c r="I41" i="6"/>
  <c r="I42" i="6"/>
  <c r="I43" i="6"/>
  <c r="J41" i="6"/>
  <c r="J42" i="6"/>
  <c r="J43" i="6"/>
  <c r="K41" i="6"/>
  <c r="K42" i="6"/>
  <c r="K43" i="6"/>
  <c r="L41" i="6"/>
  <c r="L42" i="6"/>
  <c r="L43" i="6"/>
  <c r="M41" i="6"/>
  <c r="M42" i="6"/>
  <c r="M43" i="6"/>
  <c r="S43" i="6"/>
  <c r="P43" i="6"/>
  <c r="O43" i="6"/>
  <c r="D39" i="6"/>
  <c r="E39" i="6"/>
  <c r="F39" i="6"/>
  <c r="G39" i="6"/>
  <c r="H39" i="6"/>
  <c r="Q39" i="6"/>
  <c r="T39" i="6"/>
  <c r="I37" i="6"/>
  <c r="I38" i="6"/>
  <c r="I39" i="6"/>
  <c r="J37" i="6"/>
  <c r="J38" i="6"/>
  <c r="J39" i="6"/>
  <c r="K37" i="6"/>
  <c r="K38" i="6"/>
  <c r="K39" i="6"/>
  <c r="L37" i="6"/>
  <c r="L38" i="6"/>
  <c r="L39" i="6"/>
  <c r="M37" i="6"/>
  <c r="M38" i="6"/>
  <c r="M39" i="6"/>
  <c r="S39" i="6"/>
  <c r="P39" i="6"/>
  <c r="O39" i="6"/>
  <c r="D35" i="6"/>
  <c r="E35" i="6"/>
  <c r="F35" i="6"/>
  <c r="G35" i="6"/>
  <c r="H35" i="6"/>
  <c r="Q35" i="6"/>
  <c r="T35" i="6"/>
  <c r="I33" i="6"/>
  <c r="I34" i="6"/>
  <c r="I35" i="6"/>
  <c r="J33" i="6"/>
  <c r="J34" i="6"/>
  <c r="J35" i="6"/>
  <c r="K33" i="6"/>
  <c r="K34" i="6"/>
  <c r="K35" i="6"/>
  <c r="L33" i="6"/>
  <c r="L34" i="6"/>
  <c r="L35" i="6"/>
  <c r="M33" i="6"/>
  <c r="M34" i="6"/>
  <c r="M35" i="6"/>
  <c r="S35" i="6"/>
  <c r="P35" i="6"/>
  <c r="O35" i="6"/>
  <c r="D31" i="6"/>
  <c r="E31" i="6"/>
  <c r="F31" i="6"/>
  <c r="G31" i="6"/>
  <c r="H31" i="6"/>
  <c r="Q31" i="6"/>
  <c r="T31" i="6"/>
  <c r="I29" i="6"/>
  <c r="I30" i="6"/>
  <c r="I31" i="6"/>
  <c r="J29" i="6"/>
  <c r="J30" i="6"/>
  <c r="J31" i="6"/>
  <c r="K29" i="6"/>
  <c r="K30" i="6"/>
  <c r="K31" i="6"/>
  <c r="L29" i="6"/>
  <c r="L30" i="6"/>
  <c r="L31" i="6"/>
  <c r="M29" i="6"/>
  <c r="M30" i="6"/>
  <c r="M31" i="6"/>
  <c r="S31" i="6"/>
  <c r="P31" i="6"/>
  <c r="O31" i="6"/>
  <c r="D22" i="6"/>
  <c r="E22" i="6"/>
  <c r="F22" i="6"/>
  <c r="G22" i="6"/>
  <c r="H22" i="6"/>
  <c r="Q22" i="6"/>
  <c r="T22" i="6"/>
  <c r="I22" i="6"/>
  <c r="J22" i="6"/>
  <c r="K22" i="6"/>
  <c r="L22" i="6"/>
  <c r="M22" i="6"/>
  <c r="S22" i="6"/>
  <c r="P22" i="6"/>
  <c r="O22" i="6"/>
  <c r="Q21" i="6"/>
  <c r="T21" i="6"/>
  <c r="S21" i="6"/>
  <c r="P21" i="6"/>
  <c r="O21" i="6"/>
  <c r="Q20" i="6"/>
  <c r="T20" i="6"/>
  <c r="S20" i="6"/>
  <c r="P20" i="6"/>
  <c r="O20" i="6"/>
  <c r="M11" i="6"/>
  <c r="M12" i="6"/>
  <c r="M13" i="6"/>
  <c r="M16" i="6"/>
  <c r="L11" i="6"/>
  <c r="L12" i="6"/>
  <c r="L13" i="6"/>
  <c r="L16" i="6"/>
  <c r="K11" i="6"/>
  <c r="K12" i="6"/>
  <c r="K13" i="6"/>
  <c r="K16" i="6"/>
  <c r="J11" i="6"/>
  <c r="J12" i="6"/>
  <c r="J13" i="6"/>
  <c r="J16" i="6"/>
  <c r="I11" i="6"/>
  <c r="I12" i="6"/>
  <c r="I13" i="6"/>
  <c r="I16" i="6"/>
  <c r="H11" i="6"/>
  <c r="H12" i="6"/>
  <c r="H13" i="6"/>
  <c r="H16" i="6"/>
  <c r="G11" i="6"/>
  <c r="G12" i="6"/>
  <c r="G13" i="6"/>
  <c r="G16" i="6"/>
  <c r="F11" i="6"/>
  <c r="F12" i="6"/>
  <c r="F13" i="6"/>
  <c r="F16" i="6"/>
  <c r="E11" i="6"/>
  <c r="E12" i="6"/>
  <c r="E13" i="6"/>
  <c r="E16" i="6"/>
  <c r="D11" i="6"/>
  <c r="D12" i="6"/>
  <c r="D13" i="6"/>
  <c r="D16" i="6"/>
  <c r="D15" i="6"/>
  <c r="E15" i="6"/>
  <c r="F15" i="6"/>
  <c r="G15" i="6"/>
  <c r="H15" i="6"/>
  <c r="Q15" i="6"/>
  <c r="T15" i="6"/>
  <c r="I15" i="6"/>
  <c r="J15" i="6"/>
  <c r="K15" i="6"/>
  <c r="L15" i="6"/>
  <c r="M15" i="6"/>
  <c r="S15" i="6"/>
  <c r="P15" i="6"/>
  <c r="O15" i="6"/>
  <c r="Q14" i="6"/>
  <c r="T14" i="6"/>
  <c r="S14" i="6"/>
  <c r="P14" i="6"/>
  <c r="O14" i="6"/>
  <c r="Q13" i="6"/>
  <c r="T13" i="6"/>
  <c r="S13" i="6"/>
  <c r="P13" i="6"/>
  <c r="O13" i="6"/>
  <c r="Q12" i="6"/>
  <c r="T12" i="6"/>
  <c r="S12" i="6"/>
  <c r="P12" i="6"/>
  <c r="O12" i="6"/>
  <c r="Q11" i="6"/>
  <c r="T11" i="6"/>
  <c r="S11" i="6"/>
  <c r="P11" i="6"/>
  <c r="O11" i="6"/>
  <c r="D10" i="6"/>
  <c r="E10" i="6"/>
  <c r="F10" i="6"/>
  <c r="G10" i="6"/>
  <c r="H10" i="6"/>
  <c r="Q10" i="6"/>
  <c r="T10" i="6"/>
  <c r="I10" i="6"/>
  <c r="J10" i="6"/>
  <c r="K10" i="6"/>
  <c r="L10" i="6"/>
  <c r="M10" i="6"/>
  <c r="S10" i="6"/>
  <c r="P10" i="6"/>
  <c r="O10" i="6"/>
  <c r="F61" i="25"/>
  <c r="F62" i="25"/>
  <c r="F63" i="25"/>
  <c r="F64" i="25"/>
  <c r="F65" i="25"/>
  <c r="F66" i="25"/>
  <c r="P63" i="25"/>
  <c r="P65" i="25"/>
  <c r="D37" i="23"/>
  <c r="I37" i="23"/>
  <c r="P66" i="25"/>
  <c r="P69" i="25"/>
  <c r="O11" i="25"/>
  <c r="D18" i="25"/>
  <c r="O19" i="25"/>
  <c r="D19" i="25"/>
  <c r="O20" i="25"/>
  <c r="D20" i="25"/>
  <c r="O21" i="25"/>
  <c r="D21" i="25"/>
  <c r="S27" i="25"/>
  <c r="O36" i="25"/>
  <c r="O31" i="25"/>
  <c r="O41" i="25"/>
  <c r="P36" i="25"/>
  <c r="P31" i="25"/>
  <c r="P41" i="25"/>
  <c r="Q36" i="25"/>
  <c r="Q31" i="25"/>
  <c r="Q41" i="25"/>
  <c r="R36" i="25"/>
  <c r="R31" i="25"/>
  <c r="R41" i="25"/>
  <c r="S36" i="25"/>
  <c r="S31" i="25"/>
  <c r="S41" i="25"/>
  <c r="N41" i="25"/>
  <c r="O33" i="25"/>
  <c r="O34" i="25"/>
  <c r="P33" i="25"/>
  <c r="P34" i="25"/>
  <c r="Q33" i="25"/>
  <c r="Q34" i="25"/>
  <c r="R33" i="25"/>
  <c r="R34" i="25"/>
  <c r="S33" i="25"/>
  <c r="S34" i="25"/>
  <c r="O35" i="25"/>
  <c r="D10" i="25"/>
  <c r="O16" i="25"/>
  <c r="O18" i="25"/>
  <c r="D12" i="25"/>
  <c r="O22" i="25"/>
  <c r="D13" i="25"/>
  <c r="O23" i="25"/>
  <c r="D14" i="25"/>
  <c r="D15" i="25"/>
  <c r="D22" i="25"/>
  <c r="D23" i="25"/>
  <c r="D24" i="25"/>
  <c r="P11" i="25"/>
  <c r="E18" i="25"/>
  <c r="P19" i="25"/>
  <c r="E19" i="25"/>
  <c r="P20" i="25"/>
  <c r="E20" i="25"/>
  <c r="P21" i="25"/>
  <c r="E21" i="25"/>
  <c r="P35" i="25"/>
  <c r="E10" i="25"/>
  <c r="P16" i="25"/>
  <c r="P18" i="25"/>
  <c r="E12" i="25"/>
  <c r="P22" i="25"/>
  <c r="E13" i="25"/>
  <c r="E15" i="25"/>
  <c r="E22" i="25"/>
  <c r="E23" i="25"/>
  <c r="E24" i="25"/>
  <c r="Q11" i="25"/>
  <c r="G18" i="25"/>
  <c r="Q19" i="25"/>
  <c r="G19" i="25"/>
  <c r="Q20" i="25"/>
  <c r="G20" i="25"/>
  <c r="Q21" i="25"/>
  <c r="G21" i="25"/>
  <c r="Q35" i="25"/>
  <c r="G10" i="25"/>
  <c r="Q16" i="25"/>
  <c r="Q18" i="25"/>
  <c r="G12" i="25"/>
  <c r="Q22" i="25"/>
  <c r="G13" i="25"/>
  <c r="G15" i="25"/>
  <c r="G22" i="25"/>
  <c r="G23" i="25"/>
  <c r="G24" i="25"/>
  <c r="R11" i="25"/>
  <c r="H18" i="25"/>
  <c r="R19" i="25"/>
  <c r="H19" i="25"/>
  <c r="R20" i="25"/>
  <c r="H20" i="25"/>
  <c r="R21" i="25"/>
  <c r="H21" i="25"/>
  <c r="R35" i="25"/>
  <c r="H10" i="25"/>
  <c r="R16" i="25"/>
  <c r="R18" i="25"/>
  <c r="H12" i="25"/>
  <c r="R22" i="25"/>
  <c r="H13" i="25"/>
  <c r="H15" i="25"/>
  <c r="H22" i="25"/>
  <c r="H23" i="25"/>
  <c r="H24" i="25"/>
  <c r="S11" i="25"/>
  <c r="I18" i="25"/>
  <c r="S19" i="25"/>
  <c r="I19" i="25"/>
  <c r="S20" i="25"/>
  <c r="I20" i="25"/>
  <c r="S21" i="25"/>
  <c r="I21" i="25"/>
  <c r="S35" i="25"/>
  <c r="I10" i="25"/>
  <c r="S16" i="25"/>
  <c r="S18" i="25"/>
  <c r="I12" i="25"/>
  <c r="S22" i="25"/>
  <c r="I13" i="25"/>
  <c r="I15" i="25"/>
  <c r="I22" i="25"/>
  <c r="I23" i="25"/>
  <c r="I24" i="25"/>
  <c r="C47" i="25"/>
  <c r="C99" i="22"/>
  <c r="C42" i="22"/>
  <c r="F42" i="22"/>
  <c r="I42" i="22"/>
  <c r="C52" i="22"/>
  <c r="F52" i="22"/>
  <c r="K5" i="22"/>
  <c r="F21" i="22"/>
  <c r="F22" i="22"/>
  <c r="L5" i="22"/>
  <c r="O9" i="22"/>
  <c r="G9" i="22"/>
  <c r="C96" i="22"/>
  <c r="C39" i="22"/>
  <c r="F39" i="22"/>
  <c r="I39" i="22"/>
  <c r="C49" i="22"/>
  <c r="F49" i="22"/>
  <c r="O6" i="22"/>
  <c r="G6" i="22"/>
  <c r="C50" i="22"/>
  <c r="C51" i="22"/>
  <c r="C110" i="22"/>
  <c r="C97" i="22"/>
  <c r="C40" i="22"/>
  <c r="C55" i="22"/>
  <c r="F40" i="22"/>
  <c r="I40" i="22"/>
  <c r="F50" i="22"/>
  <c r="G7" i="22"/>
  <c r="C98" i="22"/>
  <c r="C41" i="22"/>
  <c r="F41" i="22"/>
  <c r="I41" i="22"/>
  <c r="F51" i="22"/>
  <c r="G8" i="22"/>
  <c r="C53" i="22"/>
  <c r="F53" i="22"/>
  <c r="G10" i="22"/>
  <c r="H9" i="22"/>
  <c r="C100" i="22"/>
  <c r="C43" i="22"/>
  <c r="F43" i="22"/>
  <c r="I43" i="22"/>
  <c r="L6" i="22"/>
  <c r="O10" i="22"/>
  <c r="H10" i="22"/>
  <c r="G17" i="24"/>
  <c r="E47" i="25"/>
  <c r="K47" i="25" s="1"/>
  <c r="E48" i="25"/>
  <c r="K48" i="25" s="1"/>
  <c r="E81" i="19"/>
  <c r="G81" i="19"/>
  <c r="I81" i="19"/>
  <c r="E82" i="19"/>
  <c r="G82" i="19"/>
  <c r="I82" i="19"/>
  <c r="E83" i="19"/>
  <c r="G83" i="19"/>
  <c r="I83" i="19"/>
  <c r="E84" i="19"/>
  <c r="G84" i="19"/>
  <c r="I84" i="19"/>
  <c r="E85" i="19"/>
  <c r="G85" i="19"/>
  <c r="I85" i="19"/>
  <c r="E86" i="19"/>
  <c r="G86" i="19"/>
  <c r="I86" i="19"/>
  <c r="E87" i="19"/>
  <c r="G87" i="19"/>
  <c r="I87" i="19"/>
  <c r="G88" i="19"/>
  <c r="I88" i="19"/>
  <c r="G89" i="19"/>
  <c r="I89" i="19" s="1"/>
  <c r="B11" i="29" s="1"/>
  <c r="E90" i="19"/>
  <c r="G90" i="19"/>
  <c r="I90" i="19"/>
  <c r="E91" i="19"/>
  <c r="G91" i="19"/>
  <c r="I91" i="19"/>
  <c r="E92" i="19"/>
  <c r="G92" i="19"/>
  <c r="I92" i="19"/>
  <c r="E93" i="19"/>
  <c r="G93" i="19"/>
  <c r="I93" i="19"/>
  <c r="E94" i="19"/>
  <c r="G94" i="19"/>
  <c r="I94" i="19"/>
  <c r="E95" i="19"/>
  <c r="G95" i="19"/>
  <c r="I95" i="19"/>
  <c r="E96" i="19"/>
  <c r="G96" i="19"/>
  <c r="I96" i="19"/>
  <c r="E97" i="19"/>
  <c r="G97" i="19"/>
  <c r="I97" i="19"/>
  <c r="E98" i="19"/>
  <c r="G98" i="19"/>
  <c r="I98" i="19"/>
  <c r="E99" i="19"/>
  <c r="G99" i="19"/>
  <c r="I99" i="19"/>
  <c r="E100" i="19"/>
  <c r="G100" i="19"/>
  <c r="I100" i="19"/>
  <c r="E101" i="19"/>
  <c r="G101" i="19"/>
  <c r="I101" i="19"/>
  <c r="E102" i="19"/>
  <c r="G102" i="19"/>
  <c r="I102" i="19"/>
  <c r="E103" i="19"/>
  <c r="G103" i="19"/>
  <c r="I103" i="19"/>
  <c r="E104" i="19"/>
  <c r="G104" i="19"/>
  <c r="I104" i="19"/>
  <c r="E105" i="19"/>
  <c r="G105" i="19"/>
  <c r="I105" i="19"/>
  <c r="E106" i="19"/>
  <c r="G106" i="19"/>
  <c r="I106" i="19"/>
  <c r="E107" i="19"/>
  <c r="G107" i="19"/>
  <c r="I107" i="19"/>
  <c r="E108" i="19"/>
  <c r="G108" i="19"/>
  <c r="I108" i="19"/>
  <c r="E109" i="19"/>
  <c r="G109" i="19"/>
  <c r="I109" i="19"/>
  <c r="G110" i="19"/>
  <c r="I110" i="19"/>
  <c r="E111" i="19"/>
  <c r="G111" i="19"/>
  <c r="I111" i="19"/>
  <c r="E112" i="19"/>
  <c r="G112" i="19"/>
  <c r="I112" i="19"/>
  <c r="E113" i="19"/>
  <c r="G113" i="19"/>
  <c r="I113" i="19"/>
  <c r="E114" i="19"/>
  <c r="G114" i="19"/>
  <c r="I114" i="19"/>
  <c r="E115" i="19"/>
  <c r="G115" i="19"/>
  <c r="I115" i="19"/>
  <c r="E116" i="19"/>
  <c r="G116" i="19"/>
  <c r="I116" i="19"/>
  <c r="G117" i="19"/>
  <c r="I117" i="19"/>
  <c r="E118" i="19"/>
  <c r="G118" i="19"/>
  <c r="I118" i="19"/>
  <c r="E119" i="19"/>
  <c r="G119" i="19"/>
  <c r="I119" i="19"/>
  <c r="E120" i="19"/>
  <c r="G120" i="19"/>
  <c r="I120" i="19"/>
  <c r="G149" i="19"/>
  <c r="I149" i="19"/>
  <c r="G150" i="19"/>
  <c r="I150" i="19"/>
  <c r="E20" i="19"/>
  <c r="G20" i="19"/>
  <c r="I20" i="19"/>
  <c r="E21" i="19"/>
  <c r="G21" i="19"/>
  <c r="I21" i="19"/>
  <c r="E22" i="19"/>
  <c r="G22" i="19"/>
  <c r="I22" i="19"/>
  <c r="E23" i="19"/>
  <c r="G23" i="19"/>
  <c r="I23" i="19"/>
  <c r="G24" i="19"/>
  <c r="I24" i="19" s="1"/>
  <c r="G6" i="20" s="1"/>
  <c r="E25" i="19"/>
  <c r="G25" i="19"/>
  <c r="I25" i="19"/>
  <c r="E26" i="19"/>
  <c r="G26" i="19"/>
  <c r="I26" i="19"/>
  <c r="E27" i="19"/>
  <c r="G27" i="19"/>
  <c r="I27" i="19"/>
  <c r="E28" i="19"/>
  <c r="G28" i="19"/>
  <c r="I28" i="19"/>
  <c r="E29" i="19"/>
  <c r="G29" i="19"/>
  <c r="I29" i="19"/>
  <c r="E30" i="19"/>
  <c r="G30" i="19"/>
  <c r="I30" i="19"/>
  <c r="E31" i="19"/>
  <c r="G31" i="19"/>
  <c r="I31" i="19"/>
  <c r="E32" i="19"/>
  <c r="G32" i="19"/>
  <c r="I32" i="19"/>
  <c r="E33" i="19"/>
  <c r="G33" i="19"/>
  <c r="I33" i="19"/>
  <c r="E34" i="19"/>
  <c r="G34" i="19"/>
  <c r="I34" i="19"/>
  <c r="E35" i="19"/>
  <c r="G35" i="19"/>
  <c r="I35" i="19"/>
  <c r="E36" i="19"/>
  <c r="G36" i="19"/>
  <c r="I36" i="19"/>
  <c r="G37" i="19"/>
  <c r="I37" i="19"/>
  <c r="E38" i="19"/>
  <c r="G38" i="19"/>
  <c r="I38" i="19"/>
  <c r="E39" i="19"/>
  <c r="G39" i="19"/>
  <c r="I39" i="19"/>
  <c r="E62" i="19"/>
  <c r="G62" i="19"/>
  <c r="I62" i="19"/>
  <c r="E63" i="19"/>
  <c r="G63" i="19"/>
  <c r="I63" i="19"/>
  <c r="E69" i="19"/>
  <c r="G69" i="19"/>
  <c r="I69" i="19"/>
  <c r="E70" i="19"/>
  <c r="G70" i="19"/>
  <c r="I70" i="19"/>
  <c r="E75" i="19"/>
  <c r="G75" i="19"/>
  <c r="I75" i="19"/>
  <c r="E76" i="19"/>
  <c r="G76" i="19"/>
  <c r="I76" i="19"/>
  <c r="E77" i="19"/>
  <c r="G77" i="19"/>
  <c r="I77" i="19"/>
  <c r="E78" i="19"/>
  <c r="G78" i="19"/>
  <c r="I78" i="19"/>
  <c r="G7" i="20"/>
  <c r="E42" i="19"/>
  <c r="G42" i="19"/>
  <c r="I42" i="19"/>
  <c r="E43" i="19"/>
  <c r="G43" i="19"/>
  <c r="I43" i="19"/>
  <c r="E44" i="19"/>
  <c r="G44" i="19"/>
  <c r="I44" i="19"/>
  <c r="E45" i="19"/>
  <c r="G45" i="19"/>
  <c r="I45" i="19"/>
  <c r="E46" i="19"/>
  <c r="G46" i="19"/>
  <c r="I46" i="19"/>
  <c r="E47" i="19"/>
  <c r="G47" i="19"/>
  <c r="I47" i="19"/>
  <c r="G48" i="19"/>
  <c r="I48" i="19"/>
  <c r="E49" i="19"/>
  <c r="G49" i="19"/>
  <c r="I49" i="19"/>
  <c r="E50" i="19"/>
  <c r="G50" i="19"/>
  <c r="I50" i="19"/>
  <c r="E51" i="19"/>
  <c r="G51" i="19"/>
  <c r="I51" i="19"/>
  <c r="E52" i="19"/>
  <c r="G52" i="19"/>
  <c r="I52" i="19"/>
  <c r="E53" i="19"/>
  <c r="G53" i="19"/>
  <c r="I53" i="19"/>
  <c r="E54" i="19"/>
  <c r="G54" i="19"/>
  <c r="I54" i="19"/>
  <c r="E55" i="19"/>
  <c r="G55" i="19"/>
  <c r="I55" i="19"/>
  <c r="E56" i="19"/>
  <c r="G56" i="19"/>
  <c r="I56" i="19"/>
  <c r="E59" i="19"/>
  <c r="G59" i="19"/>
  <c r="I59" i="19"/>
  <c r="E60" i="19"/>
  <c r="G60" i="19"/>
  <c r="I60" i="19"/>
  <c r="E61" i="19"/>
  <c r="G61" i="19"/>
  <c r="I61" i="19"/>
  <c r="G64" i="19"/>
  <c r="I64" i="19"/>
  <c r="E65" i="19"/>
  <c r="G65" i="19"/>
  <c r="I65" i="19"/>
  <c r="E66" i="19"/>
  <c r="G66" i="19"/>
  <c r="I66" i="19"/>
  <c r="E67" i="19"/>
  <c r="G67" i="19"/>
  <c r="I67" i="19"/>
  <c r="E68" i="19"/>
  <c r="G68" i="19"/>
  <c r="I68" i="19"/>
  <c r="E71" i="19"/>
  <c r="G71" i="19"/>
  <c r="I71" i="19"/>
  <c r="E72" i="19"/>
  <c r="G72" i="19"/>
  <c r="I72" i="19"/>
  <c r="E158" i="19"/>
  <c r="G158" i="19"/>
  <c r="I158" i="19"/>
  <c r="E159" i="19"/>
  <c r="G159" i="19"/>
  <c r="I159" i="19"/>
  <c r="E160" i="19"/>
  <c r="G160" i="19"/>
  <c r="I160" i="19"/>
  <c r="E161" i="19"/>
  <c r="G161" i="19"/>
  <c r="I161" i="19"/>
  <c r="E162" i="19"/>
  <c r="G162" i="19"/>
  <c r="I162" i="19"/>
  <c r="E163" i="19"/>
  <c r="G163" i="19"/>
  <c r="I163" i="19"/>
  <c r="G153" i="19"/>
  <c r="I153" i="19"/>
  <c r="G154" i="19"/>
  <c r="I154" i="19"/>
  <c r="G8" i="20"/>
  <c r="E121" i="19"/>
  <c r="G121" i="19"/>
  <c r="I121" i="19"/>
  <c r="E122" i="19"/>
  <c r="G122" i="19"/>
  <c r="I122" i="19"/>
  <c r="E123" i="19"/>
  <c r="G123" i="19"/>
  <c r="I123" i="19"/>
  <c r="E124" i="19"/>
  <c r="G124" i="19"/>
  <c r="I124" i="19"/>
  <c r="E125" i="19"/>
  <c r="G125" i="19"/>
  <c r="I125" i="19"/>
  <c r="E126" i="19"/>
  <c r="G126" i="19"/>
  <c r="I126" i="19"/>
  <c r="G127" i="19"/>
  <c r="I127" i="19" s="1"/>
  <c r="G128" i="19"/>
  <c r="I128" i="19"/>
  <c r="G129" i="19"/>
  <c r="I129" i="19" s="1"/>
  <c r="E130" i="19"/>
  <c r="G130" i="19"/>
  <c r="I130" i="19"/>
  <c r="E131" i="19"/>
  <c r="G131" i="19"/>
  <c r="I131" i="19"/>
  <c r="E132" i="19"/>
  <c r="G132" i="19"/>
  <c r="I132" i="19"/>
  <c r="E133" i="19"/>
  <c r="G133" i="19"/>
  <c r="I133" i="19"/>
  <c r="E134" i="19"/>
  <c r="G134" i="19"/>
  <c r="I134" i="19"/>
  <c r="E135" i="19"/>
  <c r="G135" i="19"/>
  <c r="I135" i="19"/>
  <c r="E136" i="19"/>
  <c r="G136" i="19"/>
  <c r="I136" i="19"/>
  <c r="E137" i="19"/>
  <c r="G137" i="19"/>
  <c r="I137" i="19"/>
  <c r="E138" i="19"/>
  <c r="G138" i="19"/>
  <c r="I138" i="19"/>
  <c r="E139" i="19"/>
  <c r="G139" i="19"/>
  <c r="I139" i="19"/>
  <c r="E140" i="19"/>
  <c r="G140" i="19"/>
  <c r="I140" i="19"/>
  <c r="G141" i="19"/>
  <c r="I141" i="19"/>
  <c r="E142" i="19"/>
  <c r="G142" i="19"/>
  <c r="I142" i="19"/>
  <c r="E143" i="19"/>
  <c r="G143" i="19"/>
  <c r="I143" i="19"/>
  <c r="E144" i="19"/>
  <c r="G144" i="19"/>
  <c r="I144" i="19"/>
  <c r="G145" i="19"/>
  <c r="I145" i="19"/>
  <c r="G146" i="19"/>
  <c r="I146" i="19"/>
  <c r="E7" i="23"/>
  <c r="D8" i="23"/>
  <c r="E8" i="23"/>
  <c r="F8" i="23"/>
  <c r="G8" i="23"/>
  <c r="H8" i="23"/>
  <c r="I8" i="23"/>
  <c r="D9" i="23"/>
  <c r="I9" i="23"/>
  <c r="D10" i="23"/>
  <c r="E10" i="23"/>
  <c r="F10" i="23"/>
  <c r="G10" i="23"/>
  <c r="H10" i="23"/>
  <c r="I10" i="23"/>
  <c r="D11" i="23"/>
  <c r="E11" i="23"/>
  <c r="F11" i="23"/>
  <c r="G11" i="23"/>
  <c r="H11" i="23"/>
  <c r="I11" i="23"/>
  <c r="D12" i="23"/>
  <c r="E12" i="23"/>
  <c r="F12" i="23"/>
  <c r="H12" i="23"/>
  <c r="I12" i="23"/>
  <c r="D13" i="23"/>
  <c r="I13" i="23"/>
  <c r="D14" i="23"/>
  <c r="I14" i="23"/>
  <c r="D15" i="23"/>
  <c r="I15" i="23"/>
  <c r="D16" i="23"/>
  <c r="I16" i="23"/>
  <c r="D17" i="23"/>
  <c r="I17" i="23"/>
  <c r="D18" i="23"/>
  <c r="I18" i="23"/>
  <c r="D19" i="23"/>
  <c r="I19" i="23"/>
  <c r="D20" i="23"/>
  <c r="I20" i="23"/>
  <c r="D21" i="23"/>
  <c r="I21" i="23"/>
  <c r="Z22" i="23"/>
  <c r="AQ22" i="23" s="1"/>
  <c r="Z23" i="23"/>
  <c r="AQ23" i="23" s="1"/>
  <c r="AX23" i="23" s="1"/>
  <c r="D24" i="23"/>
  <c r="I24" i="23"/>
  <c r="D25" i="23"/>
  <c r="I25" i="23"/>
  <c r="D26" i="23"/>
  <c r="I26" i="23"/>
  <c r="D27" i="23"/>
  <c r="I27" i="23"/>
  <c r="Z28" i="23"/>
  <c r="AQ28" i="23" s="1"/>
  <c r="Z29" i="23"/>
  <c r="AQ29" i="23" s="1"/>
  <c r="AX29" i="23" s="1"/>
  <c r="Z30" i="23"/>
  <c r="AQ30" i="23" s="1"/>
  <c r="Z31" i="23"/>
  <c r="AQ31" i="23" s="1"/>
  <c r="AX31" i="23" s="1"/>
  <c r="Z32" i="23"/>
  <c r="AQ32" i="23" s="1"/>
  <c r="Z33" i="23"/>
  <c r="AQ33" i="23" s="1"/>
  <c r="AX33" i="23" s="1"/>
  <c r="Z34" i="23"/>
  <c r="AQ34" i="23" s="1"/>
  <c r="Z35" i="23"/>
  <c r="AQ35" i="23" s="1"/>
  <c r="AX35" i="23" s="1"/>
  <c r="Z36" i="23"/>
  <c r="AQ36" i="23" s="1"/>
  <c r="Z37" i="23"/>
  <c r="AQ37" i="23" s="1"/>
  <c r="AX37" i="23" s="1"/>
  <c r="Z38" i="23"/>
  <c r="AQ38" i="23" s="1"/>
  <c r="Z39" i="23"/>
  <c r="AQ39" i="23" s="1"/>
  <c r="AX39" i="23" s="1"/>
  <c r="F7" i="23"/>
  <c r="AA22" i="23"/>
  <c r="AR22" i="23" s="1"/>
  <c r="AA23" i="23"/>
  <c r="AR23" i="23" s="1"/>
  <c r="AY23" i="23" s="1"/>
  <c r="AA28" i="23"/>
  <c r="AR28" i="23" s="1"/>
  <c r="AA29" i="23"/>
  <c r="AR29" i="23" s="1"/>
  <c r="AY29" i="23" s="1"/>
  <c r="AA30" i="23"/>
  <c r="AR30" i="23" s="1"/>
  <c r="AA31" i="23"/>
  <c r="AR31" i="23" s="1"/>
  <c r="AY31" i="23" s="1"/>
  <c r="AA32" i="23"/>
  <c r="AR32" i="23" s="1"/>
  <c r="AA33" i="23"/>
  <c r="AR33" i="23" s="1"/>
  <c r="AY33" i="23" s="1"/>
  <c r="AA34" i="23"/>
  <c r="AR34" i="23" s="1"/>
  <c r="AA35" i="23"/>
  <c r="AR35" i="23"/>
  <c r="AA36" i="23"/>
  <c r="AR36" i="23" s="1"/>
  <c r="AA37" i="23"/>
  <c r="AR37" i="23" s="1"/>
  <c r="AY37" i="23" s="1"/>
  <c r="AA38" i="23"/>
  <c r="AR38" i="23" s="1"/>
  <c r="AA39" i="23"/>
  <c r="AR39" i="23" s="1"/>
  <c r="AY39" i="23" s="1"/>
  <c r="AB22" i="23"/>
  <c r="AS22" i="23" s="1"/>
  <c r="AZ22" i="23" s="1"/>
  <c r="AB23" i="23"/>
  <c r="AS23" i="23" s="1"/>
  <c r="AZ23" i="23" s="1"/>
  <c r="AB28" i="23"/>
  <c r="AS28" i="23" s="1"/>
  <c r="AZ28" i="23" s="1"/>
  <c r="AB29" i="23"/>
  <c r="AS29" i="23" s="1"/>
  <c r="AZ29" i="23" s="1"/>
  <c r="AB30" i="23"/>
  <c r="AS30" i="23" s="1"/>
  <c r="AZ30" i="23" s="1"/>
  <c r="AB31" i="23"/>
  <c r="AS31" i="23" s="1"/>
  <c r="AZ31" i="23" s="1"/>
  <c r="AB32" i="23"/>
  <c r="AS32" i="23" s="1"/>
  <c r="AZ32" i="23" s="1"/>
  <c r="AB33" i="23"/>
  <c r="AS33" i="23" s="1"/>
  <c r="AZ33" i="23" s="1"/>
  <c r="AB34" i="23"/>
  <c r="AS34" i="23" s="1"/>
  <c r="AZ34" i="23" s="1"/>
  <c r="AB35" i="23"/>
  <c r="AS35" i="23" s="1"/>
  <c r="AZ35" i="23" s="1"/>
  <c r="AB36" i="23"/>
  <c r="AS36" i="23" s="1"/>
  <c r="AZ36" i="23" s="1"/>
  <c r="AB37" i="23"/>
  <c r="AS37" i="23" s="1"/>
  <c r="AZ37" i="23" s="1"/>
  <c r="AB38" i="23"/>
  <c r="AS38" i="23" s="1"/>
  <c r="AZ38" i="23" s="1"/>
  <c r="AB39" i="23"/>
  <c r="AS39" i="23" s="1"/>
  <c r="AZ39" i="23" s="1"/>
  <c r="H7" i="23"/>
  <c r="AC22" i="23"/>
  <c r="AT22" i="23" s="1"/>
  <c r="BA22" i="23" s="1"/>
  <c r="AC23" i="23"/>
  <c r="AT23" i="23" s="1"/>
  <c r="AC28" i="23"/>
  <c r="AT28" i="23" s="1"/>
  <c r="BA28" i="23" s="1"/>
  <c r="AC29" i="23"/>
  <c r="AT29" i="23" s="1"/>
  <c r="AC30" i="23"/>
  <c r="AT30" i="23" s="1"/>
  <c r="BA30" i="23" s="1"/>
  <c r="AC31" i="23"/>
  <c r="AT31" i="23" s="1"/>
  <c r="AC32" i="23"/>
  <c r="AT32" i="23" s="1"/>
  <c r="BA32" i="23" s="1"/>
  <c r="AC33" i="23"/>
  <c r="AT33" i="23" s="1"/>
  <c r="AC34" i="23"/>
  <c r="AT34" i="23" s="1"/>
  <c r="BA34" i="23" s="1"/>
  <c r="AC35" i="23"/>
  <c r="AT35" i="23" s="1"/>
  <c r="AC36" i="23"/>
  <c r="AT36" i="23" s="1"/>
  <c r="BA36" i="23" s="1"/>
  <c r="AC37" i="23"/>
  <c r="AT37" i="23" s="1"/>
  <c r="AC38" i="23"/>
  <c r="AT38" i="23" s="1"/>
  <c r="BA38" i="23" s="1"/>
  <c r="AC39" i="23"/>
  <c r="AT39" i="23" s="1"/>
  <c r="AD22" i="23"/>
  <c r="AU22" i="23" s="1"/>
  <c r="AD23" i="23"/>
  <c r="AU23" i="23" s="1"/>
  <c r="AD28" i="23"/>
  <c r="AU28" i="23" s="1"/>
  <c r="AD29" i="23"/>
  <c r="AU29" i="23" s="1"/>
  <c r="AD30" i="23"/>
  <c r="AU30" i="23" s="1"/>
  <c r="AD31" i="23"/>
  <c r="AU31" i="23" s="1"/>
  <c r="AD32" i="23"/>
  <c r="AU32" i="23" s="1"/>
  <c r="AD33" i="23"/>
  <c r="AU33" i="23" s="1"/>
  <c r="AD34" i="23"/>
  <c r="AU34" i="23" s="1"/>
  <c r="AD35" i="23"/>
  <c r="AU35" i="23" s="1"/>
  <c r="AD36" i="23"/>
  <c r="AU36" i="23" s="1"/>
  <c r="AD37" i="23"/>
  <c r="AU37" i="23" s="1"/>
  <c r="AD38" i="23"/>
  <c r="AU38" i="23" s="1"/>
  <c r="AD39" i="23"/>
  <c r="AU39" i="23" s="1"/>
  <c r="G47" i="25"/>
  <c r="L47" i="25" s="1"/>
  <c r="G48" i="25"/>
  <c r="L48" i="25" s="1"/>
  <c r="H47" i="25"/>
  <c r="M47" i="25" s="1"/>
  <c r="H48" i="25"/>
  <c r="M48" i="25" s="1"/>
  <c r="I47" i="25"/>
  <c r="N47" i="25" s="1"/>
  <c r="I48" i="25"/>
  <c r="C6" i="26" s="1"/>
  <c r="J47" i="25"/>
  <c r="O47" i="25" s="1"/>
  <c r="J48" i="25"/>
  <c r="O48" i="25" s="1"/>
  <c r="C87" i="22"/>
  <c r="C19" i="22"/>
  <c r="C88" i="22"/>
  <c r="C20" i="22"/>
  <c r="C89" i="22"/>
  <c r="C21" i="22"/>
  <c r="C90" i="22"/>
  <c r="C22" i="22"/>
  <c r="G70" i="25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49" i="19"/>
  <c r="H150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62" i="19"/>
  <c r="H63" i="19"/>
  <c r="H69" i="19"/>
  <c r="H70" i="19"/>
  <c r="H75" i="19"/>
  <c r="H76" i="19"/>
  <c r="H77" i="19"/>
  <c r="H78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9" i="19"/>
  <c r="H60" i="19"/>
  <c r="H61" i="19"/>
  <c r="H64" i="19"/>
  <c r="H65" i="19"/>
  <c r="H66" i="19"/>
  <c r="H67" i="19"/>
  <c r="H68" i="19"/>
  <c r="H71" i="19"/>
  <c r="H72" i="19"/>
  <c r="H158" i="19"/>
  <c r="H159" i="19"/>
  <c r="H160" i="19"/>
  <c r="H161" i="19"/>
  <c r="H162" i="19"/>
  <c r="H163" i="19"/>
  <c r="H153" i="19"/>
  <c r="H154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O8" i="22"/>
  <c r="H8" i="22"/>
  <c r="F17" i="24"/>
  <c r="O7" i="22"/>
  <c r="H7" i="22"/>
  <c r="E17" i="24"/>
  <c r="H6" i="22"/>
  <c r="D17" i="24"/>
  <c r="C17" i="24"/>
  <c r="P68" i="25"/>
  <c r="J75" i="25"/>
  <c r="B6" i="29"/>
  <c r="B7" i="29"/>
  <c r="E41" i="19"/>
  <c r="H41" i="19"/>
  <c r="G41" i="19"/>
  <c r="I41" i="19"/>
  <c r="E57" i="19"/>
  <c r="H57" i="19"/>
  <c r="G57" i="19"/>
  <c r="I57" i="19"/>
  <c r="E58" i="19"/>
  <c r="H58" i="19"/>
  <c r="G58" i="19"/>
  <c r="I58" i="19"/>
  <c r="B8" i="29"/>
  <c r="B10" i="29"/>
  <c r="B12" i="29"/>
  <c r="B5" i="22"/>
  <c r="A1" i="26"/>
  <c r="A1" i="25"/>
  <c r="A1" i="23"/>
  <c r="A1" i="29"/>
  <c r="D7" i="23"/>
  <c r="F7" i="26"/>
  <c r="D7" i="26"/>
  <c r="B7" i="26"/>
  <c r="F6" i="26"/>
  <c r="E6" i="26"/>
  <c r="B6" i="26"/>
  <c r="G61" i="25"/>
  <c r="G62" i="25"/>
  <c r="G63" i="25"/>
  <c r="G64" i="25"/>
  <c r="G65" i="25"/>
  <c r="G66" i="25"/>
  <c r="C48" i="25"/>
  <c r="C49" i="25"/>
  <c r="C51" i="25"/>
  <c r="O37" i="25"/>
  <c r="O38" i="25"/>
  <c r="P37" i="25"/>
  <c r="P38" i="25"/>
  <c r="Q37" i="25"/>
  <c r="Q38" i="25"/>
  <c r="R37" i="25"/>
  <c r="R38" i="25"/>
  <c r="S37" i="25"/>
  <c r="S38" i="25"/>
  <c r="S39" i="25"/>
  <c r="O29" i="25"/>
  <c r="P29" i="25"/>
  <c r="Q29" i="25"/>
  <c r="R29" i="25"/>
  <c r="S30" i="25"/>
  <c r="R30" i="25"/>
  <c r="Q30" i="25"/>
  <c r="P30" i="25"/>
  <c r="I30" i="25"/>
  <c r="H30" i="25"/>
  <c r="G30" i="25"/>
  <c r="E30" i="25"/>
  <c r="D30" i="25"/>
  <c r="S29" i="25"/>
  <c r="I29" i="25"/>
  <c r="H29" i="25"/>
  <c r="G29" i="25"/>
  <c r="E29" i="25"/>
  <c r="D29" i="25"/>
  <c r="I28" i="25"/>
  <c r="H28" i="25"/>
  <c r="G28" i="25"/>
  <c r="E28" i="25"/>
  <c r="D28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F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1" i="24"/>
  <c r="D20" i="24"/>
  <c r="F20" i="24"/>
  <c r="G20" i="24"/>
  <c r="H20" i="24"/>
  <c r="D19" i="24"/>
  <c r="F19" i="24"/>
  <c r="G19" i="24"/>
  <c r="H19" i="24"/>
  <c r="H18" i="24"/>
  <c r="A1" i="24"/>
  <c r="AN7" i="23"/>
  <c r="AN8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D22" i="23"/>
  <c r="AN22" i="23"/>
  <c r="D23" i="23"/>
  <c r="AN23" i="23"/>
  <c r="AN24" i="23"/>
  <c r="AN25" i="23"/>
  <c r="AN26" i="23"/>
  <c r="AN27" i="23"/>
  <c r="D28" i="23"/>
  <c r="AN28" i="23"/>
  <c r="D29" i="23"/>
  <c r="AN29" i="23"/>
  <c r="D30" i="23"/>
  <c r="AN30" i="23"/>
  <c r="D31" i="23"/>
  <c r="AN31" i="23"/>
  <c r="D32" i="23"/>
  <c r="AN32" i="23"/>
  <c r="D33" i="23"/>
  <c r="AN33" i="23"/>
  <c r="D34" i="23"/>
  <c r="AN34" i="23"/>
  <c r="D35" i="23"/>
  <c r="AN35" i="23"/>
  <c r="D36" i="23"/>
  <c r="AN36" i="23"/>
  <c r="AN37" i="23"/>
  <c r="D38" i="23"/>
  <c r="AN38" i="23"/>
  <c r="D39" i="23"/>
  <c r="AN39" i="23"/>
  <c r="AN40" i="23"/>
  <c r="AM7" i="23"/>
  <c r="AM8" i="23"/>
  <c r="AM9" i="23"/>
  <c r="AM10" i="23"/>
  <c r="AM11" i="23"/>
  <c r="AM12" i="23"/>
  <c r="AM13" i="23"/>
  <c r="AM14" i="23"/>
  <c r="AM15" i="23"/>
  <c r="AM16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I22" i="23"/>
  <c r="O22" i="23"/>
  <c r="V22" i="23" s="1"/>
  <c r="I23" i="23"/>
  <c r="O23" i="23"/>
  <c r="V23" i="23" s="1"/>
  <c r="I28" i="23"/>
  <c r="O28" i="23"/>
  <c r="V28" i="23" s="1"/>
  <c r="I29" i="23"/>
  <c r="O29" i="23"/>
  <c r="V29" i="23" s="1"/>
  <c r="I30" i="23"/>
  <c r="O30" i="23"/>
  <c r="V30" i="23" s="1"/>
  <c r="I31" i="23"/>
  <c r="O31" i="23"/>
  <c r="V31" i="23" s="1"/>
  <c r="I32" i="23"/>
  <c r="O32" i="23"/>
  <c r="V32" i="23" s="1"/>
  <c r="I33" i="23"/>
  <c r="O33" i="23"/>
  <c r="V33" i="23" s="1"/>
  <c r="I34" i="23"/>
  <c r="O34" i="23"/>
  <c r="V34" i="23" s="1"/>
  <c r="I35" i="23"/>
  <c r="O35" i="23"/>
  <c r="V35" i="23" s="1"/>
  <c r="I36" i="23"/>
  <c r="O36" i="23"/>
  <c r="V36" i="23" s="1"/>
  <c r="O37" i="23"/>
  <c r="V37" i="23" s="1"/>
  <c r="I38" i="23"/>
  <c r="O38" i="23"/>
  <c r="V38" i="23" s="1"/>
  <c r="I39" i="23"/>
  <c r="O39" i="23"/>
  <c r="V39" i="23" s="1"/>
  <c r="N22" i="23"/>
  <c r="U22" i="23" s="1"/>
  <c r="N23" i="23"/>
  <c r="U23" i="23" s="1"/>
  <c r="N28" i="23"/>
  <c r="U28" i="23" s="1"/>
  <c r="N29" i="23"/>
  <c r="U29" i="23" s="1"/>
  <c r="N30" i="23"/>
  <c r="U30" i="23" s="1"/>
  <c r="N31" i="23"/>
  <c r="U31" i="23" s="1"/>
  <c r="N32" i="23"/>
  <c r="U32" i="23" s="1"/>
  <c r="N33" i="23"/>
  <c r="U33" i="23" s="1"/>
  <c r="N34" i="23"/>
  <c r="U34" i="23" s="1"/>
  <c r="N35" i="23"/>
  <c r="U35" i="23" s="1"/>
  <c r="N36" i="23"/>
  <c r="U36" i="23" s="1"/>
  <c r="N37" i="23"/>
  <c r="U37" i="23" s="1"/>
  <c r="N38" i="23"/>
  <c r="U38" i="23" s="1"/>
  <c r="N39" i="23"/>
  <c r="U39" i="23" s="1"/>
  <c r="M22" i="23"/>
  <c r="T22" i="23" s="1"/>
  <c r="M23" i="23"/>
  <c r="T23" i="23" s="1"/>
  <c r="M28" i="23"/>
  <c r="T28" i="23" s="1"/>
  <c r="M29" i="23"/>
  <c r="T29" i="23" s="1"/>
  <c r="M30" i="23"/>
  <c r="T30" i="23" s="1"/>
  <c r="M31" i="23"/>
  <c r="T31" i="23" s="1"/>
  <c r="M32" i="23"/>
  <c r="T32" i="23" s="1"/>
  <c r="M33" i="23"/>
  <c r="T33" i="23" s="1"/>
  <c r="M34" i="23"/>
  <c r="T34" i="23" s="1"/>
  <c r="M35" i="23"/>
  <c r="T35" i="23" s="1"/>
  <c r="M36" i="23"/>
  <c r="T36" i="23" s="1"/>
  <c r="M37" i="23"/>
  <c r="T37" i="23" s="1"/>
  <c r="M38" i="23"/>
  <c r="T38" i="23" s="1"/>
  <c r="M39" i="23"/>
  <c r="T39" i="23" s="1"/>
  <c r="L22" i="23"/>
  <c r="S22" i="23" s="1"/>
  <c r="L23" i="23"/>
  <c r="S23" i="23" s="1"/>
  <c r="L28" i="23"/>
  <c r="S28" i="23" s="1"/>
  <c r="L29" i="23"/>
  <c r="S29" i="23" s="1"/>
  <c r="L30" i="23"/>
  <c r="S30" i="23" s="1"/>
  <c r="L31" i="23"/>
  <c r="S31" i="23" s="1"/>
  <c r="L32" i="23"/>
  <c r="S32" i="23" s="1"/>
  <c r="L33" i="23"/>
  <c r="S33" i="23" s="1"/>
  <c r="L34" i="23"/>
  <c r="S34" i="23" s="1"/>
  <c r="L35" i="23"/>
  <c r="S35" i="23" s="1"/>
  <c r="L36" i="23"/>
  <c r="S36" i="23" s="1"/>
  <c r="L37" i="23"/>
  <c r="S37" i="23" s="1"/>
  <c r="L38" i="23"/>
  <c r="S38" i="23" s="1"/>
  <c r="L39" i="23"/>
  <c r="S39" i="23" s="1"/>
  <c r="D40" i="23"/>
  <c r="E40" i="23"/>
  <c r="F40" i="23"/>
  <c r="G40" i="23"/>
  <c r="H40" i="23"/>
  <c r="I40" i="23"/>
  <c r="P39" i="23"/>
  <c r="W39" i="23" s="1"/>
  <c r="P38" i="23"/>
  <c r="W38" i="23" s="1"/>
  <c r="P37" i="23"/>
  <c r="W37" i="23" s="1"/>
  <c r="P36" i="23"/>
  <c r="W36" i="23" s="1"/>
  <c r="P35" i="23"/>
  <c r="W35" i="23" s="1"/>
  <c r="P34" i="23"/>
  <c r="W34" i="23" s="1"/>
  <c r="P33" i="23"/>
  <c r="W33" i="23" s="1"/>
  <c r="P32" i="23"/>
  <c r="W32" i="23" s="1"/>
  <c r="P31" i="23"/>
  <c r="W31" i="23" s="1"/>
  <c r="P30" i="23"/>
  <c r="W30" i="23" s="1"/>
  <c r="P29" i="23"/>
  <c r="W29" i="23" s="1"/>
  <c r="P28" i="23"/>
  <c r="W28" i="23" s="1"/>
  <c r="P23" i="23"/>
  <c r="W23" i="23" s="1"/>
  <c r="P22" i="23"/>
  <c r="W22" i="23" s="1"/>
  <c r="C79" i="22"/>
  <c r="C78" i="22"/>
  <c r="C77" i="22"/>
  <c r="C76" i="22"/>
  <c r="C75" i="22"/>
  <c r="C69" i="22"/>
  <c r="C68" i="22"/>
  <c r="C67" i="22"/>
  <c r="C66" i="22"/>
  <c r="I53" i="22"/>
  <c r="I49" i="22"/>
  <c r="I50" i="22"/>
  <c r="I51" i="22"/>
  <c r="I52" i="22"/>
  <c r="J53" i="22"/>
  <c r="J52" i="22"/>
  <c r="J51" i="22"/>
  <c r="J50" i="22"/>
  <c r="J49" i="22"/>
  <c r="F31" i="22"/>
  <c r="C31" i="22"/>
  <c r="F30" i="22"/>
  <c r="C30" i="22"/>
  <c r="F29" i="22"/>
  <c r="C29" i="22"/>
  <c r="F28" i="22"/>
  <c r="C28" i="22"/>
  <c r="I22" i="22"/>
  <c r="I21" i="22"/>
  <c r="I20" i="22"/>
  <c r="F20" i="22"/>
  <c r="I19" i="22"/>
  <c r="F19" i="22"/>
  <c r="A1" i="22"/>
  <c r="B8" i="21"/>
  <c r="B5" i="21"/>
  <c r="B6" i="21"/>
  <c r="B7" i="21"/>
  <c r="F14" i="21"/>
  <c r="E14" i="21"/>
  <c r="F13" i="21"/>
  <c r="E13" i="21"/>
  <c r="D13" i="21"/>
  <c r="A1" i="21"/>
  <c r="A1" i="20"/>
  <c r="E157" i="19"/>
  <c r="H157" i="19"/>
  <c r="G157" i="19"/>
  <c r="I157" i="19"/>
  <c r="E156" i="19"/>
  <c r="H156" i="19"/>
  <c r="G156" i="19"/>
  <c r="I156" i="19"/>
  <c r="E155" i="19"/>
  <c r="H155" i="19"/>
  <c r="G155" i="19"/>
  <c r="I155" i="19"/>
  <c r="H152" i="19"/>
  <c r="G152" i="19"/>
  <c r="I152" i="19" s="1"/>
  <c r="H151" i="19"/>
  <c r="G151" i="19"/>
  <c r="I151" i="19" s="1"/>
  <c r="H148" i="19"/>
  <c r="G148" i="19"/>
  <c r="I148" i="19"/>
  <c r="H147" i="19"/>
  <c r="G147" i="19"/>
  <c r="I147" i="19"/>
  <c r="E80" i="19"/>
  <c r="H80" i="19"/>
  <c r="G80" i="19"/>
  <c r="I80" i="19"/>
  <c r="E79" i="19"/>
  <c r="H79" i="19"/>
  <c r="G79" i="19"/>
  <c r="I79" i="19"/>
  <c r="E74" i="19"/>
  <c r="H74" i="19"/>
  <c r="G74" i="19"/>
  <c r="I74" i="19"/>
  <c r="E73" i="19"/>
  <c r="H73" i="19"/>
  <c r="G73" i="19"/>
  <c r="I73" i="19"/>
  <c r="E40" i="19"/>
  <c r="H40" i="19"/>
  <c r="G40" i="19"/>
  <c r="I40" i="19"/>
  <c r="A1" i="2"/>
  <c r="A1" i="1"/>
  <c r="B22" i="21"/>
  <c r="B23" i="21"/>
  <c r="F22" i="21"/>
  <c r="F23" i="21"/>
  <c r="E22" i="21"/>
  <c r="E23" i="21"/>
  <c r="P75" i="25"/>
  <c r="P77" i="25"/>
  <c r="D22" i="21"/>
  <c r="D23" i="21"/>
  <c r="C22" i="21"/>
  <c r="C23" i="21"/>
  <c r="BA23" i="23"/>
  <c r="BA29" i="23"/>
  <c r="BA31" i="23"/>
  <c r="BA33" i="23"/>
  <c r="BA35" i="23"/>
  <c r="BA37" i="23"/>
  <c r="BA39" i="23"/>
  <c r="AX22" i="23"/>
  <c r="AX28" i="23"/>
  <c r="AX30" i="23"/>
  <c r="AX32" i="23"/>
  <c r="AX34" i="23"/>
  <c r="AX36" i="23"/>
  <c r="AX38" i="23"/>
  <c r="AY22" i="23"/>
  <c r="AY28" i="23"/>
  <c r="AY30" i="23"/>
  <c r="AY32" i="23"/>
  <c r="AY34" i="23"/>
  <c r="AY35" i="23"/>
  <c r="AY36" i="23"/>
  <c r="AY38" i="23"/>
  <c r="AJ22" i="23"/>
  <c r="AJ23" i="23"/>
  <c r="AJ28" i="23"/>
  <c r="AJ29" i="23"/>
  <c r="AJ30" i="23"/>
  <c r="AJ31" i="23"/>
  <c r="AJ32" i="23"/>
  <c r="AJ33" i="23"/>
  <c r="AJ34" i="23"/>
  <c r="AJ35" i="23"/>
  <c r="AJ36" i="23"/>
  <c r="AJ37" i="23"/>
  <c r="AJ38" i="23"/>
  <c r="AJ39" i="23"/>
  <c r="AG22" i="23"/>
  <c r="AG23" i="23"/>
  <c r="AG28" i="23"/>
  <c r="AG29" i="23"/>
  <c r="AG30" i="23"/>
  <c r="AG31" i="23"/>
  <c r="AG32" i="23"/>
  <c r="AG33" i="23"/>
  <c r="AG34" i="23"/>
  <c r="AG35" i="23"/>
  <c r="AG36" i="23"/>
  <c r="AG37" i="23"/>
  <c r="AG38" i="23"/>
  <c r="AG39" i="23"/>
  <c r="AH22" i="23"/>
  <c r="AH23" i="23"/>
  <c r="AH28" i="23"/>
  <c r="AH29" i="23"/>
  <c r="AH30" i="23"/>
  <c r="AH31" i="23"/>
  <c r="AH32" i="23"/>
  <c r="AH33" i="23"/>
  <c r="AH34" i="23"/>
  <c r="AH35" i="23"/>
  <c r="AH36" i="23"/>
  <c r="AH37" i="23"/>
  <c r="AH38" i="23"/>
  <c r="AH39" i="23"/>
  <c r="AI22" i="23"/>
  <c r="AI23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G10" i="20" l="1"/>
  <c r="G11" i="20" s="1"/>
  <c r="B13" i="29"/>
  <c r="B15" i="29" s="1"/>
  <c r="B21" i="29" s="1"/>
  <c r="G9" i="20"/>
  <c r="N48" i="25"/>
  <c r="E7" i="26"/>
  <c r="C7" i="26"/>
  <c r="D6" i="26"/>
  <c r="H6" i="20" l="1"/>
  <c r="D22" i="24" s="1"/>
  <c r="O12" i="23" s="1"/>
  <c r="V12" i="23" s="1"/>
  <c r="H9" i="20"/>
  <c r="H7" i="20"/>
  <c r="O15" i="23"/>
  <c r="H8" i="20"/>
  <c r="F22" i="24" s="1"/>
  <c r="M10" i="23" s="1"/>
  <c r="T10" i="23" s="1"/>
  <c r="AA10" i="23" s="1"/>
  <c r="C22" i="24"/>
  <c r="P11" i="23" s="1"/>
  <c r="B20" i="29"/>
  <c r="B23" i="29"/>
  <c r="B22" i="29"/>
  <c r="H10" i="20"/>
  <c r="O10" i="23"/>
  <c r="O18" i="23"/>
  <c r="V18" i="23" s="1"/>
  <c r="O7" i="23"/>
  <c r="V7" i="23" s="1"/>
  <c r="O16" i="23"/>
  <c r="V16" i="23" s="1"/>
  <c r="M8" i="23"/>
  <c r="T8" i="23" s="1"/>
  <c r="AA8" i="23" s="1"/>
  <c r="M9" i="23"/>
  <c r="T9" i="23" s="1"/>
  <c r="AA9" i="23" s="1"/>
  <c r="M11" i="23"/>
  <c r="T11" i="23" s="1"/>
  <c r="AA11" i="23" s="1"/>
  <c r="M13" i="23"/>
  <c r="T13" i="23" s="1"/>
  <c r="AA13" i="23" s="1"/>
  <c r="M15" i="23"/>
  <c r="T15" i="23" s="1"/>
  <c r="AA15" i="23" s="1"/>
  <c r="M16" i="23"/>
  <c r="T16" i="23" s="1"/>
  <c r="AA16" i="23" s="1"/>
  <c r="M24" i="23"/>
  <c r="T24" i="23" s="1"/>
  <c r="AA24" i="23" s="1"/>
  <c r="M26" i="23"/>
  <c r="T26" i="23" s="1"/>
  <c r="AA26" i="23" s="1"/>
  <c r="M7" i="23"/>
  <c r="T7" i="23" s="1"/>
  <c r="M27" i="23"/>
  <c r="T27" i="23" s="1"/>
  <c r="AA27" i="23" s="1"/>
  <c r="M19" i="23"/>
  <c r="T19" i="23" s="1"/>
  <c r="AA19" i="23" s="1"/>
  <c r="P7" i="23"/>
  <c r="P8" i="23"/>
  <c r="P9" i="23"/>
  <c r="P14" i="23"/>
  <c r="P18" i="23"/>
  <c r="P24" i="23"/>
  <c r="P19" i="23"/>
  <c r="P25" i="23"/>
  <c r="P16" i="23"/>
  <c r="P26" i="23"/>
  <c r="P12" i="23"/>
  <c r="P13" i="23"/>
  <c r="P21" i="23"/>
  <c r="P27" i="23"/>
  <c r="G22" i="24"/>
  <c r="V10" i="23"/>
  <c r="V15" i="23"/>
  <c r="E22" i="24"/>
  <c r="H11" i="20"/>
  <c r="O27" i="23" l="1"/>
  <c r="V27" i="23" s="1"/>
  <c r="O21" i="23"/>
  <c r="V21" i="23" s="1"/>
  <c r="P17" i="23"/>
  <c r="P20" i="23"/>
  <c r="P15" i="23"/>
  <c r="P10" i="23"/>
  <c r="M25" i="23"/>
  <c r="T25" i="23" s="1"/>
  <c r="AA25" i="23" s="1"/>
  <c r="M17" i="23"/>
  <c r="T17" i="23" s="1"/>
  <c r="AA17" i="23" s="1"/>
  <c r="AH17" i="23" s="1"/>
  <c r="M12" i="23"/>
  <c r="T12" i="23" s="1"/>
  <c r="AA12" i="23" s="1"/>
  <c r="O8" i="23"/>
  <c r="V8" i="23" s="1"/>
  <c r="O11" i="23"/>
  <c r="V11" i="23" s="1"/>
  <c r="O24" i="23"/>
  <c r="V24" i="23" s="1"/>
  <c r="O13" i="23"/>
  <c r="V13" i="23" s="1"/>
  <c r="O19" i="23"/>
  <c r="V19" i="23" s="1"/>
  <c r="O26" i="23"/>
  <c r="V26" i="23" s="1"/>
  <c r="O14" i="23"/>
  <c r="V14" i="23" s="1"/>
  <c r="V40" i="23" s="1"/>
  <c r="O20" i="23"/>
  <c r="V20" i="23" s="1"/>
  <c r="O9" i="23"/>
  <c r="V9" i="23" s="1"/>
  <c r="O17" i="23"/>
  <c r="V17" i="23" s="1"/>
  <c r="O25" i="23"/>
  <c r="V25" i="23" s="1"/>
  <c r="AC21" i="23"/>
  <c r="M21" i="23"/>
  <c r="T21" i="23" s="1"/>
  <c r="AA21" i="23" s="1"/>
  <c r="M20" i="23"/>
  <c r="T20" i="23" s="1"/>
  <c r="AA20" i="23" s="1"/>
  <c r="M18" i="23"/>
  <c r="T18" i="23" s="1"/>
  <c r="AA18" i="23" s="1"/>
  <c r="M14" i="23"/>
  <c r="T14" i="23" s="1"/>
  <c r="AA14" i="23" s="1"/>
  <c r="AC27" i="23"/>
  <c r="AJ27" i="23" s="1"/>
  <c r="AC9" i="23"/>
  <c r="AJ9" i="23" s="1"/>
  <c r="AC17" i="23"/>
  <c r="AT17" i="23" s="1"/>
  <c r="BA17" i="23" s="1"/>
  <c r="AC15" i="23"/>
  <c r="AC10" i="23"/>
  <c r="AC11" i="23"/>
  <c r="AT11" i="23" s="1"/>
  <c r="BA11" i="23" s="1"/>
  <c r="AC18" i="23"/>
  <c r="AT9" i="23"/>
  <c r="BA9" i="23" s="1"/>
  <c r="AT21" i="23"/>
  <c r="BA21" i="23" s="1"/>
  <c r="AJ21" i="23"/>
  <c r="W18" i="23"/>
  <c r="AD18" i="23" s="1"/>
  <c r="AU18" i="23" s="1"/>
  <c r="AJ17" i="23"/>
  <c r="W17" i="23"/>
  <c r="AD17" i="23"/>
  <c r="AU17" i="23" s="1"/>
  <c r="W15" i="23"/>
  <c r="AD15" i="23" s="1"/>
  <c r="AU15" i="23" s="1"/>
  <c r="AR19" i="23"/>
  <c r="AY19" i="23" s="1"/>
  <c r="AH19" i="23"/>
  <c r="AA7" i="23"/>
  <c r="AR17" i="23"/>
  <c r="AY17" i="23" s="1"/>
  <c r="AR13" i="23"/>
  <c r="AY13" i="23" s="1"/>
  <c r="AA48" i="23"/>
  <c r="AH13" i="23"/>
  <c r="AR9" i="23"/>
  <c r="AY9" i="23" s="1"/>
  <c r="AH9" i="23"/>
  <c r="N10" i="23"/>
  <c r="U10" i="23" s="1"/>
  <c r="AB10" i="23" s="1"/>
  <c r="N14" i="23"/>
  <c r="U14" i="23" s="1"/>
  <c r="AB14" i="23" s="1"/>
  <c r="N18" i="23"/>
  <c r="U18" i="23" s="1"/>
  <c r="AB18" i="23" s="1"/>
  <c r="N24" i="23"/>
  <c r="U24" i="23" s="1"/>
  <c r="AB24" i="23" s="1"/>
  <c r="N9" i="23"/>
  <c r="U9" i="23" s="1"/>
  <c r="AB9" i="23" s="1"/>
  <c r="N13" i="23"/>
  <c r="U13" i="23" s="1"/>
  <c r="AB13" i="23" s="1"/>
  <c r="N17" i="23"/>
  <c r="U17" i="23" s="1"/>
  <c r="AB17" i="23" s="1"/>
  <c r="N21" i="23"/>
  <c r="U21" i="23" s="1"/>
  <c r="AB21" i="23" s="1"/>
  <c r="N27" i="23"/>
  <c r="U27" i="23" s="1"/>
  <c r="AB27" i="23" s="1"/>
  <c r="N8" i="23"/>
  <c r="U8" i="23" s="1"/>
  <c r="AB8" i="23" s="1"/>
  <c r="N12" i="23"/>
  <c r="U12" i="23" s="1"/>
  <c r="AB12" i="23" s="1"/>
  <c r="N16" i="23"/>
  <c r="U16" i="23" s="1"/>
  <c r="AB16" i="23" s="1"/>
  <c r="N20" i="23"/>
  <c r="U20" i="23" s="1"/>
  <c r="AB20" i="23" s="1"/>
  <c r="N26" i="23"/>
  <c r="U26" i="23" s="1"/>
  <c r="AB26" i="23" s="1"/>
  <c r="N7" i="23"/>
  <c r="U7" i="23" s="1"/>
  <c r="N11" i="23"/>
  <c r="U11" i="23" s="1"/>
  <c r="AB11" i="23" s="1"/>
  <c r="N15" i="23"/>
  <c r="U15" i="23" s="1"/>
  <c r="AB15" i="23" s="1"/>
  <c r="N19" i="23"/>
  <c r="U19" i="23" s="1"/>
  <c r="AB19" i="23" s="1"/>
  <c r="N25" i="23"/>
  <c r="U25" i="23" s="1"/>
  <c r="AB25" i="23" s="1"/>
  <c r="L8" i="23"/>
  <c r="S8" i="23" s="1"/>
  <c r="Z8" i="23" s="1"/>
  <c r="L10" i="23"/>
  <c r="S10" i="23" s="1"/>
  <c r="Z10" i="23" s="1"/>
  <c r="L12" i="23"/>
  <c r="S12" i="23" s="1"/>
  <c r="Z12" i="23" s="1"/>
  <c r="L13" i="23"/>
  <c r="S13" i="23" s="1"/>
  <c r="Z13" i="23" s="1"/>
  <c r="L15" i="23"/>
  <c r="S15" i="23" s="1"/>
  <c r="Z15" i="23" s="1"/>
  <c r="L17" i="23"/>
  <c r="S17" i="23" s="1"/>
  <c r="Z17" i="23" s="1"/>
  <c r="L19" i="23"/>
  <c r="S19" i="23" s="1"/>
  <c r="Z19" i="23" s="1"/>
  <c r="L21" i="23"/>
  <c r="S21" i="23" s="1"/>
  <c r="Z21" i="23" s="1"/>
  <c r="L25" i="23"/>
  <c r="S25" i="23" s="1"/>
  <c r="Z25" i="23" s="1"/>
  <c r="L27" i="23"/>
  <c r="S27" i="23" s="1"/>
  <c r="Z27" i="23" s="1"/>
  <c r="L9" i="23"/>
  <c r="S9" i="23" s="1"/>
  <c r="Z9" i="23" s="1"/>
  <c r="L11" i="23"/>
  <c r="S11" i="23" s="1"/>
  <c r="Z11" i="23" s="1"/>
  <c r="L7" i="23"/>
  <c r="S7" i="23" s="1"/>
  <c r="L14" i="23"/>
  <c r="S14" i="23" s="1"/>
  <c r="Z14" i="23" s="1"/>
  <c r="L16" i="23"/>
  <c r="S16" i="23" s="1"/>
  <c r="Z16" i="23" s="1"/>
  <c r="L18" i="23"/>
  <c r="S18" i="23" s="1"/>
  <c r="Z18" i="23" s="1"/>
  <c r="L20" i="23"/>
  <c r="S20" i="23" s="1"/>
  <c r="Z20" i="23" s="1"/>
  <c r="L24" i="23"/>
  <c r="S24" i="23" s="1"/>
  <c r="Z24" i="23" s="1"/>
  <c r="L26" i="23"/>
  <c r="S26" i="23" s="1"/>
  <c r="Z26" i="23" s="1"/>
  <c r="W12" i="23"/>
  <c r="AD12" i="23" s="1"/>
  <c r="AU12" i="23" s="1"/>
  <c r="AT15" i="23"/>
  <c r="BA15" i="23" s="1"/>
  <c r="AJ15" i="23"/>
  <c r="W21" i="23"/>
  <c r="AD21" i="23" s="1"/>
  <c r="AU21" i="23" s="1"/>
  <c r="AT10" i="23"/>
  <c r="BA10" i="23" s="1"/>
  <c r="AJ10" i="23"/>
  <c r="AC12" i="23"/>
  <c r="W20" i="23"/>
  <c r="AD20" i="23" s="1"/>
  <c r="AU20" i="23" s="1"/>
  <c r="AC20" i="23"/>
  <c r="W10" i="23"/>
  <c r="AD10" i="23" s="1"/>
  <c r="AU10" i="23" s="1"/>
  <c r="W11" i="23"/>
  <c r="AD11" i="23" s="1"/>
  <c r="AU11" i="23" s="1"/>
  <c r="H22" i="24"/>
  <c r="W13" i="23"/>
  <c r="AD13" i="23" s="1"/>
  <c r="W16" i="23"/>
  <c r="AD16" i="23" s="1"/>
  <c r="AU16" i="23" s="1"/>
  <c r="AC16" i="23"/>
  <c r="W24" i="23"/>
  <c r="AD24" i="23" s="1"/>
  <c r="AU24" i="23" s="1"/>
  <c r="W9" i="23"/>
  <c r="AD9" i="23" s="1"/>
  <c r="AU9" i="23" s="1"/>
  <c r="AC13" i="23"/>
  <c r="AR27" i="23"/>
  <c r="AY27" i="23" s="1"/>
  <c r="AH27" i="23"/>
  <c r="AR26" i="23"/>
  <c r="AY26" i="23" s="1"/>
  <c r="AH26" i="23"/>
  <c r="AR16" i="23"/>
  <c r="AY16" i="23" s="1"/>
  <c r="AH16" i="23"/>
  <c r="AR12" i="23"/>
  <c r="AY12" i="23" s="1"/>
  <c r="AH12" i="23"/>
  <c r="AR8" i="23"/>
  <c r="AY8" i="23" s="1"/>
  <c r="AH8" i="23"/>
  <c r="W27" i="23"/>
  <c r="AD27" i="23" s="1"/>
  <c r="AU27" i="23" s="1"/>
  <c r="W8" i="23"/>
  <c r="AD8" i="23" s="1"/>
  <c r="AU8" i="23" s="1"/>
  <c r="AR25" i="23"/>
  <c r="AY25" i="23" s="1"/>
  <c r="AH25" i="23"/>
  <c r="AR24" i="23"/>
  <c r="AY24" i="23" s="1"/>
  <c r="AH24" i="23"/>
  <c r="AR15" i="23"/>
  <c r="AY15" i="23" s="1"/>
  <c r="AH15" i="23"/>
  <c r="AR11" i="23"/>
  <c r="AY11" i="23" s="1"/>
  <c r="AH11" i="23"/>
  <c r="AT18" i="23"/>
  <c r="BA18" i="23" s="1"/>
  <c r="AJ18" i="23"/>
  <c r="W25" i="23"/>
  <c r="AD25" i="23"/>
  <c r="AU25" i="23" s="1"/>
  <c r="AC8" i="23"/>
  <c r="AC25" i="23"/>
  <c r="W26" i="23"/>
  <c r="AD26" i="23" s="1"/>
  <c r="AU26" i="23" s="1"/>
  <c r="AC26" i="23"/>
  <c r="W19" i="23"/>
  <c r="AD19" i="23" s="1"/>
  <c r="AU19" i="23" s="1"/>
  <c r="W14" i="23"/>
  <c r="AD14" i="23" s="1"/>
  <c r="AU14" i="23" s="1"/>
  <c r="W7" i="23"/>
  <c r="AD7" i="23" s="1"/>
  <c r="AC7" i="23"/>
  <c r="AR21" i="23"/>
  <c r="AY21" i="23" s="1"/>
  <c r="AH21" i="23"/>
  <c r="AR20" i="23"/>
  <c r="AY20" i="23" s="1"/>
  <c r="AH20" i="23"/>
  <c r="AR18" i="23"/>
  <c r="AY18" i="23" s="1"/>
  <c r="AH18" i="23"/>
  <c r="AR14" i="23"/>
  <c r="AY14" i="23" s="1"/>
  <c r="AH14" i="23"/>
  <c r="AR10" i="23"/>
  <c r="AY10" i="23" s="1"/>
  <c r="AH10" i="23"/>
  <c r="AC24" i="23" l="1"/>
  <c r="AT24" i="23" s="1"/>
  <c r="BA24" i="23" s="1"/>
  <c r="AC14" i="23"/>
  <c r="AC41" i="23" s="1"/>
  <c r="T40" i="23"/>
  <c r="AC19" i="23"/>
  <c r="AT27" i="23"/>
  <c r="BA27" i="23" s="1"/>
  <c r="AJ11" i="23"/>
  <c r="AU7" i="23"/>
  <c r="AD47" i="23"/>
  <c r="AD41" i="23"/>
  <c r="AU13" i="23"/>
  <c r="AD48" i="23"/>
  <c r="AQ25" i="23"/>
  <c r="AX25" i="23" s="1"/>
  <c r="AG25" i="23"/>
  <c r="AQ8" i="23"/>
  <c r="AX8" i="23" s="1"/>
  <c r="AG8" i="23"/>
  <c r="AS16" i="23"/>
  <c r="AZ16" i="23" s="1"/>
  <c r="AI16" i="23"/>
  <c r="AS24" i="23"/>
  <c r="AZ24" i="23" s="1"/>
  <c r="AI24" i="23"/>
  <c r="AT12" i="23"/>
  <c r="BA12" i="23" s="1"/>
  <c r="AJ12" i="23"/>
  <c r="AQ18" i="23"/>
  <c r="AX18" i="23" s="1"/>
  <c r="AG18" i="23"/>
  <c r="AQ11" i="23"/>
  <c r="AX11" i="23" s="1"/>
  <c r="AG11" i="23"/>
  <c r="AQ21" i="23"/>
  <c r="AX21" i="23" s="1"/>
  <c r="AG21" i="23"/>
  <c r="AQ13" i="23"/>
  <c r="AX13" i="23" s="1"/>
  <c r="Z48" i="23"/>
  <c r="AG13" i="23"/>
  <c r="AS25" i="23"/>
  <c r="AZ25" i="23" s="1"/>
  <c r="AI25" i="23"/>
  <c r="AB7" i="23"/>
  <c r="U40" i="23"/>
  <c r="AS12" i="23"/>
  <c r="AZ12" i="23" s="1"/>
  <c r="AI12" i="23"/>
  <c r="AS17" i="23"/>
  <c r="AZ17" i="23" s="1"/>
  <c r="AI17" i="23"/>
  <c r="AS18" i="23"/>
  <c r="AZ18" i="23" s="1"/>
  <c r="AI18" i="23"/>
  <c r="AT16" i="23"/>
  <c r="BA16" i="23" s="1"/>
  <c r="AJ16" i="23"/>
  <c r="AQ20" i="23"/>
  <c r="AX20" i="23" s="1"/>
  <c r="AG20" i="23"/>
  <c r="Z7" i="23"/>
  <c r="S40" i="23"/>
  <c r="AQ15" i="23"/>
  <c r="AX15" i="23" s="1"/>
  <c r="AG15" i="23"/>
  <c r="AS11" i="23"/>
  <c r="AZ11" i="23" s="1"/>
  <c r="AI11" i="23"/>
  <c r="AS21" i="23"/>
  <c r="AZ21" i="23" s="1"/>
  <c r="AI21" i="23"/>
  <c r="AR7" i="23"/>
  <c r="AA47" i="23"/>
  <c r="AA49" i="23" s="1"/>
  <c r="E10" i="26" s="1"/>
  <c r="E29" i="29" s="1"/>
  <c r="AA41" i="23"/>
  <c r="AH7" i="23"/>
  <c r="AH41" i="23" s="1"/>
  <c r="AT7" i="23"/>
  <c r="AC47" i="23"/>
  <c r="AJ7" i="23"/>
  <c r="AT20" i="23"/>
  <c r="BA20" i="23" s="1"/>
  <c r="AJ20" i="23"/>
  <c r="AQ26" i="23"/>
  <c r="AX26" i="23" s="1"/>
  <c r="AG26" i="23"/>
  <c r="AQ16" i="23"/>
  <c r="AX16" i="23" s="1"/>
  <c r="AG16" i="23"/>
  <c r="AQ9" i="23"/>
  <c r="AX9" i="23" s="1"/>
  <c r="AG9" i="23"/>
  <c r="AQ19" i="23"/>
  <c r="AX19" i="23" s="1"/>
  <c r="AG19" i="23"/>
  <c r="AQ12" i="23"/>
  <c r="AX12" i="23" s="1"/>
  <c r="AG12" i="23"/>
  <c r="AS19" i="23"/>
  <c r="AZ19" i="23" s="1"/>
  <c r="AI19" i="23"/>
  <c r="AS26" i="23"/>
  <c r="AZ26" i="23" s="1"/>
  <c r="AI26" i="23"/>
  <c r="AS8" i="23"/>
  <c r="AZ8" i="23" s="1"/>
  <c r="AI8" i="23"/>
  <c r="AS13" i="23"/>
  <c r="AZ13" i="23" s="1"/>
  <c r="AB48" i="23"/>
  <c r="AI13" i="23"/>
  <c r="AS14" i="23"/>
  <c r="AZ14" i="23" s="1"/>
  <c r="AI14" i="23"/>
  <c r="AT26" i="23"/>
  <c r="BA26" i="23" s="1"/>
  <c r="AJ26" i="23"/>
  <c r="AT8" i="23"/>
  <c r="BA8" i="23" s="1"/>
  <c r="AJ8" i="23"/>
  <c r="AT25" i="23"/>
  <c r="BA25" i="23" s="1"/>
  <c r="AJ25" i="23"/>
  <c r="AT13" i="23"/>
  <c r="BA13" i="23" s="1"/>
  <c r="AC48" i="23"/>
  <c r="AC50" i="23" s="1"/>
  <c r="AJ13" i="23"/>
  <c r="AQ24" i="23"/>
  <c r="AX24" i="23" s="1"/>
  <c r="AG24" i="23"/>
  <c r="AQ14" i="23"/>
  <c r="AX14" i="23" s="1"/>
  <c r="AG14" i="23"/>
  <c r="AQ27" i="23"/>
  <c r="AX27" i="23" s="1"/>
  <c r="AG27" i="23"/>
  <c r="AQ17" i="23"/>
  <c r="AX17" i="23" s="1"/>
  <c r="AG17" i="23"/>
  <c r="AQ10" i="23"/>
  <c r="AX10" i="23" s="1"/>
  <c r="AG10" i="23"/>
  <c r="AS15" i="23"/>
  <c r="AZ15" i="23" s="1"/>
  <c r="AI15" i="23"/>
  <c r="AS20" i="23"/>
  <c r="AZ20" i="23" s="1"/>
  <c r="AI20" i="23"/>
  <c r="AS27" i="23"/>
  <c r="AZ27" i="23" s="1"/>
  <c r="AI27" i="23"/>
  <c r="AS9" i="23"/>
  <c r="AZ9" i="23" s="1"/>
  <c r="AI9" i="23"/>
  <c r="AS10" i="23"/>
  <c r="AZ10" i="23" s="1"/>
  <c r="AI10" i="23"/>
  <c r="AT19" i="23" l="1"/>
  <c r="BA19" i="23" s="1"/>
  <c r="AJ19" i="23"/>
  <c r="AJ41" i="23" s="1"/>
  <c r="AJ24" i="23"/>
  <c r="AT14" i="23"/>
  <c r="BA14" i="23" s="1"/>
  <c r="AJ14" i="23"/>
  <c r="AD50" i="23"/>
  <c r="AU41" i="23"/>
  <c r="AA50" i="23"/>
  <c r="AT41" i="23"/>
  <c r="BA7" i="23"/>
  <c r="BA41" i="23" s="1"/>
  <c r="AR41" i="23"/>
  <c r="AY7" i="23"/>
  <c r="AY41" i="23" s="1"/>
  <c r="AQ7" i="23"/>
  <c r="Z47" i="23"/>
  <c r="Z49" i="23" s="1"/>
  <c r="F10" i="26" s="1"/>
  <c r="Z41" i="23"/>
  <c r="AG7" i="23"/>
  <c r="AG41" i="23" s="1"/>
  <c r="AS7" i="23"/>
  <c r="AB41" i="23"/>
  <c r="AB47" i="23"/>
  <c r="AB49" i="23" s="1"/>
  <c r="D10" i="26" s="1"/>
  <c r="D29" i="29" s="1"/>
  <c r="AI7" i="23"/>
  <c r="AI41" i="23" s="1"/>
  <c r="AD49" i="23"/>
  <c r="B10" i="26" s="1"/>
  <c r="B29" i="29" s="1"/>
  <c r="AC49" i="23"/>
  <c r="C10" i="26" s="1"/>
  <c r="C29" i="29" s="1"/>
  <c r="AB50" i="23" l="1"/>
  <c r="Z40" i="23"/>
  <c r="Z42" i="23" s="1"/>
  <c r="I29" i="29"/>
  <c r="E42" i="29" s="1"/>
  <c r="F29" i="29"/>
  <c r="H29" i="29"/>
  <c r="G29" i="29"/>
  <c r="C44" i="29" s="1"/>
  <c r="Z50" i="23"/>
  <c r="AS41" i="23"/>
  <c r="AZ7" i="23"/>
  <c r="AZ41" i="23" s="1"/>
  <c r="AQ41" i="23"/>
  <c r="AX7" i="23"/>
  <c r="AX41" i="23" s="1"/>
  <c r="AG40" i="23"/>
  <c r="AH42" i="23" s="1"/>
  <c r="AG42" i="23" l="1"/>
  <c r="AX40" i="23"/>
  <c r="AC42" i="23"/>
  <c r="AD42" i="23"/>
  <c r="AA42" i="23"/>
  <c r="AI42" i="23"/>
  <c r="AQ40" i="23"/>
  <c r="AQ42" i="23" s="1"/>
  <c r="E49" i="25" s="1"/>
  <c r="AB42" i="23"/>
  <c r="AJ42" i="23"/>
  <c r="AY42" i="23" l="1"/>
  <c r="BA42" i="23"/>
  <c r="K49" i="25"/>
  <c r="K51" i="25" s="1"/>
  <c r="F5" i="26"/>
  <c r="AZ42" i="23"/>
  <c r="AU42" i="23"/>
  <c r="J49" i="25" s="1"/>
  <c r="AT42" i="23"/>
  <c r="I49" i="25" s="1"/>
  <c r="AR42" i="23"/>
  <c r="G49" i="25" s="1"/>
  <c r="AS42" i="23"/>
  <c r="H49" i="25" s="1"/>
  <c r="AX42" i="23"/>
  <c r="C5" i="26" l="1"/>
  <c r="N49" i="25"/>
  <c r="N51" i="25" s="1"/>
  <c r="B5" i="26"/>
  <c r="O49" i="25"/>
  <c r="O51" i="25" s="1"/>
  <c r="M49" i="25"/>
  <c r="M51" i="25" s="1"/>
  <c r="D5" i="26"/>
  <c r="L49" i="25"/>
  <c r="L51" i="25" s="1"/>
  <c r="E5" i="26"/>
  <c r="M52" i="25" l="1"/>
  <c r="K52" i="25"/>
  <c r="F75" i="25" s="1"/>
  <c r="D8" i="26"/>
  <c r="H75" i="25"/>
  <c r="N75" i="25" s="1"/>
  <c r="N77" i="25" s="1"/>
  <c r="N52" i="25"/>
  <c r="O52" i="25"/>
  <c r="B8" i="26" s="1"/>
  <c r="L52" i="25"/>
  <c r="F8" i="26" l="1"/>
  <c r="G75" i="25"/>
  <c r="M75" i="25" s="1"/>
  <c r="M77" i="25" s="1"/>
  <c r="E8" i="26"/>
  <c r="I75" i="25"/>
  <c r="O75" i="25" s="1"/>
  <c r="O77" i="25" s="1"/>
  <c r="C8" i="26"/>
  <c r="L75" i="25"/>
  <c r="L77" i="25" s="1"/>
  <c r="R77" i="25" l="1"/>
  <c r="D75" i="25"/>
  <c r="P81" i="25" l="1"/>
  <c r="G9" i="26" s="1"/>
  <c r="N81" i="25"/>
  <c r="D9" i="26" s="1"/>
  <c r="D28" i="29" s="1"/>
  <c r="L81" i="25"/>
  <c r="F9" i="26" s="1"/>
  <c r="M81" i="25"/>
  <c r="E9" i="26" s="1"/>
  <c r="E28" i="29" s="1"/>
  <c r="S81" i="25"/>
  <c r="O81" i="25"/>
  <c r="C9" i="26" s="1"/>
  <c r="C28" i="29" s="1"/>
  <c r="G28" i="29" l="1"/>
  <c r="H28" i="29"/>
  <c r="I28" i="29"/>
  <c r="F28" i="29"/>
  <c r="R81" i="25"/>
  <c r="B9" i="26"/>
  <c r="B28" i="29" s="1"/>
  <c r="E50" i="29" l="1"/>
  <c r="E59" i="29" s="1"/>
  <c r="E54" i="29"/>
  <c r="E63" i="29" s="1"/>
  <c r="C52" i="29"/>
  <c r="C61" i="29" s="1"/>
  <c r="D51" i="29"/>
  <c r="D60" i="29" s="1"/>
  <c r="B52" i="29"/>
  <c r="B61" i="29" s="1"/>
  <c r="B53" i="29"/>
  <c r="B62" i="29" s="1"/>
  <c r="B54" i="29"/>
  <c r="B63" i="29" s="1"/>
  <c r="D50" i="29"/>
  <c r="D59" i="29" s="1"/>
  <c r="C51" i="29"/>
  <c r="C60" i="29" s="1"/>
  <c r="E52" i="29"/>
  <c r="E61" i="29" s="1"/>
  <c r="E53" i="29"/>
  <c r="E62" i="29" s="1"/>
  <c r="C50" i="29"/>
  <c r="C59" i="29" s="1"/>
  <c r="B51" i="29"/>
  <c r="B60" i="29" s="1"/>
  <c r="D52" i="29"/>
  <c r="D61" i="29" s="1"/>
  <c r="D53" i="29"/>
  <c r="D62" i="29" s="1"/>
  <c r="D54" i="29"/>
  <c r="D63" i="29" s="1"/>
  <c r="B50" i="29"/>
  <c r="B59" i="29" s="1"/>
  <c r="E51" i="29"/>
  <c r="E60" i="29" s="1"/>
  <c r="C53" i="29"/>
  <c r="C62" i="29" s="1"/>
  <c r="C54" i="29"/>
  <c r="C63" i="29" s="1"/>
</calcChain>
</file>

<file path=xl/comments1.xml><?xml version="1.0" encoding="utf-8"?>
<comments xmlns="http://schemas.openxmlformats.org/spreadsheetml/2006/main">
  <authors>
    <author>George Moran</author>
    <author>Wornell, Dave I.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£0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8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8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1">
      <text>
        <r>
          <rPr>
            <b/>
            <sz val="9"/>
            <color indexed="81"/>
            <rFont val="Tahoma"/>
            <family val="2"/>
          </rPr>
          <t>Wornell, Dave I.:</t>
        </r>
        <r>
          <rPr>
            <sz val="9"/>
            <color indexed="81"/>
            <rFont val="Tahoma"/>
            <family val="2"/>
          </rPr>
          <t xml:space="preserve">
Not sure where this number has come from. Was a paste special in the old model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<sst xmlns="http://schemas.openxmlformats.org/spreadsheetml/2006/main" count="4157" uniqueCount="1147">
  <si>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</si>
  <si>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</si>
  <si>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</si>
  <si>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</si>
  <si>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</si>
  <si>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</si>
  <si>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</si>
  <si>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</si>
  <si>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</si>
  <si>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</si>
  <si>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</si>
  <si>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</si>
  <si>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</si>
  <si>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</si>
  <si>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</si>
  <si>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</si>
  <si>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</si>
  <si>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</si>
  <si>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</si>
  <si>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</si>
  <si>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</si>
  <si>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</si>
  <si>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</si>
  <si>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</si>
  <si>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</si>
  <si>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</si>
  <si>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</si>
  <si>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</si>
  <si>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</si>
  <si>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</si>
  <si>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</si>
  <si>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</si>
  <si>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</si>
  <si>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</si>
  <si>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</si>
  <si>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</si>
  <si>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</si>
  <si>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</si>
  <si>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</si>
  <si>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</si>
  <si>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</si>
  <si>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</si>
  <si>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</si>
  <si>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</si>
  <si>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</si>
  <si>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</si>
  <si>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</si>
  <si>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</si>
  <si>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</si>
  <si>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</si>
  <si>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</si>
  <si>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</si>
  <si>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</si>
  <si>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</si>
  <si>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</si>
  <si>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</si>
  <si>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</si>
  <si>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</si>
  <si>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</si>
  <si>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</si>
  <si>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</si>
  <si>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</si>
  <si>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</si>
  <si>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</si>
  <si>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</si>
  <si>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</si>
  <si>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</si>
  <si>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</si>
  <si>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</si>
  <si>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</si>
  <si>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</si>
  <si>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</si>
  <si>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</si>
  <si>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</si>
  <si>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</si>
  <si>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</si>
  <si>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</si>
  <si>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</si>
  <si>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</si>
  <si>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</si>
  <si>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</si>
  <si>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</si>
  <si>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</si>
  <si>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</si>
  <si>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</si>
  <si>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</si>
  <si>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</si>
  <si>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</si>
  <si>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</si>
  <si>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</si>
  <si>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</si>
  <si>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</si>
  <si>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</si>
  <si>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</si>
  <si>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</si>
  <si>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</si>
  <si>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</si>
  <si>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</si>
  <si>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</si>
  <si>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</si>
  <si>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</si>
  <si>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</si>
  <si>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</si>
  <si>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</si>
  <si>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</si>
  <si>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</si>
  <si>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</si>
  <si>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</si>
  <si>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</si>
  <si>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</si>
  <si>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</si>
  <si>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</si>
  <si>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</si>
  <si>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</si>
  <si>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</si>
  <si>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</si>
  <si>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</si>
  <si>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</si>
  <si>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</si>
  <si>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</si>
  <si>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</si>
  <si>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</si>
  <si>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</si>
  <si>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</si>
  <si>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</si>
  <si>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</si>
  <si>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</si>
  <si>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</si>
  <si>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</si>
  <si>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</si>
  <si>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</si>
  <si>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</si>
  <si>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</si>
  <si>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</si>
  <si>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</si>
  <si>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</si>
  <si>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</si>
  <si>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</si>
  <si>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</si>
  <si>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</si>
  <si>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</si>
  <si>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</si>
  <si>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</si>
  <si>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</si>
  <si>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</si>
  <si>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</si>
  <si>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</si>
  <si>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</si>
  <si>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</si>
  <si>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</si>
  <si>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</si>
  <si>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</si>
  <si>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</si>
  <si>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</si>
  <si>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</si>
  <si>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</si>
  <si>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</si>
  <si>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</si>
  <si>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</si>
  <si>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</si>
  <si>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</si>
  <si>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</si>
  <si>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</si>
  <si>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</si>
  <si>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</si>
  <si>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</si>
  <si>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</si>
  <si>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</si>
  <si>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</si>
  <si>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</si>
  <si>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</si>
  <si>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</si>
  <si>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</si>
  <si>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</si>
  <si>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</si>
  <si>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</si>
  <si>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</si>
  <si>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</si>
  <si>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</si>
  <si>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</si>
  <si>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</si>
  <si>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</si>
  <si>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</si>
  <si>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</si>
  <si>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</si>
  <si>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</si>
  <si>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</si>
  <si>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</si>
  <si>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</si>
  <si>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</si>
  <si>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</si>
  <si>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</si>
  <si>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</si>
  <si>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</si>
  <si>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</si>
  <si>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</si>
  <si>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</si>
  <si>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</si>
  <si>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</si>
  <si>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</si>
  <si>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</si>
  <si>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</si>
  <si>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</si>
  <si>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</si>
  <si>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</si>
  <si>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</si>
  <si>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</si>
  <si>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</si>
  <si>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</si>
  <si>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</si>
  <si>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</si>
  <si>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</si>
  <si>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</si>
  <si>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</si>
  <si>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</si>
  <si>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</si>
  <si>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</si>
  <si>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</si>
  <si>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</si>
  <si>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</si>
  <si>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</si>
  <si>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</si>
  <si>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</si>
  <si>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</si>
  <si>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</si>
  <si>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</si>
  <si>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</si>
  <si>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</si>
  <si>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</si>
  <si>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</si>
  <si>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</si>
  <si>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</si>
  <si>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</si>
  <si>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</si>
  <si>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</si>
  <si>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</si>
  <si>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</si>
  <si>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</si>
  <si>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</si>
  <si>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</si>
  <si>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</si>
  <si>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</si>
  <si>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</si>
  <si>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</si>
  <si>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</si>
  <si>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</si>
  <si>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</si>
  <si>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</si>
  <si>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</si>
  <si>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</si>
  <si>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</si>
  <si>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</si>
  <si>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</si>
  <si>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</si>
  <si>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</si>
  <si>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</si>
  <si>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</si>
  <si>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</si>
  <si>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</si>
  <si>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</si>
  <si>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</si>
  <si>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</si>
  <si>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</si>
  <si>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</si>
  <si>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</si>
  <si>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</si>
  <si>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</si>
  <si>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</si>
  <si>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</si>
  <si>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</si>
  <si>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</si>
  <si>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</si>
  <si>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</si>
  <si>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</si>
  <si>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</si>
  <si>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</si>
  <si>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</si>
  <si>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</si>
  <si>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</si>
  <si>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</si>
  <si>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</si>
  <si>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</si>
  <si>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</si>
  <si>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</si>
  <si>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</si>
  <si>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</si>
  <si>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</si>
  <si>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</si>
  <si>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</si>
  <si>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</si>
  <si>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</si>
  <si>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</si>
  <si>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</si>
  <si>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</si>
  <si>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</si>
  <si>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</si>
  <si>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</si>
  <si>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</si>
  <si>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</si>
  <si>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</si>
  <si>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</si>
  <si>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</si>
  <si>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</si>
  <si>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</si>
  <si>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</si>
  <si>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</si>
  <si>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</si>
  <si>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</si>
  <si>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</si>
  <si>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</si>
  <si>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</si>
  <si>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</si>
  <si>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</si>
  <si>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</si>
  <si>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</si>
  <si>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</si>
  <si>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</si>
  <si>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</si>
  <si>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</si>
  <si>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</si>
  <si>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</si>
  <si>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</si>
  <si>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</si>
  <si>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</si>
  <si>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</si>
  <si>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</si>
  <si>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</si>
  <si>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</si>
  <si>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</si>
  <si>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</si>
  <si>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</si>
  <si>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</si>
  <si>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</si>
  <si>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</si>
  <si>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</si>
  <si>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</si>
  <si>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</si>
  <si>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</si>
  <si>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</si>
  <si>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</si>
  <si>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</si>
  <si>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</si>
  <si>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</si>
  <si>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</si>
  <si>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</si>
  <si>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</si>
  <si>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</si>
  <si>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</si>
  <si>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</si>
  <si>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</si>
  <si>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</si>
  <si>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</si>
  <si>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</si>
  <si>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</si>
  <si>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</si>
  <si>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</si>
  <si>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</si>
  <si>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</si>
  <si>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</si>
  <si>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</si>
  <si>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</si>
  <si>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</si>
  <si>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</si>
  <si>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</si>
  <si>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</si>
  <si>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</si>
  <si>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</si>
  <si>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</si>
  <si>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</si>
  <si>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</si>
  <si>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</si>
  <si>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</si>
  <si>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</si>
  <si>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</si>
  <si>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</si>
  <si>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</si>
  <si>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</si>
  <si>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</si>
  <si>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</si>
  <si>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</si>
  <si>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</si>
  <si>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</si>
  <si>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</si>
  <si>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</si>
  <si>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</si>
  <si>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</si>
  <si>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</si>
  <si>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</si>
  <si>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</si>
  <si>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</si>
  <si>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</si>
  <si>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</si>
  <si>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</si>
  <si>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</si>
  <si>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</si>
  <si>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</si>
  <si>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</si>
  <si>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</si>
  <si>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</si>
  <si>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</si>
  <si>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</si>
  <si>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</si>
  <si>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</si>
  <si>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</si>
  <si>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</si>
  <si>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</si>
  <si>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</si>
  <si>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</si>
  <si>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</si>
  <si>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</si>
  <si>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</si>
  <si>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</si>
  <si>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</si>
  <si>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</si>
  <si>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</si>
  <si>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</si>
  <si>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</si>
  <si>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</si>
  <si>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</si>
  <si>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</si>
  <si>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</si>
  <si>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</si>
  <si>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</si>
  <si>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</si>
  <si>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</si>
  <si>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</si>
  <si>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</si>
  <si>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</si>
  <si>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</si>
  <si>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</si>
  <si>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</si>
  <si>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</si>
  <si>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</si>
  <si>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</si>
  <si>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</si>
  <si>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</si>
  <si>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</si>
  <si>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</si>
  <si>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</si>
  <si>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</si>
  <si>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</si>
  <si>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</si>
  <si>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</si>
  <si>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</si>
  <si>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</si>
  <si>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</si>
  <si>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</si>
  <si>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</si>
  <si>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</si>
  <si>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</si>
  <si>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</si>
  <si>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</si>
  <si>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</si>
  <si>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</si>
  <si>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</si>
  <si>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</si>
  <si>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</si>
  <si>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</si>
  <si>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</si>
  <si>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</si>
  <si>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</si>
  <si>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</si>
  <si>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</si>
  <si>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</si>
  <si>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</si>
  <si>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</si>
  <si>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</si>
  <si>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</si>
  <si>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</si>
  <si>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</si>
  <si>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</si>
  <si>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</si>
  <si>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</si>
  <si>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</si>
  <si>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</si>
  <si>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</si>
  <si>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</si>
  <si>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</si>
  <si>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</si>
  <si>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</si>
  <si>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</si>
  <si>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</si>
  <si>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</si>
  <si>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</si>
  <si>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</si>
  <si>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</si>
  <si>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</si>
  <si>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</si>
  <si>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</si>
  <si>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</si>
  <si>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</si>
  <si>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</si>
  <si>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</si>
  <si>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</si>
  <si>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</si>
  <si>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</si>
  <si>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</si>
  <si>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</si>
  <si>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</si>
  <si>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</si>
  <si>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</si>
  <si>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</si>
  <si>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</si>
  <si>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</si>
  <si>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</si>
  <si>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</si>
  <si>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</si>
  <si>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</si>
  <si>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</si>
  <si>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</si>
  <si>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</si>
  <si>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</si>
  <si>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</si>
  <si>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</si>
  <si>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</si>
  <si>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</si>
  <si>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</si>
  <si>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</si>
  <si>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</si>
  <si>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</si>
  <si>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</si>
  <si>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</si>
  <si>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</si>
  <si>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</si>
  <si>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</si>
  <si>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</si>
  <si>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</si>
  <si>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</si>
  <si>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</si>
  <si>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</si>
  <si>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</si>
  <si>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</si>
  <si>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</si>
  <si>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</si>
  <si>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</si>
  <si>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</si>
  <si>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</si>
  <si>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</si>
  <si>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</si>
  <si>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</si>
  <si>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</si>
  <si>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</si>
  <si>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</si>
  <si>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</si>
  <si>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</si>
  <si>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</si>
  <si>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</si>
  <si>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</si>
  <si>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</si>
  <si>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</si>
  <si>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</si>
  <si>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</si>
  <si>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</si>
  <si>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</si>
  <si>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</si>
  <si>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</si>
  <si>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</si>
  <si>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</si>
  <si>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</si>
  <si>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</si>
  <si>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</si>
  <si>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</si>
  <si>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</si>
  <si>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</si>
  <si>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</si>
  <si>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</si>
  <si>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</si>
  <si>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</si>
  <si>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</si>
  <si>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</si>
  <si>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</si>
  <si>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</si>
  <si>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</si>
  <si>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</si>
  <si>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</si>
  <si>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</si>
  <si>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</si>
  <si>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</si>
  <si>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</si>
  <si>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</si>
  <si>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</si>
  <si>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</si>
  <si>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</si>
  <si>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</si>
  <si>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</si>
  <si>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</si>
  <si>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</si>
  <si>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</si>
  <si>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</si>
  <si>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</si>
  <si>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</si>
  <si>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</si>
  <si>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</si>
  <si>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</si>
  <si>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</si>
  <si>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</si>
  <si>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</si>
  <si>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</si>
  <si>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</si>
  <si>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</si>
  <si>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</si>
  <si>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</si>
  <si>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</si>
  <si>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</si>
  <si>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</si>
  <si>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</si>
  <si>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</si>
  <si>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</si>
  <si>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</si>
  <si>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</si>
  <si>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</si>
  <si>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</si>
  <si>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</si>
  <si>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</si>
  <si>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</si>
  <si>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</si>
  <si>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</si>
  <si>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</si>
  <si>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</si>
  <si>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</si>
  <si>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</si>
  <si>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</si>
  <si>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</si>
  <si>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</si>
  <si>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</si>
  <si>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</si>
  <si>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</si>
  <si>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</si>
  <si>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</si>
  <si>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</si>
  <si>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</si>
  <si>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</si>
  <si>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</si>
  <si>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</si>
  <si>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</si>
  <si>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</si>
  <si>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</si>
  <si>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</si>
  <si>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</si>
  <si>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</si>
  <si>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</si>
  <si>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</si>
  <si>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</si>
  <si>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</si>
  <si>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</si>
  <si>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</si>
  <si>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</si>
  <si>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</si>
  <si>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</si>
  <si>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</si>
  <si>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</si>
  <si>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</si>
  <si>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</si>
  <si>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</si>
  <si>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</si>
  <si>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</si>
  <si>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</si>
  <si>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</si>
  <si>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</si>
  <si>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</si>
  <si>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</si>
  <si>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</si>
  <si>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</si>
  <si>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</si>
  <si>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</si>
  <si>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</si>
  <si>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</si>
  <si>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</si>
  <si>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</si>
  <si>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</si>
  <si>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</si>
  <si>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</si>
  <si>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</si>
  <si>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</si>
  <si>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</si>
  <si>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</si>
  <si>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</si>
  <si>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</si>
  <si>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</si>
  <si>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</si>
  <si>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</si>
  <si>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</si>
  <si>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</si>
  <si>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</si>
  <si>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</si>
  <si>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</si>
  <si>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</si>
  <si>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</si>
  <si>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</si>
  <si>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</si>
  <si>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</si>
  <si>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</si>
  <si>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</si>
  <si>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</si>
  <si>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</si>
  <si>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</si>
  <si>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</si>
  <si>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</si>
  <si>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</si>
  <si>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</si>
  <si>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</si>
  <si>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</si>
  <si>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</si>
  <si>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</si>
  <si>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</si>
  <si>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</si>
  <si>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</si>
  <si>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</si>
  <si>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</si>
  <si>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</si>
  <si>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</si>
  <si>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</si>
  <si>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</si>
  <si>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</si>
  <si>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</si>
  <si>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</si>
  <si>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</si>
  <si>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</si>
  <si>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</si>
  <si>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</si>
  <si>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</si>
  <si>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</si>
  <si>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</si>
  <si>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</si>
  <si>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</si>
  <si>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</si>
  <si>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</si>
  <si>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</si>
  <si>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</si>
  <si>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</si>
  <si>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</si>
  <si>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</si>
  <si>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</si>
  <si>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</si>
  <si>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</si>
  <si>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</si>
  <si>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</si>
  <si>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</si>
  <si>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</si>
  <si>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</si>
  <si>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</si>
  <si>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</si>
  <si>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</si>
  <si>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</si>
  <si>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</si>
  <si>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</si>
  <si>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</si>
  <si>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</si>
  <si>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</si>
  <si>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</si>
  <si>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</si>
  <si>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</si>
  <si>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</si>
  <si>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</si>
  <si>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</si>
  <si>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</si>
  <si>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</si>
  <si>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</si>
  <si>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</si>
  <si>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</si>
  <si>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</si>
  <si>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</si>
  <si>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</si>
  <si>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</si>
  <si>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</si>
  <si>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</si>
  <si>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</si>
  <si>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</si>
  <si>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</si>
  <si>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</si>
  <si>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</si>
  <si>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</si>
  <si>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</si>
  <si>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</si>
  <si>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</si>
  <si>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</si>
  <si>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</si>
  <si>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</si>
  <si>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</si>
  <si>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</si>
  <si>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</si>
  <si>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</si>
  <si>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</si>
  <si>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</si>
  <si>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</si>
  <si>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</si>
  <si>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</si>
  <si>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</si>
  <si>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</si>
  <si>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</si>
  <si>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</si>
  <si>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</si>
  <si>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</si>
  <si>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</si>
  <si>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</si>
  <si>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</si>
  <si>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</si>
  <si>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</si>
  <si>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</si>
  <si>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</si>
  <si>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</si>
  <si>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</si>
  <si>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</si>
  <si>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</si>
  <si>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</si>
  <si>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</si>
  <si>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</si>
  <si>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</si>
  <si>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</si>
  <si>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</si>
  <si>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</si>
  <si>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</si>
  <si>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</si>
  <si>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</si>
  <si>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</si>
  <si>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</si>
  <si>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</si>
  <si>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</si>
  <si>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</si>
  <si>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</si>
  <si>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</si>
  <si>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</si>
  <si>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</si>
  <si>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</si>
  <si>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</si>
  <si>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</si>
  <si>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</si>
  <si>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</si>
  <si>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</si>
  <si>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</si>
  <si>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</si>
  <si>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</si>
  <si>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</si>
  <si>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</si>
  <si>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</si>
  <si>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</si>
  <si>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</si>
  <si>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</si>
  <si>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</si>
  <si>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</si>
  <si>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</si>
  <si>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</si>
  <si>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</si>
  <si>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</si>
  <si>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</si>
  <si>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</si>
  <si>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</si>
  <si>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</si>
  <si>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</si>
  <si>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</si>
  <si>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</si>
  <si>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</si>
  <si>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</si>
  <si>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</si>
  <si>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</si>
  <si>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</si>
  <si>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</si>
  <si>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</si>
  <si>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</si>
  <si>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</si>
  <si>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</si>
  <si>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</si>
  <si>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</si>
  <si>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</si>
  <si>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</si>
  <si>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</si>
  <si>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</si>
  <si>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</si>
  <si>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</si>
  <si>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</si>
  <si>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</si>
  <si>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</si>
  <si>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</si>
  <si>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</si>
  <si>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</si>
  <si>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</si>
  <si>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</si>
  <si>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</si>
  <si>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</si>
  <si>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</si>
  <si>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</si>
  <si>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</si>
  <si>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</si>
  <si>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</si>
  <si>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</si>
  <si>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</si>
  <si>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</si>
  <si>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</si>
  <si>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</si>
  <si>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</si>
  <si>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</si>
  <si>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</si>
  <si>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</si>
  <si>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</si>
  <si>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</si>
  <si>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</si>
  <si>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</si>
  <si>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</si>
  <si>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</si>
  <si>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</si>
  <si>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</si>
  <si>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</si>
  <si>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</si>
  <si>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</si>
  <si>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</si>
  <si>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</si>
  <si>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</si>
  <si>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</si>
  <si>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</si>
  <si>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</si>
  <si>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</si>
  <si>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</si>
  <si>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</si>
  <si>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</si>
  <si>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</si>
  <si>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</si>
  <si>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</si>
  <si>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</si>
  <si>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</si>
  <si>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</si>
  <si>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</si>
  <si>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</si>
  <si>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</si>
  <si>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</si>
  <si>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</si>
  <si>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</si>
  <si>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</si>
  <si>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</si>
  <si>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</si>
  <si>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</si>
  <si>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</si>
  <si>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</si>
  <si>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</si>
  <si>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</si>
  <si>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</si>
  <si>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</si>
  <si>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</si>
  <si>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</si>
  <si>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</si>
  <si>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</si>
  <si>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</si>
  <si>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</si>
  <si>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</si>
  <si>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</si>
  <si>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</si>
  <si>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</si>
  <si>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</si>
  <si>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</si>
  <si>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</si>
  <si>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</si>
  <si>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</si>
  <si>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</si>
  <si>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</si>
  <si>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</si>
  <si>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</si>
  <si>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</si>
  <si>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</si>
  <si>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</si>
  <si>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</si>
  <si>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</si>
  <si>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</si>
  <si>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</si>
  <si>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</si>
  <si>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</si>
  <si>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</si>
  <si>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</si>
  <si>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</si>
  <si>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</si>
  <si>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</si>
  <si>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</si>
  <si>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</si>
  <si>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</si>
  <si>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</si>
  <si>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</si>
  <si>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</si>
  <si>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</si>
  <si>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</si>
  <si>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</si>
  <si>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</si>
  <si>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</si>
  <si>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</si>
  <si>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</si>
  <si>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Mid East</t>
  </si>
  <si>
    <t>Finals</t>
  </si>
  <si>
    <t>-</t>
  </si>
  <si>
    <t>Index</t>
  </si>
  <si>
    <t/>
  </si>
  <si>
    <t>Increase/Reduction in max demand</t>
  </si>
  <si>
    <t>Increase/Reduction in units distributed</t>
  </si>
  <si>
    <t>0</t>
  </si>
  <si>
    <t>EDFE SPN</t>
  </si>
  <si>
    <t>Expenditure on DSM to avoid general reinforcement</t>
  </si>
  <si>
    <t>Planned reinforce-ment Year</t>
  </si>
  <si>
    <t>Annesley - Hucknall 33kV</t>
  </si>
  <si>
    <t>33kV</t>
  </si>
  <si>
    <t>b</t>
  </si>
  <si>
    <t>Uprating 33kV double circuit line to 40MVA and interconnection of cables via Linby (approx 10km of cable)</t>
  </si>
  <si>
    <t>Bainton - new GSP</t>
  </si>
  <si>
    <t>a</t>
  </si>
  <si>
    <t>Reconfiguration of the 132kV circuit between Bourne and Stamford</t>
  </si>
  <si>
    <t>Berkswell - Coventry South / Coventry West 132kV</t>
  </si>
  <si>
    <t>Installation of a third circuit from Berkswell.  Alternatively for SCO only, re-energisation of Coventry South - Whitley 132kV circuits</t>
  </si>
  <si>
    <t>Billingborough 33/11kV Substation</t>
  </si>
  <si>
    <t>c</t>
  </si>
  <si>
    <t>Installation of new 10km circuit from Great Hale to Billingborough and additional transformer at Billingborough</t>
  </si>
  <si>
    <t>Bourne 33/11kV Transformer Replacement</t>
  </si>
  <si>
    <t>Uprating of 2 x 10/14.5MVA 33/11kV transformers with 12/24MVA units</t>
  </si>
  <si>
    <t>Brackley - Banbury group P2/6 SCO security</t>
  </si>
  <si>
    <t>Installation of a third 132kV circuit. Costs split evenly across East and West. Wayleaves only in DPCR5, construction in DPCR6.</t>
  </si>
  <si>
    <t>Brackley Town 33/11kV reinforcement</t>
  </si>
  <si>
    <t>Installation of Brackley local primary or strapping 33kV OHL circuits from Brackley Grid together. Installation of a new 33kV circuit (3km), uprating the existing transformers with 2 x 20/40MVA units and installation of a 2000A switchboard</t>
  </si>
  <si>
    <t>Bradwell Abbey 132/33kV reinforcement</t>
  </si>
  <si>
    <t>Installation of a third grid transformer and third section of switchboard</t>
  </si>
  <si>
    <t>Braunstone, Jupiter &amp; Groby Road 33/11kV reinforcement</t>
  </si>
  <si>
    <t>Installation of new 40MVA 33/11kV primary on Hinckley Rd reserve site. Modification of 11kV circuits to enable load transfers.</t>
  </si>
  <si>
    <t>Burton 132/33kV transformer change</t>
  </si>
  <si>
    <t>Uprating the existing 132/33kV transformers with 2 x 90MVA units.</t>
  </si>
  <si>
    <t>Cannon Street 33/11kV reinforcement</t>
  </si>
  <si>
    <t xml:space="preserve">Installation of a 132/11kV primary at Wellingborough Grid to transfer demand off Cannon Street.  </t>
  </si>
  <si>
    <t>Caythorpe 33/11kV</t>
  </si>
  <si>
    <t>Uprating transformer T1 (10.85MVA) with 24MVA transformer</t>
  </si>
  <si>
    <t xml:space="preserve">Clifton 33/11kV reinforcement </t>
  </si>
  <si>
    <t>Installation of a third 33kV circuit and a third 33/11kV 24MVA transformer</t>
  </si>
  <si>
    <t>Coalville 33/11kV transformer change</t>
  </si>
  <si>
    <t>Uprating transformers for larger units.</t>
  </si>
  <si>
    <t>Colwick 33/11kV reinforcement</t>
  </si>
  <si>
    <t>Installation of a third 33kV circuit from Notts East and a third 33/11kV 40MVA transformer. Reconfiguration of Cotgrave 33kV interconnection.</t>
  </si>
  <si>
    <t>Copsewood 33/11kv reinforcement</t>
  </si>
  <si>
    <t>Installation of 40MVA 33kV circuits, transformers and switchgear or installation of a 33/11kV 24MVA primary at Binley.</t>
  </si>
  <si>
    <t xml:space="preserve">Coventry - Rugby 132kV cct reinforcement </t>
  </si>
  <si>
    <t>Transfer of Hinckley to Enderby GSP using the disconnected CA line. Refurbishment of CA1&amp;2.</t>
  </si>
  <si>
    <t>Coventry South 33/11kV Reinforcement</t>
  </si>
  <si>
    <t>Uprating transformers with 20/40 33/11kV units or 30MVA 132/11kV units.</t>
  </si>
  <si>
    <t>Dillotford Avenue 33/11kV Reinforcement</t>
  </si>
  <si>
    <t>Uprating 33kV circuits with 40MVA rated cables and uprating transformers</t>
  </si>
  <si>
    <t>Farndon Road 33kV switchgear reconfiguration</t>
  </si>
  <si>
    <t>g</t>
  </si>
  <si>
    <t>Switchgear reconfiguration</t>
  </si>
  <si>
    <t>Field Street T3 overload</t>
  </si>
  <si>
    <t>Installation of auto opening scheme on the T2-T3 bus section for the loss of T1 or T2, or transfer load to Kettering North at 11kV or Uprate transformer T3.</t>
  </si>
  <si>
    <t>Fiskerton 33/11kV reinforcement</t>
  </si>
  <si>
    <t xml:space="preserve">Uprating existing transformers with 2 x 12/24 MVA units. </t>
  </si>
  <si>
    <t>Gresley - Moira - Ashby - Woodville - Willesley ccts</t>
  </si>
  <si>
    <t>Installation of additional circuits from Gresley &amp; splitting existing circuits.</t>
  </si>
  <si>
    <t>Hatton 33/11kV reinforcement</t>
  </si>
  <si>
    <t>Uprating the existing 2 x 24MVA transformers with 40MVA units and changing the 11kV switchboard.</t>
  </si>
  <si>
    <t>Hawton SCO Reinforcement and BSP reinforcement</t>
  </si>
  <si>
    <t>Replacement of circuit breakers at Staythorpe, additional transformer capacity and 132kV busbars.</t>
  </si>
  <si>
    <t>Heanor 33/11kV  reinforcement</t>
  </si>
  <si>
    <t>Uprating of existing transformers with 20/40 33/11kV units and replacement of circuits 2 x 85m</t>
  </si>
  <si>
    <t>Heanor BSP reinforcement</t>
  </si>
  <si>
    <t>Uprating existing 132/33kV transformer with 120MVA units at Heanor. Looping the 132kV circuit (3km) into Stanton with two new CBs.</t>
  </si>
  <si>
    <t>Kenilworth 33/11kV Reinforcement</t>
  </si>
  <si>
    <t>Installation of a new 33/11kV primary (North Kenilworth) to offload Kenilworth.</t>
  </si>
  <si>
    <t>Kibworth 33/11kV transformer replacement</t>
  </si>
  <si>
    <t>Uprating 33/11kV transformers with 24MVA units.</t>
  </si>
  <si>
    <t>Leicester East - Salutation - Thurmaston 33kV circuit</t>
  </si>
  <si>
    <t>Installation of third and fourth circuits to remove tee-off radial circuits.</t>
  </si>
  <si>
    <t>Lincoln 132/33kV reinforcement</t>
  </si>
  <si>
    <t>Installation of new third 132/33kV 90MVA transformer</t>
  </si>
  <si>
    <t>Lincoln BSP</t>
  </si>
  <si>
    <t>Creation of 132kV cross bay</t>
  </si>
  <si>
    <t>Mackworth 33/11kV reinforcement</t>
  </si>
  <si>
    <t>Installation of a third 33kV circuit (3.5km) and a third transformer (12/24MVA).</t>
  </si>
  <si>
    <t>Middlefield/Barwell 33kV circuit reinforcement</t>
  </si>
  <si>
    <t>Overlaying short lower rated sections of 33kV circuits increasing the rating to 40MVA.</t>
  </si>
  <si>
    <t>Millclose transformer and switchboard replacement</t>
  </si>
  <si>
    <t>Uprating 33/11kV transformer and 11kV switchboard</t>
  </si>
  <si>
    <t>Milton Keynes additional BSP - acquire site and 132kV route</t>
  </si>
  <si>
    <t>Phase 1 - Acquisition of a reserved BSP site on the north eastern edge of the city and a route to an appropriate GSP.</t>
  </si>
  <si>
    <t>Mountsorrel / Syston 33kV ccts</t>
  </si>
  <si>
    <t>Extension of Syston - Mountsorrel 33kV circuit into mid point at Mountsorrel and Syston, installation of RMU and changeover scheme at each end</t>
  </si>
  <si>
    <t>Normanton 33/11kV reinforcement</t>
  </si>
  <si>
    <t>Uprating 33/11kV transformers with 40MVA units.</t>
  </si>
  <si>
    <t>Northampton 132kV reinforcement</t>
  </si>
  <si>
    <t>Installation of fourth 132kV circuit from Grendon to Northampton. Reconfiguration of 132kV running arrangement.</t>
  </si>
  <si>
    <t>Northampton West - Kingsthorpe 33kV circuit reinforcement</t>
  </si>
  <si>
    <t>Installation of 33kV and 11kV switchgear to accommodate all the potential 33kV circuit outages</t>
  </si>
  <si>
    <t>Nottingham North BSP</t>
  </si>
  <si>
    <t>Installation of new 33/11kV substation in vicinity of BSP site (5km double circuit 33kV cable assumed)</t>
  </si>
  <si>
    <t>Nott'm East - Colwick 33kV cct</t>
  </si>
  <si>
    <t>Installation of two new 40MVA cable circuits to tee point to create two direct circuits to Colwick (3km)</t>
  </si>
  <si>
    <t>Olney 33/11kV reinforcement</t>
  </si>
  <si>
    <t>Uprating the existing 33/11kV transformer with 24MVA units and reinforcement of 33kV circuits</t>
  </si>
  <si>
    <t>Raunds 33/11kV reinforcement</t>
  </si>
  <si>
    <t>Installation of a new 40MVA 33kV circuit from Irthlingborough Grid. Uprate transformer with a 12/24MVA unit and install a 2nd 12/24MVA unit.</t>
  </si>
  <si>
    <t>Raynesway 33/11kV Substation</t>
  </si>
  <si>
    <t>Installation of a new 33/11kV primary substation</t>
  </si>
  <si>
    <t>Ripley 33/11kV reinforcement</t>
  </si>
  <si>
    <t>Installation of a third 33kV circuit (6.4km) and a third transformer (12/24MVA).</t>
  </si>
  <si>
    <t>Rugby - Harbury 132kV circuit (Warwick &amp; Harbury Security)</t>
  </si>
  <si>
    <t>Installation of a 132kV interconnector between Harbury and Rugby.</t>
  </si>
  <si>
    <t>Rugby 132/33kV reinforcement</t>
  </si>
  <si>
    <t>Installation of a third 132/33kV transformer or alternatively a 132/11kV double wound transformer at Rugby BSP.</t>
  </si>
  <si>
    <t>Rushden 33/11kV reinforcement</t>
  </si>
  <si>
    <t>Installation of 2 x 40MVA 33kV circuits from Irthlingborough Grid to Rushden and 2 x 20/40MVA 33/11kV transformers at Rushden OR Installation of a 40MVA 33kV cable circuit from Wellingborough - Little Irchester to pick up existing Little Irchester - Rushden 33kV line and uprating Little Irchester.</t>
  </si>
  <si>
    <t>Salutation 33/6.6kV reinforcement</t>
  </si>
  <si>
    <t>Uprating 6.6kV network to 11kV to reduce demand on Salutation s/s.</t>
  </si>
  <si>
    <t>Spondon - Stanton - Heanor - Annesley 132kV reinforcement</t>
  </si>
  <si>
    <t>j</t>
  </si>
  <si>
    <t>Looping 132kV circuit through Heanor, installation of 2 x 132kV circuit breakers at Heanor</t>
  </si>
  <si>
    <t>Spondon 33/11kV reinforcement</t>
  </si>
  <si>
    <t>Installation of a third transformer (20/40MVA).  Co-ordination with 11kV and 33kV switchgear replacements.</t>
  </si>
  <si>
    <t>Stamford 132/33/11kV reinforcement</t>
  </si>
  <si>
    <t>Uprating 33/11kV transformers with 40MVA units</t>
  </si>
  <si>
    <t xml:space="preserve">Stoke Bardolph - New GSP </t>
  </si>
  <si>
    <t>Installation of new GSP to support Ratcliffe picking up Nottingham East on new 132kV cable and new OHL for new BSP to pick up Notts North.</t>
  </si>
  <si>
    <t>Stony Stratford - Buckingham - Wicken - Towcester circuit reinforcement</t>
  </si>
  <si>
    <t>Reinforcement/rebuild/reconfiguration of the network required to increase the thermal rating.</t>
  </si>
  <si>
    <t>Stony Stratford - Shenley Wood - Eldergate circuit reinforcement</t>
  </si>
  <si>
    <t>Installation of a new 40 MVA circuit from Stony Stratford to split the Shenley Wood / Eldergate circuits</t>
  </si>
  <si>
    <t>Syston 33/11kV reinforcement</t>
  </si>
  <si>
    <t>f</t>
  </si>
  <si>
    <t>Installation of capacitors</t>
  </si>
  <si>
    <t>Talbot Street 33/11kV reinforcement</t>
  </si>
  <si>
    <t>Installation of third 33/11kV 24MVA transformer and new 33kV circuit to Nottingham (4km) BSP</t>
  </si>
  <si>
    <t>Tamworth Grid 132/33kV Tamworth Town 132/33kV reinforcement</t>
  </si>
  <si>
    <t>Extension of 40MVA interconnector to be selectable to both sections of the 33kV switchboard at Tamworth Grid, connection to spare CB.</t>
  </si>
  <si>
    <t>Walton 33/11kV</t>
  </si>
  <si>
    <t>C</t>
  </si>
  <si>
    <t>Installation of additional 33/11kV 10MVA transformer and associated switchgear</t>
  </si>
  <si>
    <t>Warwick - Campion Hills - Tee Princethorpe 33kV circuit Reinforcement</t>
  </si>
  <si>
    <t>Increasing 11kV interconnection and application of sequence scheme to transfer demand away.</t>
  </si>
  <si>
    <t>Watnall / Kimberley New Primary Substation</t>
  </si>
  <si>
    <t>Installation of new 33/11kV substation and 33kV circuits</t>
  </si>
  <si>
    <t>Wellesbourne 33/11kV New Primary Substation</t>
  </si>
  <si>
    <t>Following installation of Warwick West, decommissioning Banbury Rd and extending existing dual 33kV circuits to a reserve site at Wellesbourne.</t>
  </si>
  <si>
    <t>West Burton - Lincoln 132kV DC OHL</t>
  </si>
  <si>
    <t>Uprating 132kV overhead line</t>
  </si>
  <si>
    <t xml:space="preserve">West Burton GSP - 3rd SGT </t>
  </si>
  <si>
    <t>Installation of a third SGT and a bus-section at West Burton GSP.</t>
  </si>
  <si>
    <t>Westville 33/11kV</t>
  </si>
  <si>
    <t>Installation of a new 33/11kV substation and 33kV single circuit to Hucknall (3km)</t>
  </si>
  <si>
    <t>Wigston Magna 33/11kV reinforcement</t>
  </si>
  <si>
    <t>Installation of a third 33kV circuit and third 33/11kV 40MVA transformer.</t>
  </si>
  <si>
    <t>Willington - Winster - Uttoxeter 132kV reinforcement</t>
  </si>
  <si>
    <t>Unstitching tee (by cabling to Willington GSP) and refurbishment of both circuits (23km Uttoxeter &amp; 35km Winster).</t>
  </si>
  <si>
    <t>Winster - Longcliffe</t>
  </si>
  <si>
    <t>Installation of new single 40MVA, 33kV circuit (4km ohl)</t>
  </si>
  <si>
    <t>CAUTION - THIS PACK DOES NOT BALANCE</t>
  </si>
  <si>
    <t xml:space="preserve">          Load Related New Connections &amp; Reinforcement</t>
  </si>
  <si>
    <t xml:space="preserve">          Non-load related replacement (Condition based)</t>
  </si>
  <si>
    <t>Network</t>
  </si>
  <si>
    <t>Land and Building</t>
  </si>
  <si>
    <t>Sale of various small elements of surplus Land &amp; Buildings on sites</t>
  </si>
  <si>
    <t>LV Control centre costs (where it remotely controls LV network)</t>
  </si>
  <si>
    <t>April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</si>
</sst>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00"/>
    <numFmt numFmtId="171" formatCode="0.0"/>
    <numFmt numFmtId="172" formatCode="#,##0_);[Red]\(#,##0\);\-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</numFmts>
  <fonts count="6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11"/>
      <color indexed="12"/>
      <name val="CG Omega"/>
      <family val="2"/>
    </font>
    <font>
      <b/>
      <sz val="11"/>
      <name val="CG Omega"/>
      <family val="2"/>
    </font>
    <font>
      <sz val="10"/>
      <color indexed="5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1"/>
      <color indexed="30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28" fillId="0" borderId="0">
      <alignment vertical="top"/>
    </xf>
    <xf numFmtId="0" fontId="36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36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" fillId="0" borderId="0"/>
  </cellStyleXfs>
  <cellXfs count="1826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49" fontId="22" fillId="10" borderId="0" xfId="0" applyNumberFormat="1" applyFont="1" applyFill="1" applyAlignment="1" applyProtection="1">
      <alignment horizontal="left" vertical="center"/>
      <protection locked="0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170" fontId="25" fillId="18" borderId="0" xfId="2" applyNumberFormat="1" applyFont="1" applyFill="1"/>
    <xf numFmtId="170" fontId="25" fillId="18" borderId="0" xfId="2" applyNumberFormat="1" applyFont="1" applyFill="1" applyAlignment="1">
      <alignment vertical="center"/>
    </xf>
    <xf numFmtId="170" fontId="25" fillId="0" borderId="19" xfId="2" applyNumberFormat="1" applyFont="1" applyBorder="1"/>
    <xf numFmtId="170" fontId="25" fillId="0" borderId="19" xfId="2" applyNumberFormat="1" applyFont="1" applyBorder="1" applyAlignment="1">
      <alignment vertical="center"/>
    </xf>
    <xf numFmtId="170" fontId="25" fillId="11" borderId="0" xfId="2" applyNumberFormat="1" applyFont="1" applyFill="1" applyBorder="1"/>
    <xf numFmtId="170" fontId="25" fillId="11" borderId="0" xfId="2" applyNumberFormat="1" applyFont="1" applyFill="1" applyBorder="1" applyAlignment="1">
      <alignment vertical="center"/>
    </xf>
    <xf numFmtId="170" fontId="25" fillId="0" borderId="0" xfId="2" applyNumberFormat="1" applyFont="1"/>
    <xf numFmtId="170" fontId="25" fillId="0" borderId="0" xfId="2" applyNumberFormat="1" applyFont="1" applyAlignment="1">
      <alignment vertical="center"/>
    </xf>
    <xf numFmtId="170" fontId="25" fillId="11" borderId="11" xfId="2" applyNumberFormat="1" applyFont="1" applyFill="1" applyBorder="1"/>
    <xf numFmtId="170" fontId="25" fillId="11" borderId="11" xfId="2" applyNumberFormat="1" applyFont="1" applyFill="1" applyBorder="1" applyAlignment="1">
      <alignment vertical="center"/>
    </xf>
    <xf numFmtId="170" fontId="25" fillId="0" borderId="0" xfId="0" applyNumberFormat="1" applyFont="1"/>
    <xf numFmtId="170" fontId="25" fillId="0" borderId="0" xfId="0" applyNumberFormat="1" applyFont="1" applyAlignment="1">
      <alignment vertical="center"/>
    </xf>
    <xf numFmtId="170" fontId="25" fillId="19" borderId="0" xfId="2" applyNumberFormat="1" applyFont="1" applyFill="1"/>
    <xf numFmtId="170" fontId="25" fillId="19" borderId="0" xfId="2" applyNumberFormat="1" applyFont="1" applyFill="1" applyAlignment="1">
      <alignment vertical="center"/>
    </xf>
    <xf numFmtId="170" fontId="25" fillId="11" borderId="11" xfId="0" applyNumberFormat="1" applyFont="1" applyFill="1" applyBorder="1"/>
    <xf numFmtId="170" fontId="25" fillId="11" borderId="11" xfId="0" applyNumberFormat="1" applyFont="1" applyFill="1" applyBorder="1" applyAlignment="1">
      <alignment vertical="center"/>
    </xf>
    <xf numFmtId="170" fontId="25" fillId="18" borderId="0" xfId="0" applyNumberFormat="1" applyFont="1" applyFill="1"/>
    <xf numFmtId="170" fontId="25" fillId="18" borderId="0" xfId="0" applyNumberFormat="1" applyFont="1" applyFill="1" applyAlignment="1">
      <alignment vertical="center"/>
    </xf>
    <xf numFmtId="0" fontId="0" fillId="20" borderId="0" xfId="0" applyFill="1"/>
    <xf numFmtId="171" fontId="0" fillId="20" borderId="0" xfId="0" applyNumberFormat="1" applyFill="1"/>
    <xf numFmtId="171" fontId="0" fillId="0" borderId="0" xfId="0" applyNumberFormat="1"/>
    <xf numFmtId="171" fontId="0" fillId="20" borderId="0" xfId="0" applyNumberFormat="1" applyFill="1" applyAlignment="1">
      <alignment horizontal="right"/>
    </xf>
    <xf numFmtId="0" fontId="26" fillId="20" borderId="0" xfId="0" applyFont="1" applyFill="1"/>
    <xf numFmtId="171" fontId="26" fillId="20" borderId="0" xfId="0" applyNumberFormat="1" applyFont="1" applyFill="1"/>
    <xf numFmtId="170" fontId="0" fillId="20" borderId="0" xfId="0" applyNumberFormat="1" applyFill="1"/>
    <xf numFmtId="0" fontId="26" fillId="0" borderId="0" xfId="0" applyFont="1"/>
    <xf numFmtId="0" fontId="19" fillId="0" borderId="0" xfId="67" applyAlignment="1" applyProtection="1"/>
    <xf numFmtId="0" fontId="0" fillId="0" borderId="0" xfId="0" applyAlignment="1">
      <alignment vertical="center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0" fontId="26" fillId="0" borderId="34" xfId="69" applyFont="1" applyBorder="1" applyAlignment="1" applyProtection="1">
      <alignment horizontal="center" vertical="center" wrapText="1"/>
    </xf>
    <xf numFmtId="0" fontId="26" fillId="0" borderId="35" xfId="69" applyFont="1" applyBorder="1" applyAlignment="1" applyProtection="1">
      <alignment horizontal="center" vertical="center" wrapText="1"/>
    </xf>
    <xf numFmtId="0" fontId="26" fillId="0" borderId="36" xfId="69" applyFont="1" applyBorder="1" applyAlignment="1" applyProtection="1">
      <alignment horizontal="center" vertical="center" wrapText="1"/>
    </xf>
    <xf numFmtId="0" fontId="26" fillId="0" borderId="37" xfId="69" applyFont="1" applyBorder="1" applyAlignment="1" applyProtection="1">
      <alignment horizontal="center" vertical="center" wrapText="1"/>
    </xf>
    <xf numFmtId="0" fontId="26" fillId="0" borderId="38" xfId="69" applyFont="1" applyBorder="1" applyAlignment="1" applyProtection="1">
      <alignment horizontal="center" vertical="center" wrapText="1"/>
    </xf>
    <xf numFmtId="0" fontId="26" fillId="0" borderId="39" xfId="69" applyFont="1" applyBorder="1" applyAlignment="1" applyProtection="1">
      <alignment horizontal="center" vertical="center" wrapText="1"/>
    </xf>
    <xf numFmtId="0" fontId="26" fillId="0" borderId="40" xfId="69" applyFont="1" applyBorder="1" applyAlignment="1" applyProtection="1">
      <alignment horizontal="center" vertical="center" wrapText="1"/>
    </xf>
    <xf numFmtId="1" fontId="30" fillId="0" borderId="27" xfId="68" applyNumberFormat="1" applyFont="1" applyFill="1" applyBorder="1" applyAlignment="1" applyProtection="1">
      <alignment vertical="center"/>
    </xf>
    <xf numFmtId="0" fontId="29" fillId="0" borderId="0" xfId="68" applyFont="1" applyBorder="1" applyAlignment="1" applyProtection="1">
      <alignment vertical="center"/>
    </xf>
    <xf numFmtId="0" fontId="30" fillId="0" borderId="0" xfId="68" applyFont="1" applyBorder="1" applyAlignment="1" applyProtection="1">
      <alignment vertical="center"/>
    </xf>
    <xf numFmtId="1" fontId="30" fillId="0" borderId="24" xfId="68" applyNumberFormat="1" applyFont="1" applyFill="1" applyBorder="1" applyAlignment="1" applyProtection="1">
      <alignment horizontal="center" vertical="center"/>
    </xf>
    <xf numFmtId="1" fontId="30" fillId="0" borderId="41" xfId="68" applyNumberFormat="1" applyFont="1" applyFill="1" applyBorder="1" applyAlignment="1" applyProtection="1">
      <alignment horizontal="center" vertical="center"/>
    </xf>
    <xf numFmtId="1" fontId="30" fillId="0" borderId="42" xfId="68" applyNumberFormat="1" applyFont="1" applyFill="1" applyBorder="1" applyAlignment="1" applyProtection="1">
      <alignment horizontal="center" vertical="center"/>
    </xf>
    <xf numFmtId="1" fontId="30" fillId="0" borderId="43" xfId="68" applyNumberFormat="1" applyFont="1" applyFill="1" applyBorder="1" applyAlignment="1" applyProtection="1">
      <alignment horizontal="center" vertical="center"/>
    </xf>
    <xf numFmtId="1" fontId="30" fillId="0" borderId="29" xfId="68" applyNumberFormat="1" applyFont="1" applyFill="1" applyBorder="1" applyAlignment="1" applyProtection="1">
      <alignment horizontal="center" vertical="center"/>
    </xf>
    <xf numFmtId="1" fontId="30" fillId="0" borderId="44" xfId="68" applyNumberFormat="1" applyFont="1" applyFill="1" applyBorder="1" applyAlignment="1" applyProtection="1">
      <alignment horizontal="center" vertical="center"/>
    </xf>
    <xf numFmtId="1" fontId="30" fillId="0" borderId="45" xfId="68" applyNumberFormat="1" applyFont="1" applyFill="1" applyBorder="1" applyAlignment="1" applyProtection="1">
      <alignment horizontal="center" vertical="center"/>
    </xf>
    <xf numFmtId="1" fontId="30" fillId="0" borderId="16" xfId="68" applyNumberFormat="1" applyFont="1" applyFill="1" applyBorder="1" applyAlignment="1" applyProtection="1">
      <alignment horizontal="center" vertical="center"/>
    </xf>
    <xf numFmtId="171" fontId="30" fillId="0" borderId="29" xfId="68" applyNumberFormat="1" applyFont="1" applyFill="1" applyBorder="1" applyAlignment="1" applyProtection="1">
      <alignment horizontal="center" vertical="center"/>
    </xf>
    <xf numFmtId="0" fontId="30" fillId="0" borderId="27" xfId="68" applyFont="1" applyBorder="1" applyAlignment="1" applyProtection="1">
      <alignment vertical="center"/>
    </xf>
    <xf numFmtId="172" fontId="29" fillId="21" borderId="38" xfId="68" applyNumberFormat="1" applyFont="1" applyFill="1" applyBorder="1" applyAlignment="1" applyProtection="1">
      <alignment horizontal="center"/>
    </xf>
    <xf numFmtId="172" fontId="30" fillId="0" borderId="46" xfId="68" applyNumberFormat="1" applyFont="1" applyFill="1" applyBorder="1" applyAlignment="1" applyProtection="1">
      <alignment horizontal="center"/>
    </xf>
    <xf numFmtId="172" fontId="30" fillId="0" borderId="47" xfId="68" applyNumberFormat="1" applyFont="1" applyFill="1" applyBorder="1" applyAlignment="1" applyProtection="1">
      <alignment horizontal="center"/>
    </xf>
    <xf numFmtId="171" fontId="31" fillId="22" borderId="38" xfId="68" applyNumberFormat="1" applyFont="1" applyFill="1" applyBorder="1" applyAlignment="1" applyProtection="1">
      <alignment horizontal="center"/>
      <protection locked="0"/>
    </xf>
    <xf numFmtId="172" fontId="30" fillId="0" borderId="10" xfId="68" applyNumberFormat="1" applyFont="1" applyFill="1" applyBorder="1" applyAlignment="1" applyProtection="1">
      <alignment horizontal="center"/>
    </xf>
    <xf numFmtId="172" fontId="29" fillId="0" borderId="29" xfId="68" applyNumberFormat="1" applyFont="1" applyFill="1" applyBorder="1" applyAlignment="1" applyProtection="1">
      <alignment horizontal="center"/>
    </xf>
    <xf numFmtId="172" fontId="30" fillId="0" borderId="44" xfId="68" applyNumberFormat="1" applyFont="1" applyFill="1" applyBorder="1" applyAlignment="1" applyProtection="1">
      <alignment horizontal="center"/>
    </xf>
    <xf numFmtId="172" fontId="30" fillId="0" borderId="45" xfId="68" applyNumberFormat="1" applyFont="1" applyFill="1" applyBorder="1" applyAlignment="1" applyProtection="1">
      <alignment horizontal="center"/>
    </xf>
    <xf numFmtId="172" fontId="30" fillId="0" borderId="16" xfId="68" applyNumberFormat="1" applyFont="1" applyFill="1" applyBorder="1" applyAlignment="1" applyProtection="1">
      <alignment horizontal="center"/>
    </xf>
    <xf numFmtId="171" fontId="30" fillId="0" borderId="29" xfId="68" applyNumberFormat="1" applyFont="1" applyFill="1" applyBorder="1" applyAlignment="1" applyProtection="1">
      <alignment horizontal="center"/>
      <protection locked="0"/>
    </xf>
    <xf numFmtId="1" fontId="29" fillId="0" borderId="30" xfId="68" applyNumberFormat="1" applyFont="1" applyBorder="1" applyAlignment="1" applyProtection="1">
      <alignment vertical="center"/>
    </xf>
    <xf numFmtId="1" fontId="29" fillId="0" borderId="31" xfId="68" applyNumberFormat="1" applyFont="1" applyBorder="1" applyAlignment="1" applyProtection="1">
      <alignment vertical="center"/>
    </xf>
    <xf numFmtId="172" fontId="31" fillId="0" borderId="33" xfId="68" applyNumberFormat="1" applyFont="1" applyFill="1" applyBorder="1" applyAlignment="1" applyProtection="1">
      <alignment horizontal="center"/>
    </xf>
    <xf numFmtId="172" fontId="30" fillId="0" borderId="48" xfId="68" applyNumberFormat="1" applyFont="1" applyFill="1" applyBorder="1" applyAlignment="1" applyProtection="1">
      <alignment horizontal="center"/>
    </xf>
    <xf numFmtId="172" fontId="30" fillId="0" borderId="49" xfId="68" applyNumberFormat="1" applyFont="1" applyFill="1" applyBorder="1" applyAlignment="1" applyProtection="1">
      <alignment horizontal="center"/>
    </xf>
    <xf numFmtId="172" fontId="30" fillId="0" borderId="50" xfId="68" applyNumberFormat="1" applyFont="1" applyFill="1" applyBorder="1" applyAlignment="1" applyProtection="1">
      <alignment horizontal="center"/>
    </xf>
    <xf numFmtId="172" fontId="30" fillId="0" borderId="33" xfId="68" applyNumberFormat="1" applyFont="1" applyFill="1" applyBorder="1" applyAlignment="1" applyProtection="1">
      <alignment horizontal="center"/>
    </xf>
    <xf numFmtId="171" fontId="31" fillId="0" borderId="33" xfId="68" applyNumberFormat="1" applyFont="1" applyFill="1" applyBorder="1" applyAlignment="1" applyProtection="1">
      <alignment horizontal="center"/>
      <protection locked="0"/>
    </xf>
    <xf numFmtId="0" fontId="30" fillId="0" borderId="21" xfId="68" applyFont="1" applyBorder="1" applyAlignment="1" applyProtection="1">
      <alignment vertical="center"/>
    </xf>
    <xf numFmtId="0" fontId="29" fillId="0" borderId="22" xfId="68" applyFont="1" applyBorder="1" applyAlignment="1" applyProtection="1">
      <alignment vertical="center"/>
    </xf>
    <xf numFmtId="0" fontId="30" fillId="0" borderId="0" xfId="70" applyFont="1" applyAlignment="1" applyProtection="1">
      <alignment vertical="center"/>
    </xf>
    <xf numFmtId="172" fontId="29" fillId="0" borderId="24" xfId="68" applyNumberFormat="1" applyFont="1" applyFill="1" applyBorder="1" applyAlignment="1" applyProtection="1">
      <alignment horizontal="center"/>
    </xf>
    <xf numFmtId="172" fontId="30" fillId="0" borderId="41" xfId="68" applyNumberFormat="1" applyFont="1" applyFill="1" applyBorder="1" applyAlignment="1" applyProtection="1">
      <alignment horizontal="center"/>
    </xf>
    <xf numFmtId="172" fontId="30" fillId="0" borderId="42" xfId="68" applyNumberFormat="1" applyFont="1" applyFill="1" applyBorder="1" applyAlignment="1" applyProtection="1">
      <alignment horizontal="center"/>
    </xf>
    <xf numFmtId="172" fontId="30" fillId="0" borderId="43" xfId="68" applyNumberFormat="1" applyFont="1" applyFill="1" applyBorder="1" applyAlignment="1" applyProtection="1">
      <alignment horizontal="center"/>
    </xf>
    <xf numFmtId="171" fontId="30" fillId="0" borderId="24" xfId="68" applyNumberFormat="1" applyFont="1" applyFill="1" applyBorder="1" applyAlignment="1" applyProtection="1">
      <alignment horizontal="center"/>
      <protection locked="0"/>
    </xf>
    <xf numFmtId="171" fontId="31" fillId="0" borderId="33" xfId="68" applyNumberFormat="1" applyFont="1" applyFill="1" applyBorder="1" applyAlignment="1" applyProtection="1">
      <alignment horizontal="center"/>
    </xf>
    <xf numFmtId="0" fontId="32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69" applyFont="1" applyAlignment="1" applyProtection="1">
      <alignment vertical="center"/>
    </xf>
    <xf numFmtId="0" fontId="32" fillId="0" borderId="0" xfId="69" applyFont="1" applyAlignment="1" applyProtection="1">
      <alignment vertical="center"/>
    </xf>
    <xf numFmtId="0" fontId="25" fillId="0" borderId="0" xfId="69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32" fillId="0" borderId="52" xfId="69" applyFont="1" applyBorder="1" applyAlignment="1" applyProtection="1">
      <alignment horizontal="centerContinuous" vertical="center"/>
    </xf>
    <xf numFmtId="0" fontId="32" fillId="0" borderId="53" xfId="69" applyFont="1" applyBorder="1" applyAlignment="1" applyProtection="1">
      <alignment horizontal="centerContinuous" vertical="center"/>
    </xf>
    <xf numFmtId="0" fontId="25" fillId="0" borderId="54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32" fillId="0" borderId="55" xfId="69" applyFont="1" applyBorder="1" applyAlignment="1" applyProtection="1">
      <alignment horizontal="centerContinuous" vertical="center"/>
    </xf>
    <xf numFmtId="0" fontId="32" fillId="0" borderId="56" xfId="69" applyFont="1" applyBorder="1" applyAlignment="1" applyProtection="1">
      <alignment horizontal="centerContinuous" vertical="center"/>
    </xf>
    <xf numFmtId="0" fontId="32" fillId="0" borderId="57" xfId="69" applyFont="1" applyBorder="1" applyAlignment="1" applyProtection="1">
      <alignment horizontal="centerContinuous" vertical="center"/>
    </xf>
    <xf numFmtId="0" fontId="32" fillId="0" borderId="58" xfId="69" applyFont="1" applyBorder="1" applyAlignment="1" applyProtection="1">
      <alignment horizontal="center" vertical="center" wrapText="1"/>
    </xf>
    <xf numFmtId="0" fontId="32" fillId="0" borderId="60" xfId="69" applyFont="1" applyBorder="1" applyAlignment="1" applyProtection="1">
      <alignment horizontal="center" vertical="center" wrapText="1"/>
    </xf>
    <xf numFmtId="0" fontId="32" fillId="0" borderId="59" xfId="69" applyFont="1" applyBorder="1" applyAlignment="1" applyProtection="1">
      <alignment horizontal="center" vertical="center" wrapText="1"/>
    </xf>
    <xf numFmtId="0" fontId="32" fillId="0" borderId="20" xfId="69" applyFont="1" applyBorder="1" applyAlignment="1" applyProtection="1">
      <alignment horizontal="center" vertical="center" wrapText="1"/>
    </xf>
    <xf numFmtId="0" fontId="32" fillId="0" borderId="46" xfId="69" applyFont="1" applyBorder="1" applyAlignment="1" applyProtection="1">
      <alignment horizontal="center" vertical="center" wrapText="1"/>
    </xf>
    <xf numFmtId="0" fontId="32" fillId="0" borderId="47" xfId="69" applyFont="1" applyBorder="1" applyAlignment="1" applyProtection="1">
      <alignment horizontal="center" vertical="center" wrapText="1"/>
    </xf>
    <xf numFmtId="0" fontId="32" fillId="0" borderId="61" xfId="69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62" xfId="69" applyNumberFormat="1" applyFont="1" applyBorder="1" applyAlignment="1" applyProtection="1">
      <alignment horizontal="center" vertical="center" wrapText="1"/>
    </xf>
    <xf numFmtId="171" fontId="2" fillId="0" borderId="58" xfId="69" applyNumberFormat="1" applyFont="1" applyFill="1" applyBorder="1" applyAlignment="1" applyProtection="1">
      <alignment horizontal="center" vertical="center"/>
    </xf>
    <xf numFmtId="171" fontId="2" fillId="0" borderId="20" xfId="69" applyNumberFormat="1" applyFont="1" applyFill="1" applyBorder="1" applyAlignment="1" applyProtection="1">
      <alignment horizontal="center" vertical="center"/>
    </xf>
    <xf numFmtId="171" fontId="2" fillId="0" borderId="59" xfId="69" applyNumberFormat="1" applyFont="1" applyFill="1" applyBorder="1" applyAlignment="1" applyProtection="1">
      <alignment horizontal="center" vertical="center"/>
    </xf>
    <xf numFmtId="171" fontId="2" fillId="0" borderId="60" xfId="69" applyNumberFormat="1" applyFont="1" applyFill="1" applyBorder="1" applyAlignment="1" applyProtection="1">
      <alignment horizontal="center" vertical="center"/>
    </xf>
    <xf numFmtId="171" fontId="2" fillId="21" borderId="46" xfId="69" applyNumberFormat="1" applyFont="1" applyFill="1" applyBorder="1" applyAlignment="1" applyProtection="1">
      <alignment horizontal="center" vertical="center"/>
    </xf>
    <xf numFmtId="171" fontId="2" fillId="21" borderId="47" xfId="69" applyNumberFormat="1" applyFont="1" applyFill="1" applyBorder="1" applyAlignment="1" applyProtection="1">
      <alignment horizontal="center" vertical="center"/>
    </xf>
    <xf numFmtId="171" fontId="2" fillId="21" borderId="61" xfId="69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4" fontId="2" fillId="21" borderId="61" xfId="1" applyNumberFormat="1" applyFont="1" applyFill="1" applyBorder="1" applyAlignment="1" applyProtection="1">
      <alignment horizontal="center" vertical="center"/>
    </xf>
    <xf numFmtId="171" fontId="2" fillId="0" borderId="46" xfId="69" applyNumberFormat="1" applyFont="1" applyFill="1" applyBorder="1" applyAlignment="1" applyProtection="1">
      <alignment horizontal="center" vertical="center"/>
    </xf>
    <xf numFmtId="171" fontId="2" fillId="0" borderId="12" xfId="69" applyNumberFormat="1" applyFont="1" applyFill="1" applyBorder="1" applyAlignment="1" applyProtection="1">
      <alignment horizontal="center" vertical="center"/>
    </xf>
    <xf numFmtId="171" fontId="2" fillId="0" borderId="61" xfId="69" applyNumberFormat="1" applyFont="1" applyFill="1" applyBorder="1" applyAlignment="1" applyProtection="1">
      <alignment horizontal="center" vertical="center"/>
    </xf>
    <xf numFmtId="171" fontId="2" fillId="0" borderId="47" xfId="69" applyNumberFormat="1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vertical="center" wrapText="1"/>
    </xf>
    <xf numFmtId="171" fontId="26" fillId="21" borderId="46" xfId="69" applyNumberFormat="1" applyFont="1" applyFill="1" applyBorder="1" applyAlignment="1" applyProtection="1">
      <alignment horizontal="center" vertical="center"/>
    </xf>
    <xf numFmtId="171" fontId="26" fillId="21" borderId="47" xfId="69" applyNumberFormat="1" applyFont="1" applyFill="1" applyBorder="1" applyAlignment="1" applyProtection="1">
      <alignment horizontal="center" vertical="center"/>
    </xf>
    <xf numFmtId="171" fontId="26" fillId="21" borderId="61" xfId="69" applyNumberFormat="1" applyFont="1" applyFill="1" applyBorder="1" applyAlignment="1" applyProtection="1">
      <alignment horizontal="center" vertical="center"/>
    </xf>
    <xf numFmtId="171" fontId="26" fillId="21" borderId="12" xfId="69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vertical="center" wrapText="1"/>
    </xf>
    <xf numFmtId="0" fontId="25" fillId="0" borderId="63" xfId="69" applyNumberFormat="1" applyFont="1" applyBorder="1" applyAlignment="1" applyProtection="1">
      <alignment horizontal="center" vertical="center" wrapText="1"/>
    </xf>
    <xf numFmtId="171" fontId="26" fillId="21" borderId="36" xfId="69" applyNumberFormat="1" applyFont="1" applyFill="1" applyBorder="1" applyAlignment="1" applyProtection="1">
      <alignment horizontal="center" vertical="center"/>
    </xf>
    <xf numFmtId="171" fontId="26" fillId="21" borderId="35" xfId="69" applyNumberFormat="1" applyFont="1" applyFill="1" applyBorder="1" applyAlignment="1" applyProtection="1">
      <alignment horizontal="center" vertical="center"/>
    </xf>
    <xf numFmtId="171" fontId="26" fillId="21" borderId="39" xfId="69" applyNumberFormat="1" applyFont="1" applyFill="1" applyBorder="1" applyAlignment="1" applyProtection="1">
      <alignment horizontal="center" vertical="center"/>
    </xf>
    <xf numFmtId="171" fontId="26" fillId="21" borderId="34" xfId="69" applyNumberFormat="1" applyFont="1" applyFill="1" applyBorder="1" applyAlignment="1" applyProtection="1">
      <alignment horizontal="center" vertical="center"/>
    </xf>
    <xf numFmtId="171" fontId="2" fillId="21" borderId="36" xfId="69" applyNumberFormat="1" applyFont="1" applyFill="1" applyBorder="1" applyAlignment="1" applyProtection="1">
      <alignment horizontal="center" vertical="center"/>
    </xf>
    <xf numFmtId="171" fontId="2" fillId="21" borderId="35" xfId="69" applyNumberFormat="1" applyFont="1" applyFill="1" applyBorder="1" applyAlignment="1" applyProtection="1">
      <alignment horizontal="center" vertical="center"/>
    </xf>
    <xf numFmtId="171" fontId="2" fillId="21" borderId="39" xfId="69" applyNumberFormat="1" applyFont="1" applyFill="1" applyBorder="1" applyAlignment="1" applyProtection="1">
      <alignment horizontal="center" vertical="center"/>
    </xf>
    <xf numFmtId="164" fontId="2" fillId="21" borderId="39" xfId="1" applyNumberFormat="1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/>
    </xf>
    <xf numFmtId="0" fontId="25" fillId="0" borderId="62" xfId="69" applyFont="1" applyFill="1" applyBorder="1" applyAlignment="1" applyProtection="1">
      <alignment horizontal="center" vertical="center"/>
    </xf>
    <xf numFmtId="0" fontId="25" fillId="0" borderId="64" xfId="69" applyFont="1" applyFill="1" applyBorder="1" applyAlignment="1" applyProtection="1">
      <alignment horizontal="center" vertical="center"/>
    </xf>
    <xf numFmtId="0" fontId="25" fillId="0" borderId="19" xfId="69" applyFont="1" applyFill="1" applyBorder="1" applyAlignment="1" applyProtection="1">
      <alignment horizontal="center" vertical="center"/>
    </xf>
    <xf numFmtId="0" fontId="25" fillId="0" borderId="65" xfId="69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 wrapText="1"/>
    </xf>
    <xf numFmtId="171" fontId="2" fillId="22" borderId="46" xfId="69" applyNumberFormat="1" applyFont="1" applyFill="1" applyBorder="1" applyAlignment="1" applyProtection="1">
      <alignment horizontal="center" vertical="center"/>
      <protection locked="0"/>
    </xf>
    <xf numFmtId="0" fontId="25" fillId="0" borderId="44" xfId="69" applyFont="1" applyBorder="1" applyAlignment="1" applyProtection="1">
      <alignment horizontal="left" vertical="center" wrapText="1"/>
    </xf>
    <xf numFmtId="171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33" fillId="22" borderId="12" xfId="69" applyNumberFormat="1" applyFont="1" applyFill="1" applyBorder="1" applyAlignment="1" applyProtection="1">
      <alignment horizontal="center" vertical="center"/>
      <protection locked="0"/>
    </xf>
    <xf numFmtId="171" fontId="33" fillId="22" borderId="61" xfId="69" applyNumberFormat="1" applyFont="1" applyFill="1" applyBorder="1" applyAlignment="1" applyProtection="1">
      <alignment horizontal="center" vertical="center"/>
      <protection locked="0"/>
    </xf>
    <xf numFmtId="171" fontId="33" fillId="22" borderId="47" xfId="69" applyNumberFormat="1" applyFont="1" applyFill="1" applyBorder="1" applyAlignment="1" applyProtection="1">
      <alignment horizontal="center" vertical="center"/>
      <protection locked="0"/>
    </xf>
    <xf numFmtId="0" fontId="25" fillId="0" borderId="62" xfId="69" applyNumberFormat="1" applyFont="1" applyBorder="1" applyAlignment="1" applyProtection="1">
      <alignment horizontal="center" vertical="center"/>
    </xf>
    <xf numFmtId="0" fontId="2" fillId="0" borderId="66" xfId="69" applyFont="1" applyBorder="1" applyAlignment="1" applyProtection="1">
      <alignment horizontal="center" vertical="center"/>
    </xf>
    <xf numFmtId="0" fontId="2" fillId="0" borderId="14" xfId="69" applyFont="1" applyBorder="1" applyAlignment="1" applyProtection="1">
      <alignment horizontal="center" vertical="center"/>
    </xf>
    <xf numFmtId="0" fontId="2" fillId="0" borderId="67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 wrapText="1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Font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2" fillId="0" borderId="64" xfId="69" applyFont="1" applyBorder="1" applyProtection="1"/>
    <xf numFmtId="0" fontId="2" fillId="0" borderId="19" xfId="69" applyFont="1" applyBorder="1" applyProtection="1"/>
    <xf numFmtId="0" fontId="2" fillId="0" borderId="65" xfId="69" applyFont="1" applyBorder="1" applyProtection="1"/>
    <xf numFmtId="0" fontId="32" fillId="0" borderId="30" xfId="69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vertical="center"/>
    </xf>
    <xf numFmtId="0" fontId="32" fillId="0" borderId="44" xfId="69" applyFont="1" applyBorder="1" applyAlignment="1" applyProtection="1">
      <alignment vertical="center"/>
    </xf>
    <xf numFmtId="0" fontId="32" fillId="0" borderId="16" xfId="69" applyFont="1" applyBorder="1" applyAlignment="1" applyProtection="1">
      <alignment horizontal="center" vertical="center"/>
    </xf>
    <xf numFmtId="0" fontId="32" fillId="0" borderId="66" xfId="69" applyFont="1" applyBorder="1" applyAlignment="1" applyProtection="1">
      <alignment horizontal="center" vertical="center"/>
    </xf>
    <xf numFmtId="0" fontId="32" fillId="0" borderId="14" xfId="69" applyFont="1" applyBorder="1" applyAlignment="1" applyProtection="1">
      <alignment horizontal="center" vertical="center"/>
    </xf>
    <xf numFmtId="0" fontId="32" fillId="0" borderId="67" xfId="69" applyFont="1" applyBorder="1" applyAlignment="1" applyProtection="1">
      <alignment horizontal="center" vertical="center"/>
    </xf>
    <xf numFmtId="0" fontId="25" fillId="0" borderId="14" xfId="69" applyFont="1" applyBorder="1" applyAlignment="1" applyProtection="1">
      <alignment horizontal="center" vertical="center"/>
    </xf>
    <xf numFmtId="0" fontId="25" fillId="0" borderId="67" xfId="69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5" fillId="0" borderId="16" xfId="69" applyNumberFormat="1" applyFont="1" applyBorder="1" applyAlignment="1" applyProtection="1">
      <alignment horizontal="center" vertical="center" wrapText="1"/>
    </xf>
    <xf numFmtId="0" fontId="32" fillId="0" borderId="27" xfId="69" applyFont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center" vertical="center"/>
    </xf>
    <xf numFmtId="0" fontId="32" fillId="0" borderId="28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" vertical="center"/>
    </xf>
    <xf numFmtId="0" fontId="25" fillId="0" borderId="28" xfId="69" applyFont="1" applyBorder="1" applyAlignment="1" applyProtection="1">
      <alignment horizontal="center" vertical="center"/>
    </xf>
    <xf numFmtId="1" fontId="33" fillId="22" borderId="46" xfId="69" applyNumberFormat="1" applyFont="1" applyFill="1" applyBorder="1" applyAlignment="1" applyProtection="1">
      <alignment horizontal="center" vertical="center"/>
      <protection locked="0"/>
    </xf>
    <xf numFmtId="1" fontId="33" fillId="22" borderId="12" xfId="69" applyNumberFormat="1" applyFont="1" applyFill="1" applyBorder="1" applyAlignment="1" applyProtection="1">
      <alignment horizontal="center" vertical="center"/>
      <protection locked="0"/>
    </xf>
    <xf numFmtId="1" fontId="33" fillId="22" borderId="61" xfId="69" applyNumberFormat="1" applyFont="1" applyFill="1" applyBorder="1" applyAlignment="1" applyProtection="1">
      <alignment horizontal="center" vertical="center"/>
      <protection locked="0"/>
    </xf>
    <xf numFmtId="1" fontId="33" fillId="22" borderId="47" xfId="69" applyNumberFormat="1" applyFont="1" applyFill="1" applyBorder="1" applyAlignment="1" applyProtection="1">
      <alignment horizontal="center" vertical="center"/>
      <protection locked="0"/>
    </xf>
    <xf numFmtId="1" fontId="26" fillId="0" borderId="27" xfId="69" applyNumberFormat="1" applyFont="1" applyBorder="1" applyAlignment="1" applyProtection="1">
      <alignment horizontal="center" vertical="center"/>
    </xf>
    <xf numFmtId="1" fontId="26" fillId="0" borderId="0" xfId="69" applyNumberFormat="1" applyFont="1" applyBorder="1" applyAlignment="1" applyProtection="1">
      <alignment horizontal="center" vertical="center"/>
    </xf>
    <xf numFmtId="1" fontId="26" fillId="0" borderId="28" xfId="69" applyNumberFormat="1" applyFont="1" applyBorder="1" applyAlignment="1" applyProtection="1">
      <alignment horizontal="center" vertical="center"/>
    </xf>
    <xf numFmtId="1" fontId="2" fillId="0" borderId="0" xfId="69" applyNumberFormat="1" applyFont="1" applyBorder="1" applyAlignment="1" applyProtection="1">
      <alignment horizontal="center" vertical="center"/>
    </xf>
    <xf numFmtId="1" fontId="2" fillId="0" borderId="28" xfId="69" applyNumberFormat="1" applyFont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/>
    </xf>
    <xf numFmtId="1" fontId="33" fillId="22" borderId="68" xfId="69" applyNumberFormat="1" applyFont="1" applyFill="1" applyBorder="1" applyAlignment="1" applyProtection="1">
      <alignment horizontal="center" vertical="center"/>
      <protection locked="0"/>
    </xf>
    <xf numFmtId="1" fontId="33" fillId="22" borderId="15" xfId="69" applyNumberFormat="1" applyFont="1" applyFill="1" applyBorder="1" applyAlignment="1" applyProtection="1">
      <alignment horizontal="center" vertical="center"/>
      <protection locked="0"/>
    </xf>
    <xf numFmtId="1" fontId="33" fillId="22" borderId="69" xfId="69" applyNumberFormat="1" applyFont="1" applyFill="1" applyBorder="1" applyAlignment="1" applyProtection="1">
      <alignment horizontal="center" vertical="center"/>
      <protection locked="0"/>
    </xf>
    <xf numFmtId="1" fontId="33" fillId="22" borderId="70" xfId="69" applyNumberFormat="1" applyFont="1" applyFill="1" applyBorder="1" applyAlignment="1" applyProtection="1">
      <alignment horizontal="center" vertical="center"/>
      <protection locked="0"/>
    </xf>
    <xf numFmtId="1" fontId="26" fillId="21" borderId="46" xfId="69" applyNumberFormat="1" applyFont="1" applyFill="1" applyBorder="1" applyAlignment="1" applyProtection="1">
      <alignment horizontal="center" vertical="center"/>
    </xf>
    <xf numFmtId="1" fontId="26" fillId="21" borderId="47" xfId="69" applyNumberFormat="1" applyFont="1" applyFill="1" applyBorder="1" applyAlignment="1" applyProtection="1">
      <alignment horizontal="center" vertical="center"/>
    </xf>
    <xf numFmtId="1" fontId="26" fillId="21" borderId="61" xfId="69" applyNumberFormat="1" applyFont="1" applyFill="1" applyBorder="1" applyAlignment="1" applyProtection="1">
      <alignment horizontal="center" vertical="center"/>
    </xf>
    <xf numFmtId="1" fontId="26" fillId="21" borderId="12" xfId="69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32" fillId="0" borderId="48" xfId="69" applyFont="1" applyBorder="1" applyAlignment="1" applyProtection="1">
      <alignment horizontal="left" vertical="center" wrapText="1"/>
    </xf>
    <xf numFmtId="0" fontId="25" fillId="0" borderId="50" xfId="69" applyNumberFormat="1" applyFont="1" applyBorder="1" applyAlignment="1" applyProtection="1">
      <alignment horizontal="center" vertical="center" wrapText="1"/>
    </xf>
    <xf numFmtId="1" fontId="26" fillId="21" borderId="36" xfId="69" applyNumberFormat="1" applyFont="1" applyFill="1" applyBorder="1" applyAlignment="1" applyProtection="1">
      <alignment horizontal="center" vertical="center"/>
    </xf>
    <xf numFmtId="1" fontId="26" fillId="21" borderId="35" xfId="69" applyNumberFormat="1" applyFont="1" applyFill="1" applyBorder="1" applyAlignment="1" applyProtection="1">
      <alignment horizontal="center" vertical="center"/>
    </xf>
    <xf numFmtId="1" fontId="26" fillId="21" borderId="39" xfId="69" applyNumberFormat="1" applyFont="1" applyFill="1" applyBorder="1" applyAlignment="1" applyProtection="1">
      <alignment horizontal="center" vertical="center"/>
    </xf>
    <xf numFmtId="1" fontId="26" fillId="21" borderId="34" xfId="69" applyNumberFormat="1" applyFont="1" applyFill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center" vertical="center"/>
    </xf>
    <xf numFmtId="0" fontId="32" fillId="0" borderId="0" xfId="69" applyFont="1" applyAlignment="1" applyProtection="1">
      <alignment horizontal="left" vertical="center" wrapText="1"/>
    </xf>
    <xf numFmtId="0" fontId="25" fillId="0" borderId="0" xfId="69" applyNumberFormat="1" applyFont="1" applyAlignment="1" applyProtection="1">
      <alignment horizontal="center" vertical="center" wrapText="1"/>
    </xf>
    <xf numFmtId="0" fontId="25" fillId="0" borderId="0" xfId="69" applyFont="1" applyFill="1" applyAlignment="1" applyProtection="1">
      <alignment horizontal="center" vertical="center"/>
    </xf>
    <xf numFmtId="0" fontId="32" fillId="0" borderId="27" xfId="69" applyFont="1" applyBorder="1" applyAlignment="1" applyProtection="1">
      <alignment vertical="center" wrapText="1"/>
    </xf>
    <xf numFmtId="0" fontId="32" fillId="0" borderId="13" xfId="69" applyFont="1" applyBorder="1" applyAlignment="1" applyProtection="1">
      <alignment horizontal="center" vertical="center"/>
    </xf>
    <xf numFmtId="0" fontId="25" fillId="0" borderId="66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/>
    </xf>
    <xf numFmtId="0" fontId="25" fillId="0" borderId="16" xfId="69" applyFont="1" applyFill="1" applyBorder="1" applyAlignment="1" applyProtection="1">
      <alignment horizontal="center" vertical="center"/>
    </xf>
    <xf numFmtId="0" fontId="25" fillId="0" borderId="64" xfId="69" applyFont="1" applyBorder="1" applyAlignment="1" applyProtection="1">
      <alignment horizontal="center" vertical="center"/>
    </xf>
    <xf numFmtId="0" fontId="25" fillId="0" borderId="19" xfId="69" applyFont="1" applyBorder="1" applyAlignment="1" applyProtection="1">
      <alignment horizontal="center" vertical="center"/>
    </xf>
    <xf numFmtId="0" fontId="25" fillId="0" borderId="65" xfId="69" applyFont="1" applyBorder="1" applyAlignment="1" applyProtection="1">
      <alignment horizontal="center" vertical="center"/>
    </xf>
    <xf numFmtId="43" fontId="0" fillId="0" borderId="0" xfId="2" applyFont="1" applyProtection="1"/>
    <xf numFmtId="171" fontId="2" fillId="21" borderId="12" xfId="69" applyNumberFormat="1" applyFont="1" applyFill="1" applyBorder="1" applyAlignment="1" applyProtection="1">
      <alignment horizontal="center" vertical="center"/>
    </xf>
    <xf numFmtId="0" fontId="25" fillId="0" borderId="16" xfId="69" applyNumberFormat="1" applyFont="1" applyBorder="1" applyAlignment="1" applyProtection="1">
      <alignment horizontal="center" vertical="center"/>
    </xf>
    <xf numFmtId="0" fontId="2" fillId="0" borderId="71" xfId="69" applyFont="1" applyBorder="1" applyAlignment="1" applyProtection="1">
      <alignment horizontal="center" vertical="center"/>
    </xf>
    <xf numFmtId="0" fontId="2" fillId="0" borderId="11" xfId="69" applyFont="1" applyBorder="1" applyAlignment="1" applyProtection="1">
      <alignment horizontal="center" vertical="center"/>
    </xf>
    <xf numFmtId="0" fontId="2" fillId="0" borderId="40" xfId="69" applyFont="1" applyBorder="1" applyAlignment="1" applyProtection="1">
      <alignment horizontal="center" vertical="center"/>
    </xf>
    <xf numFmtId="0" fontId="2" fillId="0" borderId="71" xfId="69" applyFont="1" applyFill="1" applyBorder="1" applyAlignment="1" applyProtection="1">
      <alignment horizontal="center" vertical="center"/>
    </xf>
    <xf numFmtId="171" fontId="33" fillId="23" borderId="46" xfId="69" applyNumberFormat="1" applyFont="1" applyFill="1" applyBorder="1" applyAlignment="1" applyProtection="1">
      <alignment horizontal="center" vertical="center"/>
    </xf>
    <xf numFmtId="171" fontId="33" fillId="23" borderId="12" xfId="69" applyNumberFormat="1" applyFont="1" applyFill="1" applyBorder="1" applyAlignment="1" applyProtection="1">
      <alignment horizontal="center" vertical="center"/>
    </xf>
    <xf numFmtId="43" fontId="35" fillId="0" borderId="0" xfId="2" applyFont="1" applyProtection="1"/>
    <xf numFmtId="0" fontId="35" fillId="0" borderId="0" xfId="0" applyFont="1" applyProtection="1"/>
    <xf numFmtId="164" fontId="26" fillId="21" borderId="61" xfId="1" applyNumberFormat="1" applyFont="1" applyFill="1" applyBorder="1" applyAlignment="1" applyProtection="1">
      <alignment horizontal="center" vertical="center"/>
    </xf>
    <xf numFmtId="171" fontId="33" fillId="23" borderId="36" xfId="69" applyNumberFormat="1" applyFont="1" applyFill="1" applyBorder="1" applyAlignment="1" applyProtection="1">
      <alignment horizontal="center" vertical="center"/>
    </xf>
    <xf numFmtId="171" fontId="33" fillId="23" borderId="34" xfId="69" applyNumberFormat="1" applyFont="1" applyFill="1" applyBorder="1" applyAlignment="1" applyProtection="1">
      <alignment horizontal="center" vertical="center"/>
    </xf>
    <xf numFmtId="171" fontId="33" fillId="22" borderId="34" xfId="69" applyNumberFormat="1" applyFont="1" applyFill="1" applyBorder="1" applyAlignment="1" applyProtection="1">
      <alignment horizontal="center" vertical="center"/>
      <protection locked="0"/>
    </xf>
    <xf numFmtId="171" fontId="33" fillId="22" borderId="39" xfId="69" applyNumberFormat="1" applyFont="1" applyFill="1" applyBorder="1" applyAlignment="1" applyProtection="1">
      <alignment horizontal="center" vertical="center"/>
      <protection locked="0"/>
    </xf>
    <xf numFmtId="171" fontId="33" fillId="22" borderId="35" xfId="69" applyNumberFormat="1" applyFont="1" applyFill="1" applyBorder="1" applyAlignment="1" applyProtection="1">
      <alignment horizontal="center" vertical="center"/>
      <protection locked="0"/>
    </xf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164" fontId="26" fillId="21" borderId="39" xfId="1" applyNumberFormat="1" applyFont="1" applyFill="1" applyBorder="1" applyAlignment="1" applyProtection="1">
      <alignment horizontal="center" vertical="center"/>
    </xf>
    <xf numFmtId="43" fontId="2" fillId="0" borderId="0" xfId="2" applyFont="1" applyAlignment="1" applyProtection="1">
      <alignment horizontal="center" vertical="center"/>
    </xf>
    <xf numFmtId="43" fontId="26" fillId="0" borderId="52" xfId="2" applyFont="1" applyBorder="1" applyAlignment="1" applyProtection="1">
      <alignment horizontal="centerContinuous" vertical="center"/>
    </xf>
    <xf numFmtId="43" fontId="26" fillId="0" borderId="53" xfId="2" applyFont="1" applyBorder="1" applyAlignment="1" applyProtection="1">
      <alignment horizontal="centerContinuous" vertical="center"/>
    </xf>
    <xf numFmtId="43" fontId="2" fillId="0" borderId="54" xfId="2" applyFont="1" applyBorder="1" applyAlignment="1" applyProtection="1">
      <alignment horizontal="centerContinuous" vertical="center"/>
    </xf>
    <xf numFmtId="43" fontId="2" fillId="0" borderId="53" xfId="2" applyFont="1" applyBorder="1" applyAlignment="1" applyProtection="1">
      <alignment horizontal="centerContinuous" vertical="center"/>
    </xf>
    <xf numFmtId="43" fontId="26" fillId="0" borderId="55" xfId="2" applyFont="1" applyBorder="1" applyAlignment="1" applyProtection="1">
      <alignment horizontal="centerContinuous" vertical="center"/>
    </xf>
    <xf numFmtId="43" fontId="26" fillId="0" borderId="56" xfId="2" applyFont="1" applyBorder="1" applyAlignment="1" applyProtection="1">
      <alignment horizontal="centerContinuous" vertical="center"/>
    </xf>
    <xf numFmtId="43" fontId="26" fillId="0" borderId="57" xfId="2" applyFont="1" applyBorder="1" applyAlignment="1" applyProtection="1">
      <alignment horizontal="centerContinuous" vertical="center"/>
    </xf>
    <xf numFmtId="43" fontId="26" fillId="0" borderId="58" xfId="2" applyFont="1" applyBorder="1" applyAlignment="1" applyProtection="1">
      <alignment horizontal="center" vertical="center" wrapText="1"/>
    </xf>
    <xf numFmtId="43" fontId="26" fillId="0" borderId="60" xfId="2" applyFont="1" applyBorder="1" applyAlignment="1" applyProtection="1">
      <alignment horizontal="center" vertical="center" wrapText="1"/>
    </xf>
    <xf numFmtId="43" fontId="26" fillId="0" borderId="59" xfId="2" applyFont="1" applyBorder="1" applyAlignment="1" applyProtection="1">
      <alignment horizontal="center" vertical="center" wrapText="1"/>
    </xf>
    <xf numFmtId="43" fontId="26" fillId="0" borderId="20" xfId="2" applyFont="1" applyBorder="1" applyAlignment="1" applyProtection="1">
      <alignment horizontal="center" vertical="center" wrapText="1"/>
    </xf>
    <xf numFmtId="43" fontId="26" fillId="0" borderId="46" xfId="2" applyFont="1" applyBorder="1" applyAlignment="1" applyProtection="1">
      <alignment horizontal="center" vertical="center" wrapText="1"/>
    </xf>
    <xf numFmtId="43" fontId="26" fillId="0" borderId="47" xfId="2" applyFont="1" applyBorder="1" applyAlignment="1" applyProtection="1">
      <alignment horizontal="center" vertical="center" wrapText="1"/>
    </xf>
    <xf numFmtId="43" fontId="26" fillId="0" borderId="61" xfId="2" applyFont="1" applyBorder="1" applyAlignment="1" applyProtection="1">
      <alignment horizontal="center" vertical="center" wrapText="1"/>
    </xf>
    <xf numFmtId="0" fontId="25" fillId="0" borderId="62" xfId="69" applyFont="1" applyBorder="1" applyAlignment="1" applyProtection="1">
      <alignment horizontal="center" vertical="center"/>
    </xf>
    <xf numFmtId="171" fontId="2" fillId="21" borderId="58" xfId="69" applyNumberFormat="1" applyFont="1" applyFill="1" applyBorder="1" applyAlignment="1" applyProtection="1">
      <alignment horizontal="center" vertical="center"/>
    </xf>
    <xf numFmtId="171" fontId="2" fillId="21" borderId="60" xfId="69" applyNumberFormat="1" applyFont="1" applyFill="1" applyBorder="1" applyAlignment="1" applyProtection="1">
      <alignment horizontal="center" vertical="center"/>
    </xf>
    <xf numFmtId="171" fontId="2" fillId="21" borderId="59" xfId="69" applyNumberFormat="1" applyFont="1" applyFill="1" applyBorder="1" applyAlignment="1" applyProtection="1">
      <alignment horizontal="center" vertical="center"/>
    </xf>
    <xf numFmtId="164" fontId="2" fillId="21" borderId="59" xfId="1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 wrapText="1"/>
    </xf>
    <xf numFmtId="0" fontId="25" fillId="0" borderId="63" xfId="69" applyFont="1" applyBorder="1" applyAlignment="1" applyProtection="1">
      <alignment horizontal="center" vertical="center"/>
    </xf>
    <xf numFmtId="171" fontId="2" fillId="0" borderId="36" xfId="69" applyNumberFormat="1" applyFont="1" applyFill="1" applyBorder="1" applyAlignment="1" applyProtection="1">
      <alignment horizontal="center" vertical="center"/>
    </xf>
    <xf numFmtId="171" fontId="2" fillId="0" borderId="34" xfId="69" applyNumberFormat="1" applyFont="1" applyFill="1" applyBorder="1" applyAlignment="1" applyProtection="1">
      <alignment horizontal="center" vertical="center"/>
    </xf>
    <xf numFmtId="171" fontId="2" fillId="0" borderId="39" xfId="69" applyNumberFormat="1" applyFont="1" applyFill="1" applyBorder="1" applyAlignment="1" applyProtection="1">
      <alignment horizontal="center" vertical="center"/>
    </xf>
    <xf numFmtId="171" fontId="2" fillId="0" borderId="35" xfId="69" applyNumberFormat="1" applyFont="1" applyFill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vertical="center"/>
    </xf>
    <xf numFmtId="0" fontId="37" fillId="24" borderId="0" xfId="71" applyFont="1" applyFill="1" applyBorder="1" applyAlignment="1" applyProtection="1"/>
    <xf numFmtId="0" fontId="28" fillId="24" borderId="0" xfId="72" applyFont="1" applyFill="1" applyBorder="1" applyAlignment="1" applyProtection="1"/>
    <xf numFmtId="0" fontId="28" fillId="24" borderId="0" xfId="72" applyFont="1" applyFill="1" applyBorder="1" applyAlignment="1" applyProtection="1">
      <alignment horizontal="center"/>
    </xf>
    <xf numFmtId="0" fontId="28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>
      <alignment horizontal="center" vertical="center"/>
    </xf>
    <xf numFmtId="0" fontId="38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/>
    <xf numFmtId="0" fontId="36" fillId="24" borderId="0" xfId="71" applyFill="1" applyBorder="1" applyProtection="1"/>
    <xf numFmtId="0" fontId="39" fillId="24" borderId="0" xfId="72" applyFont="1" applyFill="1" applyBorder="1" applyAlignment="1" applyProtection="1">
      <alignment horizontal="left"/>
    </xf>
    <xf numFmtId="0" fontId="2" fillId="24" borderId="0" xfId="72" applyFill="1" applyBorder="1" applyAlignment="1" applyProtection="1">
      <alignment horizontal="center"/>
    </xf>
    <xf numFmtId="0" fontId="39" fillId="24" borderId="31" xfId="72" applyFont="1" applyFill="1" applyBorder="1" applyAlignment="1" applyProtection="1">
      <alignment horizontal="left"/>
    </xf>
    <xf numFmtId="0" fontId="2" fillId="24" borderId="31" xfId="72" applyFill="1" applyBorder="1" applyAlignment="1" applyProtection="1"/>
    <xf numFmtId="0" fontId="2" fillId="24" borderId="31" xfId="72" applyFill="1" applyBorder="1" applyAlignment="1" applyProtection="1">
      <alignment horizontal="center"/>
    </xf>
    <xf numFmtId="0" fontId="2" fillId="24" borderId="31" xfId="72" applyFill="1" applyBorder="1" applyAlignment="1" applyProtection="1">
      <alignment horizontal="center" vertical="center"/>
    </xf>
    <xf numFmtId="0" fontId="36" fillId="24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6" fillId="0" borderId="0" xfId="71" applyProtection="1"/>
    <xf numFmtId="0" fontId="26" fillId="0" borderId="0" xfId="72" applyFont="1" applyProtection="1"/>
    <xf numFmtId="0" fontId="26" fillId="0" borderId="52" xfId="72" applyFont="1" applyBorder="1" applyAlignment="1" applyProtection="1">
      <alignment horizontal="centerContinuous" vertical="center"/>
    </xf>
    <xf numFmtId="0" fontId="26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6" fillId="0" borderId="55" xfId="72" applyFont="1" applyBorder="1" applyAlignment="1" applyProtection="1">
      <alignment horizontal="centerContinuous" vertical="center"/>
    </xf>
    <xf numFmtId="0" fontId="26" fillId="0" borderId="56" xfId="72" applyFont="1" applyBorder="1" applyAlignment="1" applyProtection="1">
      <alignment horizontal="centerContinuous" vertical="center"/>
    </xf>
    <xf numFmtId="0" fontId="26" fillId="0" borderId="57" xfId="72" applyFont="1" applyBorder="1" applyAlignment="1" applyProtection="1">
      <alignment horizontal="centerContinuous" vertical="center"/>
    </xf>
    <xf numFmtId="0" fontId="26" fillId="0" borderId="58" xfId="72" applyFont="1" applyBorder="1" applyAlignment="1" applyProtection="1">
      <alignment horizontal="center" vertical="center" wrapText="1"/>
    </xf>
    <xf numFmtId="0" fontId="26" fillId="0" borderId="60" xfId="72" applyFont="1" applyBorder="1" applyAlignment="1" applyProtection="1">
      <alignment horizontal="center" vertical="center" wrapText="1"/>
    </xf>
    <xf numFmtId="0" fontId="26" fillId="0" borderId="59" xfId="72" applyFont="1" applyBorder="1" applyAlignment="1" applyProtection="1">
      <alignment horizontal="center" vertical="center" wrapText="1"/>
    </xf>
    <xf numFmtId="0" fontId="26" fillId="0" borderId="20" xfId="72" applyFont="1" applyBorder="1" applyAlignment="1" applyProtection="1">
      <alignment horizontal="center" vertical="center" wrapText="1"/>
    </xf>
    <xf numFmtId="0" fontId="26" fillId="0" borderId="46" xfId="72" applyFont="1" applyBorder="1" applyAlignment="1" applyProtection="1">
      <alignment horizontal="center" vertical="center" wrapText="1"/>
    </xf>
    <xf numFmtId="0" fontId="26" fillId="0" borderId="47" xfId="72" applyFont="1" applyBorder="1" applyAlignment="1" applyProtection="1">
      <alignment horizontal="center" vertical="center" wrapText="1"/>
    </xf>
    <xf numFmtId="0" fontId="26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1" fontId="2" fillId="25" borderId="20" xfId="72" applyNumberFormat="1" applyFont="1" applyFill="1" applyBorder="1" applyAlignment="1" applyProtection="1">
      <alignment horizontal="center" vertical="center"/>
    </xf>
    <xf numFmtId="171" fontId="2" fillId="25" borderId="59" xfId="72" applyNumberFormat="1" applyFont="1" applyFill="1" applyBorder="1" applyAlignment="1" applyProtection="1">
      <alignment horizontal="center" vertical="center"/>
    </xf>
    <xf numFmtId="171" fontId="2" fillId="25" borderId="60" xfId="72" applyNumberFormat="1" applyFont="1" applyFill="1" applyBorder="1" applyAlignment="1" applyProtection="1">
      <alignment horizontal="center" vertical="center"/>
    </xf>
    <xf numFmtId="171" fontId="2" fillId="21" borderId="46" xfId="72" applyNumberFormat="1" applyFill="1" applyBorder="1" applyAlignment="1" applyProtection="1">
      <alignment horizontal="center" vertical="center"/>
    </xf>
    <xf numFmtId="171" fontId="2" fillId="21" borderId="47" xfId="72" applyNumberFormat="1" applyFill="1" applyBorder="1" applyAlignment="1" applyProtection="1">
      <alignment horizontal="center" vertical="center"/>
    </xf>
    <xf numFmtId="171" fontId="2" fillId="21" borderId="61" xfId="72" applyNumberFormat="1" applyFill="1" applyBorder="1" applyAlignment="1" applyProtection="1">
      <alignment horizontal="center" vertical="center"/>
    </xf>
    <xf numFmtId="171" fontId="2" fillId="25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1" fontId="26" fillId="21" borderId="46" xfId="72" applyNumberFormat="1" applyFont="1" applyFill="1" applyBorder="1" applyAlignment="1" applyProtection="1">
      <alignment horizontal="center" vertical="center"/>
    </xf>
    <xf numFmtId="171" fontId="26" fillId="21" borderId="47" xfId="72" applyNumberFormat="1" applyFont="1" applyFill="1" applyBorder="1" applyAlignment="1" applyProtection="1">
      <alignment horizontal="center" vertical="center"/>
    </xf>
    <xf numFmtId="171" fontId="26" fillId="21" borderId="61" xfId="72" applyNumberFormat="1" applyFont="1" applyFill="1" applyBorder="1" applyAlignment="1" applyProtection="1">
      <alignment horizontal="center" vertical="center"/>
    </xf>
    <xf numFmtId="171" fontId="26" fillId="21" borderId="12" xfId="72" applyNumberFormat="1" applyFont="1" applyFill="1" applyBorder="1" applyAlignment="1" applyProtection="1">
      <alignment horizontal="center" vertical="center"/>
    </xf>
    <xf numFmtId="171" fontId="33" fillId="22" borderId="46" xfId="72" applyNumberFormat="1" applyFont="1" applyFill="1" applyBorder="1" applyAlignment="1" applyProtection="1">
      <alignment horizontal="center" vertical="center"/>
      <protection locked="0"/>
    </xf>
    <xf numFmtId="171" fontId="26" fillId="21" borderId="68" xfId="72" applyNumberFormat="1" applyFont="1" applyFill="1" applyBorder="1" applyAlignment="1" applyProtection="1">
      <alignment horizontal="center" vertical="center"/>
    </xf>
    <xf numFmtId="171" fontId="26" fillId="21" borderId="15" xfId="72" applyNumberFormat="1" applyFont="1" applyFill="1" applyBorder="1" applyAlignment="1" applyProtection="1">
      <alignment horizontal="center" vertical="center"/>
    </xf>
    <xf numFmtId="171" fontId="26" fillId="21" borderId="69" xfId="72" applyNumberFormat="1" applyFont="1" applyFill="1" applyBorder="1" applyAlignment="1" applyProtection="1">
      <alignment horizontal="center" vertical="center"/>
    </xf>
    <xf numFmtId="171" fontId="26" fillId="21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1" fontId="2" fillId="0" borderId="36" xfId="72" applyNumberFormat="1" applyFont="1" applyFill="1" applyBorder="1" applyAlignment="1" applyProtection="1">
      <alignment horizontal="center" vertical="center"/>
    </xf>
    <xf numFmtId="171" fontId="2" fillId="0" borderId="34" xfId="72" applyNumberFormat="1" applyFont="1" applyFill="1" applyBorder="1" applyAlignment="1" applyProtection="1">
      <alignment horizontal="center" vertical="center"/>
    </xf>
    <xf numFmtId="171" fontId="2" fillId="0" borderId="39" xfId="72" applyNumberFormat="1" applyFont="1" applyFill="1" applyBorder="1" applyAlignment="1" applyProtection="1">
      <alignment horizontal="center" vertical="center"/>
    </xf>
    <xf numFmtId="171" fontId="2" fillId="0" borderId="35" xfId="72" applyNumberFormat="1" applyFont="1" applyFill="1" applyBorder="1" applyAlignment="1" applyProtection="1">
      <alignment horizontal="center" vertical="center"/>
    </xf>
    <xf numFmtId="171" fontId="2" fillId="23" borderId="46" xfId="72" applyNumberFormat="1" applyFill="1" applyBorder="1" applyAlignment="1" applyProtection="1">
      <alignment horizontal="center" vertical="center"/>
    </xf>
    <xf numFmtId="171" fontId="2" fillId="23" borderId="47" xfId="72" applyNumberFormat="1" applyFill="1" applyBorder="1" applyAlignment="1" applyProtection="1">
      <alignment horizontal="center" vertical="center"/>
    </xf>
    <xf numFmtId="171" fontId="2" fillId="23" borderId="61" xfId="72" applyNumberFormat="1" applyFill="1" applyBorder="1" applyAlignment="1" applyProtection="1">
      <alignment horizontal="center" vertical="center"/>
    </xf>
    <xf numFmtId="164" fontId="2" fillId="23" borderId="61" xfId="1" applyNumberFormat="1" applyFont="1" applyFill="1" applyBorder="1" applyAlignment="1" applyProtection="1">
      <alignment horizontal="center" vertical="center"/>
    </xf>
    <xf numFmtId="0" fontId="26" fillId="0" borderId="41" xfId="72" applyFont="1" applyBorder="1" applyProtection="1"/>
    <xf numFmtId="0" fontId="2" fillId="0" borderId="51" xfId="72" applyBorder="1" applyAlignment="1" applyProtection="1">
      <alignment horizontal="center"/>
    </xf>
    <xf numFmtId="0" fontId="2" fillId="0" borderId="58" xfId="72" applyBorder="1" applyProtection="1"/>
    <xf numFmtId="0" fontId="26" fillId="0" borderId="59" xfId="72" applyFont="1" applyBorder="1" applyAlignment="1" applyProtection="1">
      <alignment horizontal="center" vertical="center"/>
    </xf>
    <xf numFmtId="171" fontId="33" fillId="22" borderId="12" xfId="72" applyNumberFormat="1" applyFont="1" applyFill="1" applyBorder="1" applyAlignment="1" applyProtection="1">
      <alignment horizontal="center" vertical="center"/>
      <protection locked="0"/>
    </xf>
    <xf numFmtId="171" fontId="33" fillId="22" borderId="61" xfId="72" applyNumberFormat="1" applyFont="1" applyFill="1" applyBorder="1" applyAlignment="1" applyProtection="1">
      <alignment horizontal="center" vertical="center"/>
      <protection locked="0"/>
    </xf>
    <xf numFmtId="171" fontId="33" fillId="22" borderId="47" xfId="72" applyNumberFormat="1" applyFont="1" applyFill="1" applyBorder="1" applyAlignment="1" applyProtection="1">
      <alignment horizontal="center" vertical="center"/>
      <protection locked="0"/>
    </xf>
    <xf numFmtId="171" fontId="26" fillId="21" borderId="36" xfId="72" applyNumberFormat="1" applyFont="1" applyFill="1" applyBorder="1" applyAlignment="1" applyProtection="1">
      <alignment horizontal="center" vertical="center"/>
    </xf>
    <xf numFmtId="171" fontId="26" fillId="21" borderId="34" xfId="72" applyNumberFormat="1" applyFont="1" applyFill="1" applyBorder="1" applyAlignment="1" applyProtection="1">
      <alignment horizontal="center" vertical="center"/>
    </xf>
    <xf numFmtId="171" fontId="26" fillId="21" borderId="39" xfId="72" applyNumberFormat="1" applyFont="1" applyFill="1" applyBorder="1" applyAlignment="1" applyProtection="1">
      <alignment horizontal="center" vertical="center"/>
    </xf>
    <xf numFmtId="171" fontId="26" fillId="21" borderId="35" xfId="72" applyNumberFormat="1" applyFont="1" applyFill="1" applyBorder="1" applyAlignment="1" applyProtection="1">
      <alignment horizontal="center" vertical="center"/>
    </xf>
    <xf numFmtId="171" fontId="2" fillId="21" borderId="36" xfId="72" applyNumberFormat="1" applyFill="1" applyBorder="1" applyAlignment="1" applyProtection="1">
      <alignment horizontal="center" vertical="center"/>
    </xf>
    <xf numFmtId="171" fontId="2" fillId="21" borderId="35" xfId="72" applyNumberFormat="1" applyFill="1" applyBorder="1" applyAlignment="1" applyProtection="1">
      <alignment horizontal="center" vertical="center"/>
    </xf>
    <xf numFmtId="171" fontId="2" fillId="21" borderId="39" xfId="72" applyNumberFormat="1" applyFill="1" applyBorder="1" applyAlignment="1" applyProtection="1">
      <alignment horizontal="center" vertical="center"/>
    </xf>
    <xf numFmtId="0" fontId="26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6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1" fontId="2" fillId="23" borderId="46" xfId="72" applyNumberFormat="1" applyFont="1" applyFill="1" applyBorder="1" applyAlignment="1" applyProtection="1">
      <alignment horizontal="center" vertical="center"/>
      <protection locked="0"/>
    </xf>
    <xf numFmtId="171" fontId="2" fillId="23" borderId="12" xfId="72" applyNumberFormat="1" applyFont="1" applyFill="1" applyBorder="1" applyAlignment="1" applyProtection="1">
      <alignment horizontal="center" vertical="center"/>
      <protection locked="0"/>
    </xf>
    <xf numFmtId="171" fontId="2" fillId="23" borderId="61" xfId="72" applyNumberFormat="1" applyFont="1" applyFill="1" applyBorder="1" applyAlignment="1" applyProtection="1">
      <alignment horizontal="center" vertical="center"/>
      <protection locked="0"/>
    </xf>
    <xf numFmtId="171" fontId="2" fillId="25" borderId="12" xfId="72" applyNumberFormat="1" applyFont="1" applyFill="1" applyBorder="1" applyAlignment="1" applyProtection="1">
      <alignment horizontal="center" vertical="center"/>
      <protection locked="0"/>
    </xf>
    <xf numFmtId="171" fontId="2" fillId="25" borderId="47" xfId="72" applyNumberFormat="1" applyFont="1" applyFill="1" applyBorder="1" applyAlignment="1" applyProtection="1">
      <alignment horizontal="center" vertical="center"/>
      <protection locked="0"/>
    </xf>
    <xf numFmtId="171" fontId="2" fillId="25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Alignment="1" applyProtection="1">
      <alignment horizontal="left" wrapText="1" indent="2"/>
    </xf>
    <xf numFmtId="171" fontId="2" fillId="21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6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1" fontId="2" fillId="21" borderId="34" xfId="72" applyNumberFormat="1" applyFill="1" applyBorder="1" applyAlignment="1" applyProtection="1">
      <alignment horizontal="center" vertical="center"/>
    </xf>
    <xf numFmtId="0" fontId="26" fillId="0" borderId="44" xfId="72" applyFont="1" applyBorder="1" applyProtection="1"/>
    <xf numFmtId="0" fontId="26" fillId="0" borderId="16" xfId="72" applyFont="1" applyBorder="1" applyAlignment="1" applyProtection="1">
      <alignment horizontal="center"/>
    </xf>
    <xf numFmtId="0" fontId="26" fillId="0" borderId="66" xfId="72" applyFont="1" applyBorder="1" applyAlignment="1" applyProtection="1">
      <alignment horizontal="center" vertical="center"/>
    </xf>
    <xf numFmtId="0" fontId="26" fillId="0" borderId="14" xfId="72" applyFont="1" applyBorder="1" applyAlignment="1" applyProtection="1">
      <alignment horizontal="center" vertical="center"/>
    </xf>
    <xf numFmtId="0" fontId="26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6" fillId="0" borderId="0" xfId="71" applyBorder="1" applyProtection="1"/>
    <xf numFmtId="0" fontId="26" fillId="0" borderId="44" xfId="72" applyFont="1" applyBorder="1" applyAlignment="1" applyProtection="1">
      <alignment horizontal="left" indent="1"/>
    </xf>
    <xf numFmtId="0" fontId="26" fillId="0" borderId="27" xfId="72" applyFont="1" applyBorder="1" applyAlignment="1" applyProtection="1">
      <alignment horizontal="center" vertical="center"/>
    </xf>
    <xf numFmtId="0" fontId="26" fillId="0" borderId="0" xfId="72" applyFont="1" applyBorder="1" applyAlignment="1" applyProtection="1">
      <alignment horizontal="center" vertical="center"/>
    </xf>
    <xf numFmtId="0" fontId="26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21" borderId="46" xfId="72" applyNumberFormat="1" applyFont="1" applyFill="1" applyBorder="1" applyAlignment="1" applyProtection="1">
      <alignment horizontal="center" vertical="center"/>
      <protection locked="0"/>
    </xf>
    <xf numFmtId="1" fontId="2" fillId="21" borderId="12" xfId="72" applyNumberFormat="1" applyFont="1" applyFill="1" applyBorder="1" applyAlignment="1" applyProtection="1">
      <alignment horizontal="center" vertical="center"/>
      <protection locked="0"/>
    </xf>
    <xf numFmtId="1" fontId="2" fillId="21" borderId="61" xfId="72" applyNumberFormat="1" applyFont="1" applyFill="1" applyBorder="1" applyAlignment="1" applyProtection="1">
      <alignment horizontal="center" vertical="center"/>
      <protection locked="0"/>
    </xf>
    <xf numFmtId="1" fontId="2" fillId="21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3" fillId="23" borderId="46" xfId="72" applyNumberFormat="1" applyFont="1" applyFill="1" applyBorder="1" applyAlignment="1" applyProtection="1">
      <alignment horizontal="center" vertical="center"/>
      <protection locked="0"/>
    </xf>
    <xf numFmtId="1" fontId="33" fillId="23" borderId="12" xfId="72" applyNumberFormat="1" applyFont="1" applyFill="1" applyBorder="1" applyAlignment="1" applyProtection="1">
      <alignment horizontal="center" vertical="center"/>
      <protection locked="0"/>
    </xf>
    <xf numFmtId="1" fontId="33" fillId="23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44" xfId="72" applyFont="1" applyFill="1" applyBorder="1" applyAlignment="1" applyProtection="1">
      <alignment horizontal="left" indent="1"/>
    </xf>
    <xf numFmtId="1" fontId="26" fillId="0" borderId="27" xfId="72" applyNumberFormat="1" applyFont="1" applyBorder="1" applyAlignment="1" applyProtection="1">
      <alignment horizontal="center" vertical="center"/>
    </xf>
    <xf numFmtId="1" fontId="26" fillId="0" borderId="0" xfId="72" applyNumberFormat="1" applyFont="1" applyBorder="1" applyAlignment="1" applyProtection="1">
      <alignment horizontal="center" vertical="center"/>
    </xf>
    <xf numFmtId="1" fontId="26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3" borderId="46" xfId="72" applyNumberFormat="1" applyFont="1" applyFill="1" applyBorder="1" applyAlignment="1" applyProtection="1">
      <alignment horizontal="center" vertical="center"/>
      <protection locked="0"/>
    </xf>
    <xf numFmtId="1" fontId="2" fillId="23" borderId="12" xfId="72" applyNumberFormat="1" applyFont="1" applyFill="1" applyBorder="1" applyAlignment="1" applyProtection="1">
      <alignment horizontal="center" vertical="center"/>
      <protection locked="0"/>
    </xf>
    <xf numFmtId="1" fontId="2" fillId="23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21" borderId="68" xfId="72" applyNumberFormat="1" applyFont="1" applyFill="1" applyBorder="1" applyAlignment="1" applyProtection="1">
      <alignment horizontal="center" vertical="center"/>
      <protection locked="0"/>
    </xf>
    <xf numFmtId="1" fontId="2" fillId="21" borderId="15" xfId="72" applyNumberFormat="1" applyFont="1" applyFill="1" applyBorder="1" applyAlignment="1" applyProtection="1">
      <alignment horizontal="center" vertical="center"/>
      <protection locked="0"/>
    </xf>
    <xf numFmtId="1" fontId="2" fillId="21" borderId="69" xfId="72" applyNumberFormat="1" applyFont="1" applyFill="1" applyBorder="1" applyAlignment="1" applyProtection="1">
      <alignment horizontal="center" vertical="center"/>
      <protection locked="0"/>
    </xf>
    <xf numFmtId="1" fontId="2" fillId="21" borderId="70" xfId="72" applyNumberFormat="1" applyFont="1" applyFill="1" applyBorder="1" applyAlignment="1" applyProtection="1">
      <alignment horizontal="center" vertical="center"/>
      <protection locked="0"/>
    </xf>
    <xf numFmtId="1" fontId="2" fillId="23" borderId="68" xfId="72" applyNumberFormat="1" applyFont="1" applyFill="1" applyBorder="1" applyAlignment="1" applyProtection="1">
      <alignment horizontal="center" vertical="center"/>
      <protection locked="0"/>
    </xf>
    <xf numFmtId="1" fontId="2" fillId="23" borderId="15" xfId="72" applyNumberFormat="1" applyFont="1" applyFill="1" applyBorder="1" applyAlignment="1" applyProtection="1">
      <alignment horizontal="center" vertical="center"/>
      <protection locked="0"/>
    </xf>
    <xf numFmtId="1" fontId="2" fillId="23" borderId="69" xfId="72" applyNumberFormat="1" applyFont="1" applyFill="1" applyBorder="1" applyAlignment="1" applyProtection="1">
      <alignment horizontal="center" vertical="center"/>
      <protection locked="0"/>
    </xf>
    <xf numFmtId="0" fontId="26" fillId="0" borderId="48" xfId="72" applyFont="1" applyBorder="1" applyAlignment="1" applyProtection="1">
      <alignment horizontal="left" wrapText="1" indent="1"/>
    </xf>
    <xf numFmtId="1" fontId="26" fillId="21" borderId="36" xfId="72" applyNumberFormat="1" applyFont="1" applyFill="1" applyBorder="1" applyAlignment="1" applyProtection="1">
      <alignment horizontal="center" vertical="center"/>
    </xf>
    <xf numFmtId="1" fontId="26" fillId="21" borderId="35" xfId="72" applyNumberFormat="1" applyFont="1" applyFill="1" applyBorder="1" applyAlignment="1" applyProtection="1">
      <alignment horizontal="center" vertical="center"/>
    </xf>
    <xf numFmtId="1" fontId="26" fillId="21" borderId="39" xfId="72" applyNumberFormat="1" applyFont="1" applyFill="1" applyBorder="1" applyAlignment="1" applyProtection="1">
      <alignment horizontal="center" vertical="center"/>
    </xf>
    <xf numFmtId="0" fontId="35" fillId="0" borderId="0" xfId="71" applyFont="1" applyBorder="1" applyProtection="1"/>
    <xf numFmtId="0" fontId="26" fillId="0" borderId="0" xfId="72" applyFont="1" applyBorder="1" applyAlignment="1" applyProtection="1">
      <alignment horizontal="left" wrapText="1" indent="1"/>
    </xf>
    <xf numFmtId="0" fontId="36" fillId="0" borderId="0" xfId="71" applyAlignment="1" applyProtection="1">
      <alignment horizontal="center"/>
    </xf>
    <xf numFmtId="0" fontId="2" fillId="0" borderId="0" xfId="72" applyFill="1" applyProtection="1"/>
    <xf numFmtId="0" fontId="26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6" fillId="0" borderId="44" xfId="72" applyFont="1" applyBorder="1" applyAlignment="1" applyProtection="1">
      <alignment horizontal="left" indent="2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3" fillId="22" borderId="46" xfId="72" applyNumberFormat="1" applyFont="1" applyFill="1" applyBorder="1" applyAlignment="1" applyProtection="1">
      <alignment horizontal="center" vertical="center"/>
      <protection locked="0"/>
    </xf>
    <xf numFmtId="1" fontId="33" fillId="22" borderId="12" xfId="72" applyNumberFormat="1" applyFont="1" applyFill="1" applyBorder="1" applyAlignment="1" applyProtection="1">
      <alignment horizontal="center" vertical="center"/>
      <protection locked="0"/>
    </xf>
    <xf numFmtId="1" fontId="33" fillId="22" borderId="61" xfId="72" applyNumberFormat="1" applyFont="1" applyFill="1" applyBorder="1" applyAlignment="1" applyProtection="1">
      <alignment horizontal="center" vertical="center"/>
      <protection locked="0"/>
    </xf>
    <xf numFmtId="1" fontId="33" fillId="22" borderId="47" xfId="72" applyNumberFormat="1" applyFont="1" applyFill="1" applyBorder="1" applyAlignment="1" applyProtection="1">
      <alignment horizontal="center" vertical="center"/>
      <protection locked="0"/>
    </xf>
    <xf numFmtId="1" fontId="33" fillId="22" borderId="40" xfId="72" applyNumberFormat="1" applyFont="1" applyFill="1" applyBorder="1" applyAlignment="1" applyProtection="1">
      <alignment horizontal="center" vertical="center"/>
      <protection locked="0"/>
    </xf>
    <xf numFmtId="1" fontId="2" fillId="25" borderId="46" xfId="72" applyNumberFormat="1" applyFont="1" applyFill="1" applyBorder="1" applyAlignment="1" applyProtection="1">
      <alignment horizontal="center" vertical="center"/>
      <protection locked="0"/>
    </xf>
    <xf numFmtId="1" fontId="2" fillId="25" borderId="47" xfId="72" applyNumberFormat="1" applyFont="1" applyFill="1" applyBorder="1" applyAlignment="1" applyProtection="1">
      <alignment horizontal="center" vertical="center"/>
      <protection locked="0"/>
    </xf>
    <xf numFmtId="1" fontId="2" fillId="25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3" fillId="22" borderId="68" xfId="72" applyNumberFormat="1" applyFont="1" applyFill="1" applyBorder="1" applyAlignment="1" applyProtection="1">
      <alignment horizontal="center" vertical="center"/>
      <protection locked="0"/>
    </xf>
    <xf numFmtId="1" fontId="33" fillId="22" borderId="15" xfId="72" applyNumberFormat="1" applyFont="1" applyFill="1" applyBorder="1" applyAlignment="1" applyProtection="1">
      <alignment horizontal="center" vertical="center"/>
      <protection locked="0"/>
    </xf>
    <xf numFmtId="1" fontId="33" fillId="22" borderId="69" xfId="72" applyNumberFormat="1" applyFont="1" applyFill="1" applyBorder="1" applyAlignment="1" applyProtection="1">
      <alignment horizontal="center" vertical="center"/>
      <protection locked="0"/>
    </xf>
    <xf numFmtId="1" fontId="33" fillId="22" borderId="70" xfId="72" applyNumberFormat="1" applyFont="1" applyFill="1" applyBorder="1" applyAlignment="1" applyProtection="1">
      <alignment horizontal="center" vertical="center"/>
      <protection locked="0"/>
    </xf>
    <xf numFmtId="1" fontId="33" fillId="22" borderId="67" xfId="72" applyNumberFormat="1" applyFont="1" applyFill="1" applyBorder="1" applyAlignment="1" applyProtection="1">
      <alignment horizontal="center" vertical="center"/>
      <protection locked="0"/>
    </xf>
    <xf numFmtId="1" fontId="33" fillId="23" borderId="68" xfId="72" applyNumberFormat="1" applyFont="1" applyFill="1" applyBorder="1" applyAlignment="1" applyProtection="1">
      <alignment horizontal="center" vertical="center"/>
      <protection locked="0"/>
    </xf>
    <xf numFmtId="1" fontId="33" fillId="23" borderId="15" xfId="72" applyNumberFormat="1" applyFont="1" applyFill="1" applyBorder="1" applyAlignment="1" applyProtection="1">
      <alignment horizontal="center" vertical="center"/>
      <protection locked="0"/>
    </xf>
    <xf numFmtId="1" fontId="33" fillId="23" borderId="69" xfId="72" applyNumberFormat="1" applyFont="1" applyFill="1" applyBorder="1" applyAlignment="1" applyProtection="1">
      <alignment horizontal="center" vertical="center"/>
      <protection locked="0"/>
    </xf>
    <xf numFmtId="1" fontId="2" fillId="25" borderId="68" xfId="72" applyNumberFormat="1" applyFont="1" applyFill="1" applyBorder="1" applyAlignment="1" applyProtection="1">
      <alignment horizontal="center" vertical="center"/>
      <protection locked="0"/>
    </xf>
    <xf numFmtId="1" fontId="26" fillId="21" borderId="72" xfId="72" applyNumberFormat="1" applyFont="1" applyFill="1" applyBorder="1" applyAlignment="1" applyProtection="1">
      <alignment horizontal="center" vertical="center"/>
    </xf>
    <xf numFmtId="0" fontId="26" fillId="0" borderId="0" xfId="72" applyFont="1" applyAlignment="1" applyProtection="1">
      <alignment horizontal="left" wrapText="1" indent="1"/>
    </xf>
    <xf numFmtId="1" fontId="2" fillId="25" borderId="38" xfId="72" applyNumberFormat="1" applyFont="1" applyFill="1" applyBorder="1" applyAlignment="1" applyProtection="1">
      <alignment horizontal="center" vertical="center"/>
      <protection locked="0"/>
    </xf>
    <xf numFmtId="1" fontId="2" fillId="25" borderId="73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Protection="1"/>
    <xf numFmtId="0" fontId="26" fillId="0" borderId="13" xfId="72" applyFont="1" applyBorder="1" applyAlignment="1" applyProtection="1">
      <alignment horizontal="center"/>
    </xf>
    <xf numFmtId="171" fontId="33" fillId="23" borderId="46" xfId="72" applyNumberFormat="1" applyFont="1" applyFill="1" applyBorder="1" applyAlignment="1" applyProtection="1">
      <alignment horizontal="center" vertical="center"/>
      <protection locked="0"/>
    </xf>
    <xf numFmtId="171" fontId="33" fillId="23" borderId="12" xfId="72" applyNumberFormat="1" applyFont="1" applyFill="1" applyBorder="1" applyAlignment="1" applyProtection="1">
      <alignment horizontal="center" vertical="center"/>
      <protection locked="0"/>
    </xf>
    <xf numFmtId="171" fontId="33" fillId="23" borderId="61" xfId="72" applyNumberFormat="1" applyFont="1" applyFill="1" applyBorder="1" applyAlignment="1" applyProtection="1">
      <alignment horizontal="center" vertical="center"/>
      <protection locked="0"/>
    </xf>
    <xf numFmtId="9" fontId="33" fillId="23" borderId="46" xfId="1" applyFont="1" applyFill="1" applyBorder="1" applyAlignment="1" applyProtection="1">
      <alignment horizontal="center" vertical="center"/>
      <protection locked="0"/>
    </xf>
    <xf numFmtId="9" fontId="33" fillId="23" borderId="12" xfId="1" applyFont="1" applyFill="1" applyBorder="1" applyAlignment="1" applyProtection="1">
      <alignment horizontal="center" vertical="center"/>
      <protection locked="0"/>
    </xf>
    <xf numFmtId="9" fontId="33" fillId="23" borderId="61" xfId="1" applyFont="1" applyFill="1" applyBorder="1" applyAlignment="1" applyProtection="1">
      <alignment horizontal="center" vertical="center"/>
      <protection locked="0"/>
    </xf>
    <xf numFmtId="9" fontId="33" fillId="22" borderId="12" xfId="1" applyFont="1" applyFill="1" applyBorder="1" applyAlignment="1" applyProtection="1">
      <alignment horizontal="center" vertical="center"/>
      <protection locked="0"/>
    </xf>
    <xf numFmtId="9" fontId="33" fillId="22" borderId="47" xfId="1" applyFont="1" applyFill="1" applyBorder="1" applyAlignment="1" applyProtection="1">
      <alignment horizontal="center" vertical="center"/>
      <protection locked="0"/>
    </xf>
    <xf numFmtId="9" fontId="33" fillId="22" borderId="61" xfId="1" applyFont="1" applyFill="1" applyBorder="1" applyAlignment="1" applyProtection="1">
      <alignment horizontal="center" vertical="center"/>
      <protection locked="0"/>
    </xf>
    <xf numFmtId="9" fontId="33" fillId="25" borderId="12" xfId="1" applyFont="1" applyFill="1" applyBorder="1" applyAlignment="1" applyProtection="1">
      <alignment horizontal="center" vertical="center"/>
      <protection locked="0"/>
    </xf>
    <xf numFmtId="9" fontId="33" fillId="25" borderId="47" xfId="1" applyFont="1" applyFill="1" applyBorder="1" applyAlignment="1" applyProtection="1">
      <alignment horizontal="center" vertical="center"/>
      <protection locked="0"/>
    </xf>
    <xf numFmtId="9" fontId="33" fillId="25" borderId="61" xfId="1" applyFont="1" applyFill="1" applyBorder="1" applyAlignment="1" applyProtection="1">
      <alignment horizontal="center" vertical="center"/>
      <protection locked="0"/>
    </xf>
    <xf numFmtId="171" fontId="33" fillId="23" borderId="46" xfId="1" applyNumberFormat="1" applyFont="1" applyFill="1" applyBorder="1" applyAlignment="1" applyProtection="1">
      <alignment horizontal="center" vertical="center"/>
      <protection locked="0"/>
    </xf>
    <xf numFmtId="171" fontId="33" fillId="23" borderId="12" xfId="1" applyNumberFormat="1" applyFont="1" applyFill="1" applyBorder="1" applyAlignment="1" applyProtection="1">
      <alignment horizontal="center" vertical="center"/>
      <protection locked="0"/>
    </xf>
    <xf numFmtId="171" fontId="33" fillId="23" borderId="61" xfId="1" applyNumberFormat="1" applyFont="1" applyFill="1" applyBorder="1" applyAlignment="1" applyProtection="1">
      <alignment horizontal="center" vertical="center"/>
      <protection locked="0"/>
    </xf>
    <xf numFmtId="171" fontId="33" fillId="22" borderId="12" xfId="1" applyNumberFormat="1" applyFont="1" applyFill="1" applyBorder="1" applyAlignment="1" applyProtection="1">
      <alignment horizontal="center" vertical="center"/>
      <protection locked="0"/>
    </xf>
    <xf numFmtId="171" fontId="33" fillId="22" borderId="47" xfId="1" applyNumberFormat="1" applyFont="1" applyFill="1" applyBorder="1" applyAlignment="1" applyProtection="1">
      <alignment horizontal="center" vertical="center"/>
      <protection locked="0"/>
    </xf>
    <xf numFmtId="171" fontId="33" fillId="22" borderId="61" xfId="1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Border="1" applyAlignment="1" applyProtection="1">
      <alignment horizontal="left" wrapText="1" indent="2"/>
    </xf>
    <xf numFmtId="171" fontId="33" fillId="22" borderId="68" xfId="72" applyNumberFormat="1" applyFont="1" applyFill="1" applyBorder="1" applyAlignment="1" applyProtection="1">
      <alignment horizontal="center" vertical="center"/>
      <protection locked="0"/>
    </xf>
    <xf numFmtId="171" fontId="33" fillId="22" borderId="15" xfId="72" applyNumberFormat="1" applyFont="1" applyFill="1" applyBorder="1" applyAlignment="1" applyProtection="1">
      <alignment horizontal="center" vertical="center"/>
      <protection locked="0"/>
    </xf>
    <xf numFmtId="171" fontId="33" fillId="22" borderId="69" xfId="72" applyNumberFormat="1" applyFont="1" applyFill="1" applyBorder="1" applyAlignment="1" applyProtection="1">
      <alignment horizontal="center" vertical="center"/>
      <protection locked="0"/>
    </xf>
    <xf numFmtId="171" fontId="2" fillId="21" borderId="15" xfId="72" applyNumberFormat="1" applyFill="1" applyBorder="1" applyAlignment="1" applyProtection="1">
      <alignment horizontal="center" vertical="center"/>
    </xf>
    <xf numFmtId="171" fontId="2" fillId="21" borderId="70" xfId="72" applyNumberFormat="1" applyFill="1" applyBorder="1" applyAlignment="1" applyProtection="1">
      <alignment horizontal="center" vertical="center"/>
    </xf>
    <xf numFmtId="171" fontId="2" fillId="21" borderId="69" xfId="72" applyNumberFormat="1" applyFill="1" applyBorder="1" applyAlignment="1" applyProtection="1">
      <alignment horizontal="center" vertical="center"/>
    </xf>
    <xf numFmtId="0" fontId="26" fillId="0" borderId="48" xfId="72" applyFont="1" applyFill="1" applyBorder="1" applyAlignment="1" applyProtection="1">
      <alignment horizontal="left" wrapText="1" indent="2"/>
    </xf>
    <xf numFmtId="0" fontId="2" fillId="0" borderId="49" xfId="72" applyNumberFormat="1" applyFont="1" applyBorder="1" applyAlignment="1" applyProtection="1">
      <alignment horizontal="center" wrapText="1"/>
    </xf>
    <xf numFmtId="171" fontId="2" fillId="25" borderId="35" xfId="72" applyNumberFormat="1" applyFont="1" applyFill="1" applyBorder="1" applyAlignment="1" applyProtection="1">
      <alignment horizontal="center" vertical="center"/>
      <protection locked="0"/>
    </xf>
    <xf numFmtId="171" fontId="2" fillId="25" borderId="35" xfId="72" applyNumberFormat="1" applyFont="1" applyFill="1" applyBorder="1" applyAlignment="1" applyProtection="1">
      <alignment horizontal="center" vertical="center"/>
    </xf>
    <xf numFmtId="171" fontId="2" fillId="25" borderId="39" xfId="72" applyNumberFormat="1" applyFont="1" applyFill="1" applyBorder="1" applyAlignment="1" applyProtection="1">
      <alignment horizontal="center" vertical="center"/>
    </xf>
    <xf numFmtId="0" fontId="2" fillId="0" borderId="21" xfId="72" applyFill="1" applyBorder="1" applyProtection="1"/>
    <xf numFmtId="0" fontId="2" fillId="0" borderId="43" xfId="72" applyBorder="1" applyAlignment="1" applyProtection="1">
      <alignment horizontal="center"/>
    </xf>
    <xf numFmtId="0" fontId="26" fillId="0" borderId="27" xfId="72" applyFont="1" applyFill="1" applyBorder="1" applyAlignment="1" applyProtection="1">
      <alignment horizontal="center" vertical="center"/>
    </xf>
    <xf numFmtId="0" fontId="26" fillId="0" borderId="18" xfId="72" applyFont="1" applyBorder="1" applyAlignment="1" applyProtection="1">
      <alignment horizontal="center" vertical="center"/>
    </xf>
    <xf numFmtId="0" fontId="26" fillId="0" borderId="41" xfId="72" applyFont="1" applyFill="1" applyBorder="1" applyProtection="1"/>
    <xf numFmtId="0" fontId="26" fillId="0" borderId="14" xfId="72" applyFont="1" applyBorder="1" applyAlignment="1" applyProtection="1">
      <alignment horizontal="center"/>
    </xf>
    <xf numFmtId="0" fontId="2" fillId="0" borderId="0" xfId="72" applyFill="1" applyBorder="1" applyAlignment="1" applyProtection="1">
      <alignment horizontal="center"/>
    </xf>
    <xf numFmtId="0" fontId="2" fillId="0" borderId="44" xfId="72" applyFill="1" applyBorder="1" applyAlignment="1" applyProtection="1">
      <alignment horizontal="left" wrapText="1" indent="2"/>
    </xf>
    <xf numFmtId="0" fontId="26" fillId="0" borderId="44" xfId="72" applyFont="1" applyFill="1" applyBorder="1" applyAlignment="1" applyProtection="1">
      <alignment horizontal="left" wrapText="1" indent="2"/>
    </xf>
    <xf numFmtId="0" fontId="2" fillId="0" borderId="0" xfId="72" applyNumberFormat="1" applyBorder="1" applyAlignment="1" applyProtection="1">
      <alignment horizontal="center"/>
    </xf>
    <xf numFmtId="0" fontId="26" fillId="0" borderId="44" xfId="72" applyFont="1" applyBorder="1" applyAlignment="1" applyProtection="1">
      <alignment horizontal="left" wrapText="1" indent="2"/>
    </xf>
    <xf numFmtId="0" fontId="2" fillId="0" borderId="74" xfId="72" applyNumberFormat="1" applyFont="1" applyBorder="1" applyAlignment="1" applyProtection="1">
      <alignment horizontal="center" wrapText="1"/>
    </xf>
    <xf numFmtId="171" fontId="2" fillId="21" borderId="35" xfId="72" applyNumberFormat="1" applyFont="1" applyFill="1" applyBorder="1" applyAlignment="1" applyProtection="1">
      <alignment horizontal="center" vertical="center"/>
    </xf>
    <xf numFmtId="171" fontId="2" fillId="21" borderId="39" xfId="72" applyNumberFormat="1" applyFont="1" applyFill="1" applyBorder="1" applyAlignment="1" applyProtection="1">
      <alignment horizontal="center" vertical="center"/>
    </xf>
    <xf numFmtId="171" fontId="2" fillId="21" borderId="30" xfId="72" applyNumberFormat="1" applyFill="1" applyBorder="1" applyAlignment="1" applyProtection="1">
      <alignment horizontal="center" vertical="center"/>
    </xf>
    <xf numFmtId="0" fontId="2" fillId="0" borderId="41" xfId="72" applyFill="1" applyBorder="1" applyProtection="1"/>
    <xf numFmtId="0" fontId="2" fillId="0" borderId="22" xfId="72" applyBorder="1" applyAlignment="1" applyProtection="1">
      <alignment horizontal="center"/>
    </xf>
    <xf numFmtId="0" fontId="26" fillId="0" borderId="58" xfId="72" applyFont="1" applyFill="1" applyBorder="1" applyAlignment="1" applyProtection="1">
      <alignment horizontal="center" vertical="center"/>
    </xf>
    <xf numFmtId="0" fontId="26" fillId="0" borderId="19" xfId="72" applyFont="1" applyBorder="1" applyAlignment="1" applyProtection="1">
      <alignment horizontal="center" vertical="center"/>
    </xf>
    <xf numFmtId="0" fontId="26" fillId="0" borderId="44" xfId="72" applyFont="1" applyFill="1" applyBorder="1" applyProtection="1"/>
    <xf numFmtId="0" fontId="26" fillId="0" borderId="41" xfId="72" applyFont="1" applyFill="1" applyBorder="1" applyAlignment="1" applyProtection="1">
      <alignment horizontal="left" indent="1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6" fillId="0" borderId="48" xfId="72" applyFont="1" applyBorder="1" applyAlignment="1" applyProtection="1">
      <alignment horizontal="left" wrapText="1" indent="2"/>
    </xf>
    <xf numFmtId="171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7" fillId="24" borderId="0" xfId="0" applyFont="1" applyFill="1" applyBorder="1" applyAlignment="1" applyProtection="1">
      <alignment vertical="center"/>
    </xf>
    <xf numFmtId="0" fontId="2" fillId="24" borderId="0" xfId="69" applyFill="1" applyBorder="1" applyAlignment="1" applyProtection="1">
      <alignment vertical="center"/>
    </xf>
    <xf numFmtId="0" fontId="40" fillId="24" borderId="0" xfId="0" applyFont="1" applyFill="1" applyBorder="1" applyAlignment="1" applyProtection="1">
      <alignment vertical="center"/>
    </xf>
    <xf numFmtId="0" fontId="28" fillId="24" borderId="0" xfId="69" applyFont="1" applyFill="1" applyBorder="1" applyAlignment="1" applyProtection="1">
      <alignment vertical="center"/>
    </xf>
    <xf numFmtId="0" fontId="38" fillId="24" borderId="0" xfId="69" applyFont="1" applyFill="1" applyBorder="1" applyAlignment="1" applyProtection="1">
      <alignment vertical="center"/>
    </xf>
    <xf numFmtId="0" fontId="39" fillId="24" borderId="0" xfId="69" applyFont="1" applyFill="1" applyBorder="1" applyAlignment="1" applyProtection="1">
      <alignment horizontal="left" vertical="center"/>
    </xf>
    <xf numFmtId="0" fontId="41" fillId="24" borderId="0" xfId="69" applyFont="1" applyFill="1" applyBorder="1" applyAlignment="1" applyProtection="1">
      <alignment horizontal="left" vertical="center"/>
    </xf>
    <xf numFmtId="0" fontId="39" fillId="24" borderId="31" xfId="69" applyFont="1" applyFill="1" applyBorder="1" applyAlignment="1" applyProtection="1">
      <alignment vertical="center"/>
    </xf>
    <xf numFmtId="0" fontId="2" fillId="24" borderId="31" xfId="69" applyFill="1" applyBorder="1" applyAlignment="1" applyProtection="1">
      <alignment vertical="center"/>
    </xf>
    <xf numFmtId="0" fontId="41" fillId="24" borderId="31" xfId="69" applyFont="1" applyFill="1" applyBorder="1" applyAlignment="1" applyProtection="1">
      <alignment horizontal="left" vertical="center"/>
    </xf>
    <xf numFmtId="0" fontId="2" fillId="0" borderId="0" xfId="69" applyAlignment="1" applyProtection="1">
      <alignment vertical="center"/>
    </xf>
    <xf numFmtId="0" fontId="26" fillId="0" borderId="0" xfId="69" applyFont="1" applyAlignment="1" applyProtection="1">
      <alignment vertical="center"/>
    </xf>
    <xf numFmtId="0" fontId="26" fillId="0" borderId="41" xfId="69" applyFont="1" applyBorder="1" applyAlignment="1" applyProtection="1">
      <alignment vertical="center"/>
    </xf>
    <xf numFmtId="0" fontId="26" fillId="0" borderId="52" xfId="69" applyFont="1" applyBorder="1" applyAlignment="1" applyProtection="1">
      <alignment horizontal="centerContinuous" vertical="center"/>
    </xf>
    <xf numFmtId="0" fontId="26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26" fillId="0" borderId="55" xfId="69" applyFont="1" applyBorder="1" applyAlignment="1" applyProtection="1">
      <alignment horizontal="centerContinuous" vertical="center"/>
    </xf>
    <xf numFmtId="0" fontId="26" fillId="0" borderId="56" xfId="69" applyFont="1" applyBorder="1" applyAlignment="1" applyProtection="1">
      <alignment horizontal="centerContinuous" vertical="center"/>
    </xf>
    <xf numFmtId="0" fontId="26" fillId="0" borderId="57" xfId="69" applyFont="1" applyBorder="1" applyAlignment="1" applyProtection="1">
      <alignment horizontal="centerContinuous" vertical="center"/>
    </xf>
    <xf numFmtId="0" fontId="26" fillId="0" borderId="0" xfId="69" applyFont="1" applyBorder="1" applyAlignment="1" applyProtection="1">
      <alignment horizontal="centerContinuous" vertical="center"/>
    </xf>
    <xf numFmtId="0" fontId="2" fillId="0" borderId="4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 wrapText="1"/>
    </xf>
    <xf numFmtId="0" fontId="26" fillId="0" borderId="61" xfId="69" applyFont="1" applyBorder="1" applyAlignment="1" applyProtection="1">
      <alignment horizontal="center" vertical="center" wrapText="1"/>
    </xf>
    <xf numFmtId="0" fontId="26" fillId="0" borderId="12" xfId="69" applyFont="1" applyBorder="1" applyAlignment="1" applyProtection="1">
      <alignment horizontal="center" vertical="center" wrapText="1"/>
    </xf>
    <xf numFmtId="0" fontId="26" fillId="0" borderId="0" xfId="69" applyFont="1" applyBorder="1" applyAlignment="1" applyProtection="1">
      <alignment horizontal="center" vertical="center" wrapText="1"/>
    </xf>
    <xf numFmtId="0" fontId="2" fillId="0" borderId="58" xfId="69" applyBorder="1" applyAlignment="1" applyProtection="1">
      <alignment vertical="center"/>
    </xf>
    <xf numFmtId="0" fontId="26" fillId="0" borderId="58" xfId="69" applyFont="1" applyFill="1" applyBorder="1" applyAlignment="1" applyProtection="1">
      <alignment horizontal="center" vertical="center"/>
    </xf>
    <xf numFmtId="0" fontId="26" fillId="0" borderId="60" xfId="69" applyFont="1" applyFill="1" applyBorder="1" applyAlignment="1" applyProtection="1">
      <alignment horizontal="center" vertical="center"/>
    </xf>
    <xf numFmtId="0" fontId="26" fillId="0" borderId="59" xfId="69" applyFont="1" applyFill="1" applyBorder="1" applyAlignment="1" applyProtection="1">
      <alignment horizontal="center" vertical="center"/>
    </xf>
    <xf numFmtId="0" fontId="26" fillId="0" borderId="20" xfId="69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6" fillId="0" borderId="0" xfId="69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0" fontId="2" fillId="0" borderId="0" xfId="69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1" fontId="0" fillId="0" borderId="0" xfId="0" applyNumberFormat="1" applyBorder="1" applyAlignment="1" applyProtection="1">
      <alignment vertical="center"/>
    </xf>
    <xf numFmtId="171" fontId="2" fillId="21" borderId="46" xfId="69" applyNumberFormat="1" applyFill="1" applyBorder="1" applyAlignment="1" applyProtection="1">
      <alignment horizontal="center" vertical="center"/>
    </xf>
    <xf numFmtId="171" fontId="2" fillId="21" borderId="47" xfId="69" applyNumberFormat="1" applyFill="1" applyBorder="1" applyAlignment="1" applyProtection="1">
      <alignment horizontal="center" vertical="center"/>
    </xf>
    <xf numFmtId="171" fontId="2" fillId="21" borderId="61" xfId="69" applyNumberForma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 wrapText="1"/>
    </xf>
    <xf numFmtId="171" fontId="0" fillId="0" borderId="0" xfId="0" applyNumberFormat="1" applyAlignment="1" applyProtection="1">
      <alignment vertical="center"/>
    </xf>
    <xf numFmtId="171" fontId="35" fillId="0" borderId="0" xfId="0" applyNumberFormat="1" applyFont="1" applyAlignment="1" applyProtection="1">
      <alignment vertical="center"/>
    </xf>
    <xf numFmtId="164" fontId="26" fillId="21" borderId="61" xfId="69" applyNumberFormat="1" applyFont="1" applyFill="1" applyBorder="1" applyAlignment="1" applyProtection="1">
      <alignment horizontal="center" vertical="center"/>
    </xf>
    <xf numFmtId="164" fontId="26" fillId="0" borderId="0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ont="1" applyFill="1" applyBorder="1" applyAlignment="1" applyProtection="1">
      <alignment horizontal="center" vertical="center"/>
    </xf>
    <xf numFmtId="171" fontId="2" fillId="0" borderId="0" xfId="69" applyNumberFormat="1" applyFont="1" applyFill="1" applyBorder="1" applyAlignment="1" applyProtection="1">
      <alignment horizontal="center" vertical="center"/>
    </xf>
    <xf numFmtId="171" fontId="2" fillId="0" borderId="28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ill="1" applyBorder="1" applyAlignment="1" applyProtection="1">
      <alignment horizontal="center" vertical="center"/>
    </xf>
    <xf numFmtId="171" fontId="2" fillId="0" borderId="0" xfId="69" applyNumberFormat="1" applyBorder="1" applyAlignment="1" applyProtection="1">
      <alignment horizontal="center" vertical="center"/>
    </xf>
    <xf numFmtId="171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0" fontId="26" fillId="0" borderId="30" xfId="69" applyFont="1" applyBorder="1" applyAlignment="1" applyProtection="1">
      <alignment horizontal="left" vertical="center" wrapText="1"/>
    </xf>
    <xf numFmtId="171" fontId="2" fillId="21" borderId="36" xfId="69" applyNumberFormat="1" applyFill="1" applyBorder="1" applyAlignment="1" applyProtection="1">
      <alignment horizontal="center" vertical="center"/>
    </xf>
    <xf numFmtId="171" fontId="2" fillId="21" borderId="35" xfId="69" applyNumberFormat="1" applyFill="1" applyBorder="1" applyAlignment="1" applyProtection="1">
      <alignment horizontal="center" vertical="center"/>
    </xf>
    <xf numFmtId="171" fontId="2" fillId="21" borderId="39" xfId="69" applyNumberFormat="1" applyFill="1" applyBorder="1" applyAlignment="1" applyProtection="1">
      <alignment horizontal="center" vertical="center"/>
    </xf>
    <xf numFmtId="0" fontId="2" fillId="0" borderId="0" xfId="69" applyFill="1" applyAlignment="1" applyProtection="1">
      <alignment vertical="center"/>
    </xf>
    <xf numFmtId="0" fontId="2" fillId="0" borderId="0" xfId="69" applyFont="1" applyAlignment="1" applyProtection="1">
      <alignment vertical="center"/>
    </xf>
    <xf numFmtId="0" fontId="26" fillId="0" borderId="54" xfId="69" applyFont="1" applyBorder="1" applyAlignment="1" applyProtection="1">
      <alignment horizontal="centerContinuous" vertical="center"/>
    </xf>
    <xf numFmtId="0" fontId="26" fillId="0" borderId="55" xfId="69" applyFont="1" applyBorder="1" applyAlignment="1" applyProtection="1">
      <alignment horizontal="centerContinuous" vertical="center" wrapText="1"/>
    </xf>
    <xf numFmtId="0" fontId="26" fillId="0" borderId="57" xfId="69" applyFont="1" applyBorder="1" applyAlignment="1" applyProtection="1">
      <alignment horizontal="centerContinuous" vertical="center" wrapText="1"/>
    </xf>
    <xf numFmtId="0" fontId="26" fillId="0" borderId="46" xfId="74" applyFont="1" applyFill="1" applyBorder="1" applyAlignment="1" applyProtection="1">
      <alignment horizontal="center" vertical="center"/>
    </xf>
    <xf numFmtId="0" fontId="26" fillId="0" borderId="47" xfId="75" applyFont="1" applyFill="1" applyBorder="1" applyAlignment="1" applyProtection="1">
      <alignment horizontal="center" vertical="center"/>
    </xf>
    <xf numFmtId="0" fontId="26" fillId="0" borderId="61" xfId="75" applyFont="1" applyBorder="1" applyAlignment="1" applyProtection="1">
      <alignment horizontal="center" vertical="center"/>
    </xf>
    <xf numFmtId="0" fontId="26" fillId="0" borderId="46" xfId="75" applyFont="1" applyBorder="1" applyAlignment="1" applyProtection="1">
      <alignment horizontal="center" vertical="center"/>
    </xf>
    <xf numFmtId="0" fontId="2" fillId="26" borderId="75" xfId="75" applyFont="1" applyFill="1" applyBorder="1" applyAlignment="1" applyProtection="1">
      <alignment horizontal="left" vertical="center"/>
    </xf>
    <xf numFmtId="171" fontId="33" fillId="22" borderId="46" xfId="75" applyNumberFormat="1" applyFont="1" applyFill="1" applyBorder="1" applyAlignment="1" applyProtection="1">
      <alignment horizontal="center" vertical="center"/>
      <protection locked="0"/>
    </xf>
    <xf numFmtId="171" fontId="33" fillId="22" borderId="47" xfId="75" applyNumberFormat="1" applyFont="1" applyFill="1" applyBorder="1" applyAlignment="1" applyProtection="1">
      <alignment horizontal="center" vertical="center"/>
      <protection locked="0"/>
    </xf>
    <xf numFmtId="171" fontId="33" fillId="22" borderId="61" xfId="75" applyNumberFormat="1" applyFont="1" applyFill="1" applyBorder="1" applyAlignment="1" applyProtection="1">
      <alignment horizontal="center" vertical="center"/>
      <protection locked="0"/>
    </xf>
    <xf numFmtId="171" fontId="2" fillId="21" borderId="46" xfId="75" applyNumberFormat="1" applyFont="1" applyFill="1" applyBorder="1" applyAlignment="1" applyProtection="1">
      <alignment horizontal="center" vertical="center"/>
    </xf>
    <xf numFmtId="171" fontId="2" fillId="21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6" xfId="75" applyFont="1" applyFill="1" applyBorder="1" applyAlignment="1" applyProtection="1">
      <alignment horizontal="left" vertical="center" wrapText="1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21" borderId="36" xfId="75" applyNumberFormat="1" applyFont="1" applyFill="1" applyBorder="1" applyAlignment="1" applyProtection="1">
      <alignment horizontal="center" vertical="center"/>
    </xf>
    <xf numFmtId="1" fontId="2" fillId="21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Alignment="1" applyProtection="1">
      <alignment vertical="center"/>
    </xf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21" borderId="46" xfId="1" applyFont="1" applyFill="1" applyBorder="1" applyAlignment="1" applyProtection="1">
      <alignment horizontal="center" vertical="center"/>
    </xf>
    <xf numFmtId="9" fontId="2" fillId="21" borderId="61" xfId="1" applyFont="1" applyFill="1" applyBorder="1" applyAlignment="1" applyProtection="1">
      <alignment horizontal="center" vertical="center"/>
    </xf>
    <xf numFmtId="0" fontId="2" fillId="0" borderId="76" xfId="75" applyFont="1" applyBorder="1" applyAlignment="1" applyProtection="1">
      <alignment horizontal="left" vertical="center" wrapText="1"/>
    </xf>
    <xf numFmtId="171" fontId="33" fillId="22" borderId="36" xfId="75" applyNumberFormat="1" applyFont="1" applyFill="1" applyBorder="1" applyAlignment="1" applyProtection="1">
      <alignment horizontal="center" vertical="center"/>
      <protection locked="0"/>
    </xf>
    <xf numFmtId="171" fontId="33" fillId="22" borderId="35" xfId="75" applyNumberFormat="1" applyFont="1" applyFill="1" applyBorder="1" applyAlignment="1" applyProtection="1">
      <alignment horizontal="center" vertical="center"/>
      <protection locked="0"/>
    </xf>
    <xf numFmtId="171" fontId="43" fillId="22" borderId="39" xfId="75" applyNumberFormat="1" applyFont="1" applyFill="1" applyBorder="1" applyAlignment="1" applyProtection="1">
      <alignment horizontal="center" vertical="center"/>
      <protection locked="0"/>
    </xf>
    <xf numFmtId="171" fontId="2" fillId="21" borderId="36" xfId="75" applyNumberFormat="1" applyFont="1" applyFill="1" applyBorder="1" applyAlignment="1" applyProtection="1">
      <alignment horizontal="center" vertical="center"/>
    </xf>
    <xf numFmtId="171" fontId="2" fillId="21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Alignment="1" applyProtection="1">
      <alignment vertical="center"/>
    </xf>
    <xf numFmtId="0" fontId="26" fillId="0" borderId="78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6" fillId="0" borderId="55" xfId="69" applyFont="1" applyBorder="1" applyAlignment="1" applyProtection="1">
      <alignment horizontal="center" vertical="center" wrapText="1"/>
    </xf>
    <xf numFmtId="0" fontId="26" fillId="0" borderId="56" xfId="69" applyFont="1" applyBorder="1" applyAlignment="1" applyProtection="1">
      <alignment horizontal="center" vertical="center" wrapText="1"/>
    </xf>
    <xf numFmtId="0" fontId="26" fillId="0" borderId="57" xfId="69" applyFont="1" applyBorder="1" applyAlignment="1" applyProtection="1">
      <alignment horizontal="center" vertical="center" wrapText="1"/>
    </xf>
    <xf numFmtId="0" fontId="26" fillId="0" borderId="60" xfId="69" applyFont="1" applyBorder="1" applyAlignment="1" applyProtection="1">
      <alignment horizontal="center" vertical="center" wrapText="1"/>
    </xf>
    <xf numFmtId="0" fontId="26" fillId="0" borderId="75" xfId="69" applyFont="1" applyFill="1" applyBorder="1" applyAlignment="1" applyProtection="1">
      <alignment horizontal="center" vertical="center" wrapText="1"/>
    </xf>
    <xf numFmtId="0" fontId="2" fillId="0" borderId="6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/>
    </xf>
    <xf numFmtId="0" fontId="26" fillId="0" borderId="47" xfId="69" applyNumberFormat="1" applyFont="1" applyFill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/>
    </xf>
    <xf numFmtId="0" fontId="26" fillId="0" borderId="10" xfId="69" applyFont="1" applyBorder="1" applyAlignment="1" applyProtection="1">
      <alignment horizontal="center" vertical="center"/>
    </xf>
    <xf numFmtId="0" fontId="26" fillId="0" borderId="61" xfId="69" applyFont="1" applyBorder="1" applyAlignment="1" applyProtection="1">
      <alignment horizontal="center" vertical="center"/>
    </xf>
    <xf numFmtId="0" fontId="26" fillId="0" borderId="68" xfId="69" applyFont="1" applyFill="1" applyBorder="1" applyAlignment="1" applyProtection="1">
      <alignment horizontal="center" vertical="center" wrapText="1"/>
    </xf>
    <xf numFmtId="0" fontId="26" fillId="0" borderId="70" xfId="69" applyFont="1" applyFill="1" applyBorder="1" applyAlignment="1" applyProtection="1">
      <alignment horizontal="center" vertical="center" wrapText="1"/>
    </xf>
    <xf numFmtId="0" fontId="26" fillId="0" borderId="13" xfId="69" applyFont="1" applyFill="1" applyBorder="1" applyAlignment="1" applyProtection="1">
      <alignment horizontal="center" vertical="center" wrapText="1"/>
    </xf>
    <xf numFmtId="0" fontId="26" fillId="0" borderId="10" xfId="69" applyFont="1" applyFill="1" applyBorder="1" applyAlignment="1" applyProtection="1">
      <alignment horizontal="center" vertical="center"/>
    </xf>
    <xf numFmtId="0" fontId="29" fillId="0" borderId="70" xfId="75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 wrapText="1"/>
    </xf>
    <xf numFmtId="0" fontId="2" fillId="0" borderId="0" xfId="69" applyAlignment="1" applyProtection="1">
      <alignment vertical="center"/>
      <protection locked="0"/>
    </xf>
    <xf numFmtId="0" fontId="2" fillId="0" borderId="66" xfId="69" applyBorder="1" applyAlignment="1" applyProtection="1">
      <alignment vertical="center"/>
      <protection locked="0"/>
    </xf>
    <xf numFmtId="0" fontId="33" fillId="22" borderId="47" xfId="69" applyFont="1" applyFill="1" applyBorder="1" applyAlignment="1" applyProtection="1">
      <alignment horizontal="center" vertical="center"/>
      <protection locked="0"/>
    </xf>
    <xf numFmtId="0" fontId="33" fillId="22" borderId="10" xfId="69" applyFont="1" applyFill="1" applyBorder="1" applyAlignment="1" applyProtection="1">
      <alignment horizontal="center" vertical="center"/>
      <protection locked="0"/>
    </xf>
    <xf numFmtId="170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2" fillId="21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12" xfId="69" applyNumberFormat="1" applyFont="1" applyFill="1" applyBorder="1" applyAlignment="1" applyProtection="1">
      <alignment horizontal="center" vertical="center"/>
      <protection locked="0"/>
    </xf>
    <xf numFmtId="170" fontId="33" fillId="22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47" xfId="69" applyNumberFormat="1" applyFont="1" applyFill="1" applyBorder="1" applyAlignment="1" applyProtection="1">
      <alignment horizontal="center" vertical="center"/>
      <protection locked="0"/>
    </xf>
    <xf numFmtId="170" fontId="33" fillId="22" borderId="55" xfId="69" applyNumberFormat="1" applyFont="1" applyFill="1" applyBorder="1" applyAlignment="1" applyProtection="1">
      <alignment horizontal="center" vertical="center"/>
      <protection locked="0"/>
    </xf>
    <xf numFmtId="170" fontId="33" fillId="22" borderId="56" xfId="69" applyNumberFormat="1" applyFont="1" applyFill="1" applyBorder="1" applyAlignment="1" applyProtection="1">
      <alignment horizontal="center" vertical="center"/>
      <protection locked="0"/>
    </xf>
    <xf numFmtId="170" fontId="33" fillId="22" borderId="57" xfId="69" applyNumberFormat="1" applyFont="1" applyFill="1" applyBorder="1" applyAlignment="1" applyProtection="1">
      <alignment horizontal="center" vertical="center"/>
      <protection locked="0"/>
    </xf>
    <xf numFmtId="170" fontId="33" fillId="22" borderId="11" xfId="69" applyNumberFormat="1" applyFont="1" applyFill="1" applyBorder="1" applyAlignment="1" applyProtection="1">
      <alignment horizontal="center" vertical="center"/>
      <protection locked="0"/>
    </xf>
    <xf numFmtId="170" fontId="33" fillId="22" borderId="38" xfId="69" applyNumberFormat="1" applyFont="1" applyFill="1" applyBorder="1" applyAlignment="1" applyProtection="1">
      <alignment horizontal="center" vertical="center"/>
      <protection locked="0"/>
    </xf>
    <xf numFmtId="0" fontId="33" fillId="22" borderId="71" xfId="69" applyNumberFormat="1" applyFont="1" applyFill="1" applyBorder="1" applyAlignment="1" applyProtection="1">
      <alignment horizontal="left" vertical="center"/>
      <protection locked="0"/>
    </xf>
    <xf numFmtId="0" fontId="2" fillId="0" borderId="27" xfId="69" applyBorder="1" applyAlignment="1" applyProtection="1">
      <alignment vertical="center"/>
      <protection locked="0"/>
    </xf>
    <xf numFmtId="0" fontId="33" fillId="22" borderId="70" xfId="69" applyFont="1" applyFill="1" applyBorder="1" applyAlignment="1" applyProtection="1">
      <alignment horizontal="center" vertical="center"/>
      <protection locked="0"/>
    </xf>
    <xf numFmtId="0" fontId="33" fillId="22" borderId="13" xfId="69" applyFont="1" applyFill="1" applyBorder="1" applyAlignment="1" applyProtection="1">
      <alignment horizontal="center" vertical="center"/>
      <protection locked="0"/>
    </xf>
    <xf numFmtId="170" fontId="33" fillId="22" borderId="68" xfId="69" applyNumberFormat="1" applyFont="1" applyFill="1" applyBorder="1" applyAlignment="1" applyProtection="1">
      <alignment horizontal="center" vertical="center"/>
      <protection locked="0"/>
    </xf>
    <xf numFmtId="171" fontId="2" fillId="21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15" xfId="69" applyNumberFormat="1" applyFont="1" applyFill="1" applyBorder="1" applyAlignment="1" applyProtection="1">
      <alignment horizontal="center" vertical="center"/>
      <protection locked="0"/>
    </xf>
    <xf numFmtId="170" fontId="33" fillId="22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70" xfId="69" applyNumberFormat="1" applyFont="1" applyFill="1" applyBorder="1" applyAlignment="1" applyProtection="1">
      <alignment horizontal="center" vertical="center"/>
      <protection locked="0"/>
    </xf>
    <xf numFmtId="0" fontId="33" fillId="22" borderId="66" xfId="69" applyNumberFormat="1" applyFont="1" applyFill="1" applyBorder="1" applyAlignment="1" applyProtection="1">
      <alignment horizontal="left" vertical="center"/>
      <protection locked="0"/>
    </xf>
    <xf numFmtId="170" fontId="33" fillId="22" borderId="36" xfId="69" applyNumberFormat="1" applyFont="1" applyFill="1" applyBorder="1" applyAlignment="1" applyProtection="1">
      <alignment horizontal="center" vertical="center"/>
      <protection locked="0"/>
    </xf>
    <xf numFmtId="170" fontId="33" fillId="22" borderId="35" xfId="69" applyNumberFormat="1" applyFont="1" applyFill="1" applyBorder="1" applyAlignment="1" applyProtection="1">
      <alignment horizontal="center" vertical="center"/>
      <protection locked="0"/>
    </xf>
    <xf numFmtId="170" fontId="33" fillId="22" borderId="39" xfId="69" applyNumberFormat="1" applyFont="1" applyFill="1" applyBorder="1" applyAlignment="1" applyProtection="1">
      <alignment horizontal="center" vertical="center"/>
      <protection locked="0"/>
    </xf>
    <xf numFmtId="0" fontId="2" fillId="21" borderId="79" xfId="69" applyFill="1" applyBorder="1" applyAlignment="1" applyProtection="1">
      <alignment vertical="center"/>
      <protection locked="0"/>
    </xf>
    <xf numFmtId="0" fontId="2" fillId="21" borderId="79" xfId="69" applyFill="1" applyBorder="1" applyAlignment="1" applyProtection="1">
      <alignment horizontal="center" vertical="center"/>
      <protection locked="0"/>
    </xf>
    <xf numFmtId="0" fontId="2" fillId="23" borderId="35" xfId="69" applyFill="1" applyBorder="1" applyAlignment="1" applyProtection="1">
      <alignment horizontal="center" vertical="center"/>
      <protection locked="0"/>
    </xf>
    <xf numFmtId="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9" xfId="69" applyNumberFormat="1" applyFill="1" applyBorder="1" applyAlignment="1" applyProtection="1">
      <alignment horizontal="center" vertical="center"/>
      <protection locked="0"/>
    </xf>
    <xf numFmtId="2" fontId="2" fillId="21" borderId="34" xfId="69" applyNumberFormat="1" applyFill="1" applyBorder="1" applyAlignment="1" applyProtection="1">
      <alignment horizontal="center" vertical="center"/>
      <protection locked="0"/>
    </xf>
    <xf numFmtId="2" fontId="2" fillId="21" borderId="35" xfId="69" applyNumberFormat="1" applyFill="1" applyBorder="1" applyAlignment="1" applyProtection="1">
      <alignment horizontal="center" vertical="center"/>
      <protection locked="0"/>
    </xf>
    <xf numFmtId="2" fontId="2" fillId="21" borderId="72" xfId="69" applyNumberFormat="1" applyFill="1" applyBorder="1" applyAlignment="1" applyProtection="1">
      <alignment horizontal="center" vertical="center"/>
      <protection locked="0"/>
    </xf>
    <xf numFmtId="2" fontId="2" fillId="21" borderId="79" xfId="69" applyNumberFormat="1" applyFill="1" applyBorder="1" applyAlignment="1" applyProtection="1">
      <alignment horizontal="center" vertical="center"/>
      <protection locked="0"/>
    </xf>
    <xf numFmtId="2" fontId="0" fillId="21" borderId="35" xfId="0" applyNumberFormat="1" applyFill="1" applyBorder="1" applyAlignment="1" applyProtection="1">
      <alignment horizontal="center" vertical="center"/>
      <protection locked="0"/>
    </xf>
    <xf numFmtId="2" fontId="2" fillId="21" borderId="32" xfId="69" applyNumberFormat="1" applyFill="1" applyBorder="1" applyAlignment="1" applyProtection="1">
      <alignment horizontal="center" vertical="center"/>
      <protection locked="0"/>
    </xf>
    <xf numFmtId="2" fontId="2" fillId="23" borderId="80" xfId="69" applyNumberFormat="1" applyFill="1" applyBorder="1" applyAlignment="1" applyProtection="1">
      <alignment horizontal="center" vertical="center"/>
      <protection locked="0"/>
    </xf>
    <xf numFmtId="2" fontId="2" fillId="23" borderId="76" xfId="69" applyNumberFormat="1" applyFill="1" applyBorder="1" applyAlignment="1" applyProtection="1">
      <alignment horizontal="center" vertical="center"/>
      <protection locked="0"/>
    </xf>
    <xf numFmtId="0" fontId="2" fillId="23" borderId="76" xfId="69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46" xfId="76" applyFont="1" applyBorder="1" applyAlignment="1" applyProtection="1">
      <alignment horizontal="center" vertical="center"/>
    </xf>
    <xf numFmtId="0" fontId="2" fillId="0" borderId="47" xfId="76" applyFont="1" applyBorder="1" applyAlignment="1" applyProtection="1">
      <alignment horizontal="center" vertical="center"/>
    </xf>
    <xf numFmtId="0" fontId="2" fillId="0" borderId="61" xfId="76" applyFont="1" applyBorder="1" applyAlignment="1" applyProtection="1">
      <alignment horizontal="center" vertical="center"/>
    </xf>
    <xf numFmtId="1" fontId="33" fillId="22" borderId="58" xfId="76" applyNumberFormat="1" applyFont="1" applyFill="1" applyBorder="1" applyAlignment="1" applyProtection="1">
      <alignment horizontal="center"/>
      <protection locked="0"/>
    </xf>
    <xf numFmtId="1" fontId="33" fillId="22" borderId="20" xfId="76" applyNumberFormat="1" applyFont="1" applyFill="1" applyBorder="1" applyAlignment="1" applyProtection="1">
      <alignment horizontal="center"/>
      <protection locked="0"/>
    </xf>
    <xf numFmtId="1" fontId="33" fillId="22" borderId="59" xfId="76" applyNumberFormat="1" applyFont="1" applyFill="1" applyBorder="1" applyAlignment="1" applyProtection="1">
      <alignment horizontal="center"/>
      <protection locked="0"/>
    </xf>
    <xf numFmtId="1" fontId="33" fillId="22" borderId="46" xfId="76" applyNumberFormat="1" applyFont="1" applyFill="1" applyBorder="1" applyAlignment="1" applyProtection="1">
      <alignment horizontal="center"/>
      <protection locked="0"/>
    </xf>
    <xf numFmtId="1" fontId="33" fillId="22" borderId="12" xfId="76" applyNumberFormat="1" applyFont="1" applyFill="1" applyBorder="1" applyAlignment="1" applyProtection="1">
      <alignment horizontal="center"/>
      <protection locked="0"/>
    </xf>
    <xf numFmtId="1" fontId="33" fillId="22" borderId="40" xfId="76" applyNumberFormat="1" applyFont="1" applyFill="1" applyBorder="1" applyAlignment="1" applyProtection="1">
      <alignment horizontal="center"/>
      <protection locked="0"/>
    </xf>
    <xf numFmtId="1" fontId="33" fillId="22" borderId="36" xfId="76" applyNumberFormat="1" applyFont="1" applyFill="1" applyBorder="1" applyAlignment="1" applyProtection="1">
      <alignment horizontal="center"/>
      <protection locked="0"/>
    </xf>
    <xf numFmtId="1" fontId="33" fillId="22" borderId="35" xfId="76" applyNumberFormat="1" applyFont="1" applyFill="1" applyBorder="1" applyAlignment="1" applyProtection="1">
      <alignment horizontal="center"/>
      <protection locked="0"/>
    </xf>
    <xf numFmtId="1" fontId="33" fillId="22" borderId="39" xfId="76" applyNumberFormat="1" applyFont="1" applyFill="1" applyBorder="1" applyAlignment="1" applyProtection="1">
      <alignment horizontal="center"/>
      <protection locked="0"/>
    </xf>
    <xf numFmtId="0" fontId="2" fillId="0" borderId="0" xfId="69" applyFont="1" applyProtection="1"/>
    <xf numFmtId="0" fontId="2" fillId="0" borderId="46" xfId="76" applyFont="1" applyBorder="1" applyAlignment="1" applyProtection="1">
      <alignment horizontal="center"/>
    </xf>
    <xf numFmtId="0" fontId="2" fillId="0" borderId="47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1" fontId="33" fillId="22" borderId="61" xfId="76" applyNumberFormat="1" applyFont="1" applyFill="1" applyBorder="1" applyAlignment="1" applyProtection="1">
      <alignment horizontal="center"/>
      <protection locked="0"/>
    </xf>
    <xf numFmtId="1" fontId="33" fillId="22" borderId="34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4" fillId="0" borderId="0" xfId="0" applyFont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44" fillId="0" borderId="0" xfId="0" applyFont="1" applyProtection="1"/>
    <xf numFmtId="0" fontId="26" fillId="0" borderId="30" xfId="69" applyFont="1" applyBorder="1" applyAlignment="1" applyProtection="1">
      <alignment horizontal="left" vertical="center"/>
    </xf>
    <xf numFmtId="0" fontId="45" fillId="0" borderId="0" xfId="0" applyFont="1" applyProtection="1"/>
    <xf numFmtId="0" fontId="46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vertical="center"/>
    </xf>
    <xf numFmtId="0" fontId="26" fillId="0" borderId="0" xfId="75" applyFont="1" applyFill="1" applyBorder="1" applyAlignment="1" applyProtection="1">
      <alignment horizontal="left" vertical="center"/>
    </xf>
    <xf numFmtId="0" fontId="2" fillId="0" borderId="0" xfId="78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6" fillId="0" borderId="52" xfId="76" applyNumberFormat="1" applyFont="1" applyBorder="1" applyAlignment="1" applyProtection="1">
      <alignment horizontal="centerContinuous" vertical="center"/>
    </xf>
    <xf numFmtId="1" fontId="26" fillId="0" borderId="53" xfId="76" applyNumberFormat="1" applyFont="1" applyBorder="1" applyAlignment="1" applyProtection="1">
      <alignment horizontal="centerContinuous" vertical="center"/>
    </xf>
    <xf numFmtId="1" fontId="26" fillId="0" borderId="54" xfId="76" applyNumberFormat="1" applyFont="1" applyBorder="1" applyAlignment="1" applyProtection="1">
      <alignment horizontal="centerContinuous" vertical="center"/>
    </xf>
    <xf numFmtId="0" fontId="26" fillId="0" borderId="46" xfId="75" applyFont="1" applyFill="1" applyBorder="1" applyAlignment="1" applyProtection="1">
      <alignment horizontal="center" vertical="center"/>
    </xf>
    <xf numFmtId="0" fontId="26" fillId="0" borderId="61" xfId="75" applyFont="1" applyFill="1" applyBorder="1" applyAlignment="1" applyProtection="1">
      <alignment horizontal="center" vertical="center"/>
    </xf>
    <xf numFmtId="0" fontId="26" fillId="0" borderId="12" xfId="75" applyFont="1" applyFill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79" applyFont="1" applyFill="1" applyBorder="1" applyAlignment="1" applyProtection="1">
      <alignment vertical="center"/>
    </xf>
    <xf numFmtId="171" fontId="47" fillId="0" borderId="58" xfId="75" applyNumberFormat="1" applyFont="1" applyFill="1" applyBorder="1" applyAlignment="1" applyProtection="1">
      <alignment horizontal="center" vertical="center"/>
    </xf>
    <xf numFmtId="171" fontId="47" fillId="0" borderId="60" xfId="75" applyNumberFormat="1" applyFont="1" applyFill="1" applyBorder="1" applyAlignment="1" applyProtection="1">
      <alignment horizontal="center" vertical="center"/>
    </xf>
    <xf numFmtId="171" fontId="47" fillId="0" borderId="59" xfId="75" applyNumberFormat="1" applyFont="1" applyFill="1" applyBorder="1" applyAlignment="1" applyProtection="1">
      <alignment horizontal="center" vertical="center"/>
    </xf>
    <xf numFmtId="0" fontId="28" fillId="0" borderId="0" xfId="75" applyFont="1" applyFill="1" applyBorder="1" applyAlignment="1" applyProtection="1">
      <alignment horizontal="left" vertical="center"/>
    </xf>
    <xf numFmtId="0" fontId="2" fillId="0" borderId="61" xfId="79" applyFont="1" applyFill="1" applyBorder="1" applyAlignment="1" applyProtection="1">
      <alignment vertical="center"/>
    </xf>
    <xf numFmtId="171" fontId="47" fillId="0" borderId="46" xfId="75" applyNumberFormat="1" applyFont="1" applyFill="1" applyBorder="1" applyAlignment="1" applyProtection="1">
      <alignment horizontal="center" vertical="center"/>
    </xf>
    <xf numFmtId="171" fontId="47" fillId="0" borderId="47" xfId="75" applyNumberFormat="1" applyFont="1" applyFill="1" applyBorder="1" applyAlignment="1" applyProtection="1">
      <alignment horizontal="center" vertical="center"/>
    </xf>
    <xf numFmtId="171" fontId="47" fillId="0" borderId="61" xfId="75" applyNumberFormat="1" applyFont="1" applyFill="1" applyBorder="1" applyAlignment="1" applyProtection="1">
      <alignment horizontal="center" vertical="center"/>
    </xf>
    <xf numFmtId="0" fontId="2" fillId="0" borderId="61" xfId="79" applyFont="1" applyBorder="1" applyAlignment="1" applyProtection="1">
      <alignment vertical="center"/>
    </xf>
    <xf numFmtId="171" fontId="48" fillId="21" borderId="36" xfId="75" applyNumberFormat="1" applyFont="1" applyFill="1" applyBorder="1" applyAlignment="1" applyProtection="1">
      <alignment horizontal="center" vertical="center"/>
    </xf>
    <xf numFmtId="171" fontId="48" fillId="21" borderId="35" xfId="75" applyNumberFormat="1" applyFont="1" applyFill="1" applyBorder="1" applyAlignment="1" applyProtection="1">
      <alignment horizontal="center" vertical="center"/>
    </xf>
    <xf numFmtId="171" fontId="48" fillId="21" borderId="39" xfId="75" applyNumberFormat="1" applyFont="1" applyFill="1" applyBorder="1" applyAlignment="1" applyProtection="1">
      <alignment horizontal="center" vertical="center"/>
    </xf>
    <xf numFmtId="0" fontId="26" fillId="0" borderId="0" xfId="79" applyFont="1" applyBorder="1" applyAlignment="1" applyProtection="1">
      <alignment vertical="center"/>
    </xf>
    <xf numFmtId="0" fontId="44" fillId="0" borderId="0" xfId="75" applyFont="1" applyFill="1" applyBorder="1" applyAlignment="1" applyProtection="1">
      <alignment horizontal="center" vertical="center"/>
    </xf>
    <xf numFmtId="171" fontId="49" fillId="22" borderId="20" xfId="75" applyNumberFormat="1" applyFont="1" applyFill="1" applyBorder="1" applyAlignment="1" applyProtection="1">
      <alignment horizontal="center" vertical="center"/>
      <protection locked="0"/>
    </xf>
    <xf numFmtId="171" fontId="49" fillId="22" borderId="65" xfId="75" applyNumberFormat="1" applyFont="1" applyFill="1" applyBorder="1" applyAlignment="1" applyProtection="1">
      <alignment horizontal="center" vertical="center"/>
      <protection locked="0"/>
    </xf>
    <xf numFmtId="171" fontId="49" fillId="22" borderId="58" xfId="75" applyNumberFormat="1" applyFont="1" applyFill="1" applyBorder="1" applyAlignment="1" applyProtection="1">
      <alignment horizontal="center" vertical="center"/>
      <protection locked="0"/>
    </xf>
    <xf numFmtId="171" fontId="49" fillId="22" borderId="60" xfId="75" applyNumberFormat="1" applyFont="1" applyFill="1" applyBorder="1" applyAlignment="1" applyProtection="1">
      <alignment horizontal="center" vertical="center"/>
      <protection locked="0"/>
    </xf>
    <xf numFmtId="171" fontId="49" fillId="22" borderId="59" xfId="75" applyNumberFormat="1" applyFont="1" applyFill="1" applyBorder="1" applyAlignment="1" applyProtection="1">
      <alignment horizontal="center" vertical="center"/>
      <protection locked="0"/>
    </xf>
    <xf numFmtId="171" fontId="49" fillId="22" borderId="12" xfId="75" applyNumberFormat="1" applyFont="1" applyFill="1" applyBorder="1" applyAlignment="1" applyProtection="1">
      <alignment horizontal="center" vertical="center"/>
      <protection locked="0"/>
    </xf>
    <xf numFmtId="171" fontId="49" fillId="22" borderId="40" xfId="75" applyNumberFormat="1" applyFont="1" applyFill="1" applyBorder="1" applyAlignment="1" applyProtection="1">
      <alignment horizontal="center" vertical="center"/>
      <protection locked="0"/>
    </xf>
    <xf numFmtId="171" fontId="49" fillId="22" borderId="46" xfId="75" applyNumberFormat="1" applyFont="1" applyFill="1" applyBorder="1" applyAlignment="1" applyProtection="1">
      <alignment horizontal="center" vertical="center"/>
      <protection locked="0"/>
    </xf>
    <xf numFmtId="171" fontId="49" fillId="22" borderId="47" xfId="75" applyNumberFormat="1" applyFont="1" applyFill="1" applyBorder="1" applyAlignment="1" applyProtection="1">
      <alignment horizontal="center" vertical="center"/>
      <protection locked="0"/>
    </xf>
    <xf numFmtId="171" fontId="49" fillId="22" borderId="61" xfId="75" applyNumberFormat="1" applyFont="1" applyFill="1" applyBorder="1" applyAlignment="1" applyProtection="1">
      <alignment horizontal="center" vertical="center"/>
      <protection locked="0"/>
    </xf>
    <xf numFmtId="171" fontId="28" fillId="0" borderId="12" xfId="75" applyNumberFormat="1" applyFont="1" applyFill="1" applyBorder="1" applyAlignment="1" applyProtection="1">
      <alignment horizontal="center" vertical="center"/>
    </xf>
    <xf numFmtId="171" fontId="28" fillId="0" borderId="47" xfId="75" applyNumberFormat="1" applyFont="1" applyFill="1" applyBorder="1" applyAlignment="1" applyProtection="1">
      <alignment horizontal="center" vertical="center"/>
    </xf>
    <xf numFmtId="171" fontId="28" fillId="0" borderId="61" xfId="75" applyNumberFormat="1" applyFont="1" applyFill="1" applyBorder="1" applyAlignment="1" applyProtection="1">
      <alignment horizontal="center" vertical="center"/>
    </xf>
    <xf numFmtId="171" fontId="28" fillId="0" borderId="46" xfId="75" applyNumberFormat="1" applyFont="1" applyFill="1" applyBorder="1" applyAlignment="1" applyProtection="1">
      <alignment horizontal="center" vertical="center"/>
    </xf>
    <xf numFmtId="0" fontId="28" fillId="0" borderId="0" xfId="75" applyFont="1" applyFill="1" applyBorder="1" applyAlignment="1" applyProtection="1">
      <alignment horizontal="left" vertical="center"/>
      <protection locked="0"/>
    </xf>
    <xf numFmtId="0" fontId="2" fillId="0" borderId="69" xfId="79" applyFont="1" applyBorder="1" applyAlignment="1" applyProtection="1">
      <alignment vertical="center"/>
    </xf>
    <xf numFmtId="171" fontId="49" fillId="22" borderId="15" xfId="75" applyNumberFormat="1" applyFont="1" applyFill="1" applyBorder="1" applyAlignment="1" applyProtection="1">
      <alignment horizontal="center" vertical="center"/>
      <protection locked="0"/>
    </xf>
    <xf numFmtId="171" fontId="49" fillId="22" borderId="70" xfId="75" applyNumberFormat="1" applyFont="1" applyFill="1" applyBorder="1" applyAlignment="1" applyProtection="1">
      <alignment horizontal="center" vertical="center"/>
      <protection locked="0"/>
    </xf>
    <xf numFmtId="171" fontId="49" fillId="22" borderId="69" xfId="75" applyNumberFormat="1" applyFont="1" applyFill="1" applyBorder="1" applyAlignment="1" applyProtection="1">
      <alignment horizontal="center" vertical="center"/>
      <protection locked="0"/>
    </xf>
    <xf numFmtId="171" fontId="49" fillId="22" borderId="68" xfId="75" applyNumberFormat="1" applyFont="1" applyFill="1" applyBorder="1" applyAlignment="1" applyProtection="1">
      <alignment horizontal="center" vertical="center"/>
      <protection locked="0"/>
    </xf>
    <xf numFmtId="171" fontId="50" fillId="21" borderId="81" xfId="75" applyNumberFormat="1" applyFont="1" applyFill="1" applyBorder="1" applyAlignment="1" applyProtection="1">
      <alignment horizontal="center" vertical="center"/>
    </xf>
    <xf numFmtId="171" fontId="50" fillId="21" borderId="82" xfId="75" applyNumberFormat="1" applyFont="1" applyFill="1" applyBorder="1" applyAlignment="1" applyProtection="1">
      <alignment horizontal="center" vertical="center"/>
    </xf>
    <xf numFmtId="171" fontId="50" fillId="21" borderId="83" xfId="75" applyNumberFormat="1" applyFont="1" applyFill="1" applyBorder="1" applyAlignment="1" applyProtection="1">
      <alignment horizontal="center" vertical="center"/>
    </xf>
    <xf numFmtId="171" fontId="50" fillId="21" borderId="84" xfId="75" applyNumberFormat="1" applyFont="1" applyFill="1" applyBorder="1" applyAlignment="1" applyProtection="1">
      <alignment horizontal="center" vertical="center"/>
    </xf>
    <xf numFmtId="171" fontId="50" fillId="21" borderId="34" xfId="75" applyNumberFormat="1" applyFont="1" applyFill="1" applyBorder="1" applyAlignment="1" applyProtection="1">
      <alignment horizontal="center" vertical="center"/>
    </xf>
    <xf numFmtId="171" fontId="50" fillId="21" borderId="35" xfId="75" applyNumberFormat="1" applyFont="1" applyFill="1" applyBorder="1" applyAlignment="1" applyProtection="1">
      <alignment horizontal="center" vertical="center"/>
    </xf>
    <xf numFmtId="171" fontId="50" fillId="21" borderId="39" xfId="75" applyNumberFormat="1" applyFont="1" applyFill="1" applyBorder="1" applyAlignment="1" applyProtection="1">
      <alignment horizontal="center" vertical="center"/>
    </xf>
    <xf numFmtId="171" fontId="50" fillId="21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21" borderId="61" xfId="80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1" fontId="28" fillId="21" borderId="12" xfId="75" applyNumberFormat="1" applyFont="1" applyFill="1" applyBorder="1" applyAlignment="1" applyProtection="1">
      <alignment horizontal="center" vertical="center"/>
    </xf>
    <xf numFmtId="171" fontId="28" fillId="21" borderId="40" xfId="75" applyNumberFormat="1" applyFont="1" applyFill="1" applyBorder="1" applyAlignment="1" applyProtection="1">
      <alignment horizontal="center" vertical="center"/>
    </xf>
    <xf numFmtId="171" fontId="28" fillId="21" borderId="46" xfId="75" applyNumberFormat="1" applyFont="1" applyFill="1" applyBorder="1" applyAlignment="1" applyProtection="1">
      <alignment horizontal="center" vertical="center"/>
    </xf>
    <xf numFmtId="0" fontId="26" fillId="0" borderId="46" xfId="75" applyFont="1" applyFill="1" applyBorder="1" applyAlignment="1" applyProtection="1">
      <alignment vertical="center"/>
    </xf>
    <xf numFmtId="0" fontId="45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1" fontId="28" fillId="21" borderId="34" xfId="75" applyNumberFormat="1" applyFont="1" applyFill="1" applyBorder="1" applyAlignment="1" applyProtection="1">
      <alignment horizontal="center" vertical="center"/>
    </xf>
    <xf numFmtId="171" fontId="28" fillId="21" borderId="72" xfId="75" applyNumberFormat="1" applyFont="1" applyFill="1" applyBorder="1" applyAlignment="1" applyProtection="1">
      <alignment horizontal="center" vertical="center"/>
    </xf>
    <xf numFmtId="171" fontId="28" fillId="21" borderId="36" xfId="75" applyNumberFormat="1" applyFont="1" applyFill="1" applyBorder="1" applyAlignment="1" applyProtection="1">
      <alignment horizontal="center" vertical="center"/>
    </xf>
    <xf numFmtId="164" fontId="2" fillId="21" borderId="39" xfId="80" applyNumberFormat="1" applyFont="1" applyFill="1" applyBorder="1" applyAlignment="1" applyProtection="1">
      <alignment horizontal="center" vertical="center"/>
    </xf>
    <xf numFmtId="0" fontId="26" fillId="0" borderId="27" xfId="68" applyFont="1" applyBorder="1" applyAlignment="1" applyProtection="1">
      <alignment vertical="center"/>
    </xf>
    <xf numFmtId="0" fontId="26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1" fontId="2" fillId="0" borderId="46" xfId="75" applyNumberFormat="1" applyFont="1" applyFill="1" applyBorder="1" applyAlignment="1" applyProtection="1">
      <alignment horizontal="center" vertical="center"/>
      <protection locked="0"/>
    </xf>
    <xf numFmtId="171" fontId="2" fillId="0" borderId="47" xfId="75" applyNumberFormat="1" applyFont="1" applyFill="1" applyBorder="1" applyAlignment="1" applyProtection="1">
      <alignment horizontal="center" vertical="center"/>
      <protection locked="0"/>
    </xf>
    <xf numFmtId="171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51" fillId="22" borderId="28" xfId="68" applyFont="1" applyFill="1" applyBorder="1" applyAlignment="1" applyProtection="1">
      <alignment horizontal="left" vertical="center"/>
    </xf>
    <xf numFmtId="0" fontId="44" fillId="0" borderId="0" xfId="0" applyFont="1" applyFill="1" applyAlignment="1" applyProtection="1">
      <alignment vertical="center"/>
    </xf>
    <xf numFmtId="164" fontId="2" fillId="0" borderId="61" xfId="80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51" fillId="22" borderId="32" xfId="68" applyFont="1" applyFill="1" applyBorder="1" applyAlignment="1" applyProtection="1">
      <alignment horizontal="left" vertical="center"/>
    </xf>
    <xf numFmtId="171" fontId="33" fillId="22" borderId="39" xfId="75" applyNumberFormat="1" applyFont="1" applyFill="1" applyBorder="1" applyAlignment="1" applyProtection="1">
      <alignment horizontal="center" vertical="center"/>
      <protection locked="0"/>
    </xf>
    <xf numFmtId="0" fontId="25" fillId="0" borderId="0" xfId="78" applyFont="1" applyAlignment="1" applyProtection="1">
      <alignment vertical="center"/>
    </xf>
    <xf numFmtId="0" fontId="25" fillId="0" borderId="0" xfId="75" applyFont="1" applyFill="1" applyBorder="1" applyAlignment="1" applyProtection="1">
      <alignment horizontal="left" vertical="center"/>
    </xf>
    <xf numFmtId="1" fontId="25" fillId="0" borderId="0" xfId="76" applyNumberFormat="1" applyFont="1" applyAlignment="1" applyProtection="1">
      <alignment vertical="center"/>
    </xf>
    <xf numFmtId="0" fontId="25" fillId="0" borderId="0" xfId="76" applyFont="1" applyAlignment="1" applyProtection="1">
      <alignment vertical="center"/>
    </xf>
    <xf numFmtId="0" fontId="37" fillId="24" borderId="0" xfId="81" applyFont="1" applyFill="1" applyBorder="1" applyAlignment="1" applyProtection="1">
      <alignment vertical="center"/>
    </xf>
    <xf numFmtId="0" fontId="39" fillId="24" borderId="0" xfId="82" applyFont="1" applyFill="1" applyBorder="1" applyAlignment="1" applyProtection="1">
      <alignment vertical="center"/>
    </xf>
    <xf numFmtId="0" fontId="25" fillId="24" borderId="0" xfId="82" applyFont="1" applyFill="1" applyBorder="1" applyAlignment="1" applyProtection="1">
      <alignment vertical="center"/>
    </xf>
    <xf numFmtId="0" fontId="52" fillId="24" borderId="0" xfId="82" applyFont="1" applyFill="1" applyBorder="1" applyAlignment="1" applyProtection="1">
      <alignment vertical="center"/>
    </xf>
    <xf numFmtId="0" fontId="2" fillId="24" borderId="0" xfId="82" applyFont="1" applyFill="1" applyBorder="1" applyAlignment="1" applyProtection="1">
      <alignment vertical="center"/>
    </xf>
    <xf numFmtId="0" fontId="39" fillId="24" borderId="0" xfId="82" applyFont="1" applyFill="1" applyBorder="1" applyAlignment="1" applyProtection="1">
      <alignment horizontal="left" vertical="center"/>
    </xf>
    <xf numFmtId="0" fontId="39" fillId="24" borderId="31" xfId="82" applyFont="1" applyFill="1" applyBorder="1" applyAlignment="1" applyProtection="1">
      <alignment vertical="center"/>
    </xf>
    <xf numFmtId="0" fontId="52" fillId="24" borderId="31" xfId="82" applyFont="1" applyFill="1" applyBorder="1" applyAlignment="1" applyProtection="1">
      <alignment horizontal="left" vertical="center"/>
    </xf>
    <xf numFmtId="0" fontId="2" fillId="24" borderId="31" xfId="82" applyFont="1" applyFill="1" applyBorder="1" applyAlignment="1" applyProtection="1">
      <alignment vertical="center"/>
    </xf>
    <xf numFmtId="0" fontId="2" fillId="0" borderId="0" xfId="82" applyFont="1" applyAlignment="1" applyProtection="1">
      <alignment vertical="center"/>
    </xf>
    <xf numFmtId="0" fontId="26" fillId="0" borderId="0" xfId="82" applyFont="1" applyAlignment="1" applyProtection="1">
      <alignment vertical="center"/>
    </xf>
    <xf numFmtId="0" fontId="26" fillId="0" borderId="52" xfId="83" applyFont="1" applyBorder="1" applyAlignment="1" applyProtection="1">
      <alignment horizontal="centerContinuous" vertical="center"/>
    </xf>
    <xf numFmtId="0" fontId="26" fillId="0" borderId="53" xfId="83" applyFont="1" applyBorder="1" applyAlignment="1" applyProtection="1">
      <alignment horizontal="centerContinuous" vertical="center"/>
    </xf>
    <xf numFmtId="0" fontId="2" fillId="0" borderId="54" xfId="83" applyFont="1" applyBorder="1" applyAlignment="1" applyProtection="1">
      <alignment horizontal="centerContinuous" vertical="center"/>
    </xf>
    <xf numFmtId="0" fontId="2" fillId="0" borderId="53" xfId="83" applyFont="1" applyBorder="1" applyAlignment="1" applyProtection="1">
      <alignment horizontal="centerContinuous" vertical="center"/>
    </xf>
    <xf numFmtId="0" fontId="26" fillId="0" borderId="46" xfId="83" applyFont="1" applyBorder="1" applyAlignment="1" applyProtection="1">
      <alignment horizontal="center" vertical="center" wrapText="1"/>
    </xf>
    <xf numFmtId="0" fontId="26" fillId="0" borderId="47" xfId="83" applyFont="1" applyBorder="1" applyAlignment="1" applyProtection="1">
      <alignment horizontal="center" vertical="center" wrapText="1"/>
    </xf>
    <xf numFmtId="0" fontId="26" fillId="0" borderId="61" xfId="83" applyFont="1" applyBorder="1" applyAlignment="1" applyProtection="1">
      <alignment horizontal="center" vertical="center" wrapText="1"/>
    </xf>
    <xf numFmtId="0" fontId="26" fillId="0" borderId="46" xfId="82" applyFont="1" applyBorder="1" applyAlignment="1" applyProtection="1">
      <alignment horizontal="left" vertical="center" wrapText="1"/>
    </xf>
    <xf numFmtId="0" fontId="2" fillId="0" borderId="61" xfId="82" applyNumberFormat="1" applyFont="1" applyBorder="1" applyAlignment="1" applyProtection="1">
      <alignment vertical="center" wrapText="1"/>
    </xf>
    <xf numFmtId="171" fontId="44" fillId="0" borderId="71" xfId="84" applyNumberFormat="1" applyFont="1" applyFill="1" applyBorder="1" applyAlignment="1" applyProtection="1">
      <alignment horizontal="center" vertical="center"/>
    </xf>
    <xf numFmtId="171" fontId="44" fillId="0" borderId="11" xfId="84" applyNumberFormat="1" applyFont="1" applyFill="1" applyBorder="1" applyAlignment="1" applyProtection="1">
      <alignment horizontal="center" vertical="center"/>
    </xf>
    <xf numFmtId="171" fontId="44" fillId="0" borderId="40" xfId="84" applyNumberFormat="1" applyFont="1" applyFill="1" applyBorder="1" applyAlignment="1" applyProtection="1">
      <alignment horizontal="center" vertical="center"/>
    </xf>
    <xf numFmtId="0" fontId="2" fillId="0" borderId="46" xfId="82" applyFont="1" applyBorder="1" applyAlignment="1" applyProtection="1">
      <alignment horizontal="left" vertical="center" wrapText="1"/>
    </xf>
    <xf numFmtId="171" fontId="44" fillId="0" borderId="46" xfId="84" applyNumberFormat="1" applyFont="1" applyFill="1" applyBorder="1" applyAlignment="1" applyProtection="1">
      <alignment horizontal="center" vertical="center"/>
    </xf>
    <xf numFmtId="171" fontId="44" fillId="0" borderId="12" xfId="84" applyNumberFormat="1" applyFont="1" applyFill="1" applyBorder="1" applyAlignment="1" applyProtection="1">
      <alignment horizontal="center" vertical="center"/>
    </xf>
    <xf numFmtId="171" fontId="44" fillId="0" borderId="47" xfId="84" applyNumberFormat="1" applyFont="1" applyFill="1" applyBorder="1" applyAlignment="1" applyProtection="1">
      <alignment horizontal="center" vertical="center"/>
    </xf>
    <xf numFmtId="171" fontId="44" fillId="0" borderId="61" xfId="84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horizontal="center" vertical="center"/>
      <protection locked="0"/>
    </xf>
    <xf numFmtId="171" fontId="33" fillId="22" borderId="40" xfId="84" applyNumberFormat="1" applyFont="1" applyFill="1" applyBorder="1" applyAlignment="1" applyProtection="1">
      <alignment horizontal="center" vertical="center"/>
      <protection locked="0"/>
    </xf>
    <xf numFmtId="171" fontId="33" fillId="22" borderId="46" xfId="84" applyNumberFormat="1" applyFont="1" applyFill="1" applyBorder="1" applyAlignment="1" applyProtection="1">
      <alignment horizontal="center" vertical="center"/>
      <protection locked="0"/>
    </xf>
    <xf numFmtId="171" fontId="33" fillId="22" borderId="47" xfId="84" applyNumberFormat="1" applyFont="1" applyFill="1" applyBorder="1" applyAlignment="1" applyProtection="1">
      <alignment horizontal="center" vertical="center"/>
      <protection locked="0"/>
    </xf>
    <xf numFmtId="17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33" fillId="22" borderId="46" xfId="82" applyFont="1" applyFill="1" applyBorder="1" applyAlignment="1" applyProtection="1">
      <alignment horizontal="left" vertical="center" wrapText="1"/>
      <protection locked="0"/>
    </xf>
    <xf numFmtId="0" fontId="2" fillId="0" borderId="61" xfId="82" applyNumberFormat="1" applyFont="1" applyBorder="1" applyAlignment="1" applyProtection="1">
      <alignment vertical="center" wrapText="1"/>
      <protection locked="0"/>
    </xf>
    <xf numFmtId="0" fontId="2" fillId="0" borderId="0" xfId="82" applyFont="1" applyAlignment="1" applyProtection="1">
      <alignment vertical="center"/>
      <protection locked="0"/>
    </xf>
    <xf numFmtId="171" fontId="33" fillId="22" borderId="15" xfId="84" applyNumberFormat="1" applyFont="1" applyFill="1" applyBorder="1" applyAlignment="1" applyProtection="1">
      <alignment horizontal="center" vertical="center"/>
      <protection locked="0"/>
    </xf>
    <xf numFmtId="171" fontId="33" fillId="22" borderId="14" xfId="84" applyNumberFormat="1" applyFont="1" applyFill="1" applyBorder="1" applyAlignment="1" applyProtection="1">
      <alignment horizontal="center" vertical="center"/>
      <protection locked="0"/>
    </xf>
    <xf numFmtId="171" fontId="33" fillId="22" borderId="68" xfId="84" applyNumberFormat="1" applyFont="1" applyFill="1" applyBorder="1" applyAlignment="1" applyProtection="1">
      <alignment horizontal="center" vertical="center"/>
      <protection locked="0"/>
    </xf>
    <xf numFmtId="171" fontId="33" fillId="22" borderId="70" xfId="84" applyNumberFormat="1" applyFont="1" applyFill="1" applyBorder="1" applyAlignment="1" applyProtection="1">
      <alignment horizontal="center" vertical="center"/>
      <protection locked="0"/>
    </xf>
    <xf numFmtId="171" fontId="33" fillId="22" borderId="69" xfId="84" applyNumberFormat="1" applyFont="1" applyFill="1" applyBorder="1" applyAlignment="1" applyProtection="1">
      <alignment horizontal="center" vertical="center"/>
      <protection locked="0"/>
    </xf>
    <xf numFmtId="0" fontId="26" fillId="0" borderId="79" xfId="82" applyFont="1" applyBorder="1" applyAlignment="1" applyProtection="1">
      <alignment horizontal="left" vertical="center"/>
      <protection locked="0"/>
    </xf>
    <xf numFmtId="0" fontId="2" fillId="0" borderId="39" xfId="82" applyNumberFormat="1" applyFont="1" applyBorder="1" applyAlignment="1" applyProtection="1">
      <alignment vertical="center" wrapText="1"/>
      <protection locked="0"/>
    </xf>
    <xf numFmtId="171" fontId="26" fillId="21" borderId="36" xfId="82" applyNumberFormat="1" applyFont="1" applyFill="1" applyBorder="1" applyAlignment="1" applyProtection="1">
      <alignment horizontal="center" vertical="center"/>
      <protection locked="0"/>
    </xf>
    <xf numFmtId="171" fontId="26" fillId="21" borderId="35" xfId="82" applyNumberFormat="1" applyFont="1" applyFill="1" applyBorder="1" applyAlignment="1" applyProtection="1">
      <alignment horizontal="center" vertical="center"/>
      <protection locked="0"/>
    </xf>
    <xf numFmtId="171" fontId="26" fillId="21" borderId="39" xfId="82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Alignment="1" applyProtection="1">
      <alignment horizontal="left" vertical="center"/>
    </xf>
    <xf numFmtId="0" fontId="2" fillId="0" borderId="0" xfId="82" applyNumberFormat="1" applyFont="1" applyAlignment="1" applyProtection="1">
      <alignment vertical="center" wrapText="1"/>
    </xf>
    <xf numFmtId="0" fontId="2" fillId="0" borderId="0" xfId="82" applyFont="1" applyFill="1" applyAlignment="1" applyProtection="1">
      <alignment vertical="center"/>
    </xf>
    <xf numFmtId="0" fontId="45" fillId="0" borderId="0" xfId="81" applyFont="1" applyAlignment="1" applyProtection="1">
      <alignment vertical="center"/>
    </xf>
    <xf numFmtId="0" fontId="26" fillId="0" borderId="12" xfId="83" applyFont="1" applyBorder="1" applyAlignment="1" applyProtection="1">
      <alignment horizontal="center" vertical="center" wrapText="1"/>
    </xf>
    <xf numFmtId="0" fontId="2" fillId="0" borderId="69" xfId="82" applyNumberFormat="1" applyFont="1" applyBorder="1" applyAlignment="1" applyProtection="1">
      <alignment vertical="center" wrapText="1"/>
    </xf>
    <xf numFmtId="0" fontId="26" fillId="0" borderId="30" xfId="82" applyFont="1" applyBorder="1" applyAlignment="1" applyProtection="1">
      <alignment horizontal="left" vertical="center"/>
    </xf>
    <xf numFmtId="0" fontId="2" fillId="0" borderId="39" xfId="82" applyNumberFormat="1" applyFont="1" applyBorder="1" applyAlignment="1" applyProtection="1">
      <alignment vertical="center" wrapText="1"/>
    </xf>
    <xf numFmtId="171" fontId="26" fillId="21" borderId="34" xfId="82" applyNumberFormat="1" applyFont="1" applyFill="1" applyBorder="1" applyAlignment="1" applyProtection="1">
      <alignment horizontal="center" vertical="center"/>
    </xf>
    <xf numFmtId="171" fontId="26" fillId="21" borderId="35" xfId="82" applyNumberFormat="1" applyFont="1" applyFill="1" applyBorder="1" applyAlignment="1" applyProtection="1">
      <alignment horizontal="center" vertical="center"/>
    </xf>
    <xf numFmtId="171" fontId="26" fillId="21" borderId="39" xfId="82" applyNumberFormat="1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vertical="center"/>
      <protection locked="0"/>
    </xf>
    <xf numFmtId="171" fontId="33" fillId="22" borderId="47" xfId="84" applyNumberFormat="1" applyFont="1" applyFill="1" applyBorder="1" applyAlignment="1" applyProtection="1">
      <alignment vertical="center"/>
      <protection locked="0"/>
    </xf>
    <xf numFmtId="0" fontId="2" fillId="0" borderId="52" xfId="82" applyFont="1" applyBorder="1" applyAlignment="1" applyProtection="1">
      <alignment vertical="center"/>
    </xf>
    <xf numFmtId="0" fontId="26" fillId="0" borderId="55" xfId="82" applyFont="1" applyBorder="1" applyAlignment="1" applyProtection="1">
      <alignment horizontal="center" vertical="center" wrapText="1"/>
    </xf>
    <xf numFmtId="0" fontId="26" fillId="0" borderId="56" xfId="82" applyFont="1" applyBorder="1" applyAlignment="1" applyProtection="1">
      <alignment horizontal="center" vertical="center" wrapText="1"/>
    </xf>
    <xf numFmtId="0" fontId="26" fillId="0" borderId="57" xfId="82" applyFont="1" applyBorder="1" applyAlignment="1" applyProtection="1">
      <alignment horizontal="center" vertical="center" wrapText="1"/>
    </xf>
    <xf numFmtId="0" fontId="2" fillId="0" borderId="71" xfId="82" applyFont="1" applyBorder="1" applyAlignment="1" applyProtection="1">
      <alignment horizontal="left" vertical="center" wrapText="1"/>
    </xf>
    <xf numFmtId="1" fontId="2" fillId="0" borderId="46" xfId="84" applyNumberFormat="1" applyFont="1" applyFill="1" applyBorder="1" applyAlignment="1" applyProtection="1">
      <alignment horizontal="center" vertical="center"/>
    </xf>
    <xf numFmtId="1" fontId="2" fillId="0" borderId="47" xfId="84" applyNumberFormat="1" applyFont="1" applyFill="1" applyBorder="1" applyAlignment="1" applyProtection="1">
      <alignment horizontal="center" vertical="center"/>
    </xf>
    <xf numFmtId="1" fontId="33" fillId="22" borderId="47" xfId="84" applyNumberFormat="1" applyFont="1" applyFill="1" applyBorder="1" applyAlignment="1" applyProtection="1">
      <alignment horizontal="center" vertical="center"/>
      <protection locked="0"/>
    </xf>
    <xf numFmtId="1" fontId="2" fillId="0" borderId="61" xfId="84" applyNumberFormat="1" applyFont="1" applyFill="1" applyBorder="1" applyAlignment="1" applyProtection="1">
      <alignment horizontal="center" vertical="center"/>
    </xf>
    <xf numFmtId="0" fontId="26" fillId="0" borderId="79" xfId="82" applyFont="1" applyBorder="1" applyAlignment="1" applyProtection="1">
      <alignment horizontal="left" vertical="center"/>
    </xf>
    <xf numFmtId="1" fontId="26" fillId="21" borderId="36" xfId="82" applyNumberFormat="1" applyFont="1" applyFill="1" applyBorder="1" applyAlignment="1" applyProtection="1">
      <alignment horizontal="center" vertical="center" wrapText="1"/>
    </xf>
    <xf numFmtId="1" fontId="26" fillId="21" borderId="35" xfId="82" applyNumberFormat="1" applyFont="1" applyFill="1" applyBorder="1" applyAlignment="1" applyProtection="1">
      <alignment horizontal="center" vertical="center" wrapText="1"/>
    </xf>
    <xf numFmtId="1" fontId="26" fillId="21" borderId="39" xfId="82" applyNumberFormat="1" applyFont="1" applyFill="1" applyBorder="1" applyAlignment="1" applyProtection="1">
      <alignment horizontal="center" vertical="center" wrapText="1"/>
    </xf>
    <xf numFmtId="0" fontId="26" fillId="0" borderId="0" xfId="82" applyFont="1" applyBorder="1" applyAlignment="1" applyProtection="1">
      <alignment vertical="center"/>
    </xf>
    <xf numFmtId="0" fontId="2" fillId="0" borderId="29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vertical="center"/>
    </xf>
    <xf numFmtId="0" fontId="26" fillId="0" borderId="19" xfId="82" applyFont="1" applyBorder="1" applyAlignment="1" applyProtection="1">
      <alignment vertical="center"/>
    </xf>
    <xf numFmtId="0" fontId="26" fillId="0" borderId="65" xfId="82" applyFont="1" applyBorder="1" applyAlignment="1" applyProtection="1">
      <alignment vertical="center"/>
    </xf>
    <xf numFmtId="0" fontId="26" fillId="0" borderId="70" xfId="82" applyFont="1" applyFill="1" applyBorder="1" applyAlignment="1" applyProtection="1">
      <alignment horizontal="center" vertical="center" wrapText="1"/>
    </xf>
    <xf numFmtId="0" fontId="26" fillId="0" borderId="47" xfId="82" applyFont="1" applyFill="1" applyBorder="1" applyAlignment="1" applyProtection="1">
      <alignment horizontal="center" vertical="center" wrapText="1"/>
    </xf>
    <xf numFmtId="0" fontId="26" fillId="0" borderId="61" xfId="82" applyFont="1" applyFill="1" applyBorder="1" applyAlignment="1" applyProtection="1">
      <alignment horizontal="center" vertical="center" wrapText="1"/>
    </xf>
    <xf numFmtId="0" fontId="2" fillId="0" borderId="0" xfId="82" applyFont="1" applyFill="1" applyBorder="1" applyAlignment="1" applyProtection="1">
      <alignment vertical="center"/>
    </xf>
    <xf numFmtId="0" fontId="26" fillId="0" borderId="75" xfId="82" applyFont="1" applyBorder="1" applyAlignment="1" applyProtection="1">
      <alignment vertical="center"/>
    </xf>
    <xf numFmtId="1" fontId="33" fillId="22" borderId="12" xfId="84" applyNumberFormat="1" applyFont="1" applyFill="1" applyBorder="1" applyAlignment="1" applyProtection="1">
      <alignment horizontal="center" vertical="center"/>
      <protection locked="0"/>
    </xf>
    <xf numFmtId="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2" fillId="0" borderId="64" xfId="82" applyFont="1" applyBorder="1" applyAlignment="1" applyProtection="1">
      <alignment horizontal="left" vertical="center" wrapText="1"/>
    </xf>
    <xf numFmtId="1" fontId="2" fillId="0" borderId="58" xfId="84" applyNumberFormat="1" applyFont="1" applyFill="1" applyBorder="1" applyAlignment="1" applyProtection="1">
      <alignment horizontal="center" vertical="center"/>
    </xf>
    <xf numFmtId="1" fontId="33" fillId="22" borderId="20" xfId="84" applyNumberFormat="1" applyFont="1" applyFill="1" applyBorder="1" applyAlignment="1" applyProtection="1">
      <alignment horizontal="center" vertical="center"/>
      <protection locked="0"/>
    </xf>
    <xf numFmtId="1" fontId="33" fillId="22" borderId="60" xfId="84" applyNumberFormat="1" applyFont="1" applyFill="1" applyBorder="1" applyAlignment="1" applyProtection="1">
      <alignment horizontal="center" vertical="center"/>
      <protection locked="0"/>
    </xf>
    <xf numFmtId="1" fontId="33" fillId="22" borderId="59" xfId="84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Border="1" applyAlignment="1" applyProtection="1">
      <alignment horizontal="left" vertical="center"/>
    </xf>
    <xf numFmtId="0" fontId="2" fillId="0" borderId="0" xfId="82" applyNumberFormat="1" applyFont="1" applyFill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Continuous" vertical="center"/>
    </xf>
    <xf numFmtId="0" fontId="26" fillId="0" borderId="11" xfId="82" applyFont="1" applyBorder="1" applyAlignment="1" applyProtection="1">
      <alignment horizontal="centerContinuous" vertical="center"/>
    </xf>
    <xf numFmtId="0" fontId="26" fillId="0" borderId="40" xfId="82" applyFont="1" applyBorder="1" applyAlignment="1" applyProtection="1">
      <alignment horizontal="centerContinuous" vertical="center"/>
    </xf>
    <xf numFmtId="0" fontId="2" fillId="0" borderId="27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horizontal="centerContinuous" vertical="center"/>
    </xf>
    <xf numFmtId="0" fontId="26" fillId="0" borderId="19" xfId="82" applyFont="1" applyBorder="1" applyAlignment="1" applyProtection="1">
      <alignment horizontal="centerContinuous" vertical="center"/>
    </xf>
    <xf numFmtId="0" fontId="26" fillId="0" borderId="65" xfId="82" applyFont="1" applyBorder="1" applyAlignment="1" applyProtection="1">
      <alignment horizontal="centerContinuous" vertical="center"/>
    </xf>
    <xf numFmtId="0" fontId="26" fillId="23" borderId="61" xfId="82" applyFont="1" applyFill="1" applyBorder="1" applyAlignment="1" applyProtection="1">
      <alignment horizontal="center" vertical="center" wrapText="1"/>
    </xf>
    <xf numFmtId="0" fontId="26" fillId="0" borderId="64" xfId="82" applyFont="1" applyBorder="1" applyAlignment="1" applyProtection="1">
      <alignment horizontal="left" vertical="center"/>
    </xf>
    <xf numFmtId="0" fontId="2" fillId="0" borderId="75" xfId="82" applyFont="1" applyBorder="1" applyAlignment="1" applyProtection="1">
      <alignment horizontal="left" vertical="center" wrapText="1"/>
    </xf>
    <xf numFmtId="0" fontId="2" fillId="23" borderId="60" xfId="84" applyFont="1" applyFill="1" applyBorder="1" applyAlignment="1" applyProtection="1">
      <alignment horizontal="center" vertical="center"/>
    </xf>
    <xf numFmtId="1" fontId="33" fillId="22" borderId="58" xfId="84" applyNumberFormat="1" applyFont="1" applyFill="1" applyBorder="1" applyAlignment="1" applyProtection="1">
      <alignment horizontal="center" vertical="center"/>
      <protection locked="0"/>
    </xf>
    <xf numFmtId="0" fontId="33" fillId="23" borderId="60" xfId="84" applyFont="1" applyFill="1" applyBorder="1" applyAlignment="1" applyProtection="1">
      <alignment horizontal="center" vertical="center"/>
    </xf>
    <xf numFmtId="0" fontId="2" fillId="0" borderId="38" xfId="82" applyFont="1" applyBorder="1" applyAlignment="1" applyProtection="1">
      <alignment horizontal="left" vertical="center" wrapText="1"/>
    </xf>
    <xf numFmtId="0" fontId="2" fillId="23" borderId="47" xfId="84" applyFont="1" applyFill="1" applyBorder="1" applyAlignment="1" applyProtection="1">
      <alignment horizontal="center" vertical="center"/>
    </xf>
    <xf numFmtId="1" fontId="33" fillId="22" borderId="46" xfId="84" applyNumberFormat="1" applyFont="1" applyFill="1" applyBorder="1" applyAlignment="1" applyProtection="1">
      <alignment horizontal="center" vertical="center"/>
      <protection locked="0"/>
    </xf>
    <xf numFmtId="0" fontId="33" fillId="23" borderId="47" xfId="84" applyFont="1" applyFill="1" applyBorder="1" applyAlignment="1" applyProtection="1">
      <alignment horizontal="center" vertical="center"/>
    </xf>
    <xf numFmtId="0" fontId="26" fillId="0" borderId="76" xfId="82" applyFont="1" applyBorder="1" applyAlignment="1" applyProtection="1">
      <alignment horizontal="left" vertical="center"/>
    </xf>
    <xf numFmtId="1" fontId="26" fillId="21" borderId="34" xfId="82" applyNumberFormat="1" applyFont="1" applyFill="1" applyBorder="1" applyAlignment="1" applyProtection="1">
      <alignment horizontal="center" vertical="center" wrapText="1"/>
    </xf>
    <xf numFmtId="0" fontId="26" fillId="23" borderId="39" xfId="82" applyNumberFormat="1" applyFont="1" applyFill="1" applyBorder="1" applyAlignment="1" applyProtection="1">
      <alignment horizontal="center" vertical="center" wrapText="1"/>
    </xf>
    <xf numFmtId="0" fontId="26" fillId="0" borderId="22" xfId="82" applyFont="1" applyBorder="1" applyAlignment="1" applyProtection="1">
      <alignment horizontal="left" vertical="center"/>
    </xf>
    <xf numFmtId="0" fontId="2" fillId="0" borderId="22" xfId="82" applyNumberFormat="1" applyFont="1" applyFill="1" applyBorder="1" applyAlignment="1" applyProtection="1">
      <alignment vertical="center" wrapText="1"/>
    </xf>
    <xf numFmtId="0" fontId="26" fillId="0" borderId="75" xfId="82" applyFont="1" applyBorder="1" applyAlignment="1" applyProtection="1">
      <alignment horizontal="left" vertical="center"/>
    </xf>
    <xf numFmtId="171" fontId="2" fillId="0" borderId="58" xfId="84" applyNumberFormat="1" applyFont="1" applyFill="1" applyBorder="1" applyAlignment="1" applyProtection="1">
      <alignment horizontal="center" vertical="center"/>
    </xf>
    <xf numFmtId="171" fontId="33" fillId="22" borderId="20" xfId="84" applyNumberFormat="1" applyFont="1" applyFill="1" applyBorder="1" applyAlignment="1" applyProtection="1">
      <alignment horizontal="center" vertical="center"/>
      <protection locked="0"/>
    </xf>
    <xf numFmtId="0" fontId="33" fillId="23" borderId="61" xfId="84" applyFont="1" applyFill="1" applyBorder="1" applyAlignment="1" applyProtection="1">
      <alignment horizontal="center" vertical="center"/>
    </xf>
    <xf numFmtId="171" fontId="33" fillId="22" borderId="60" xfId="84" applyNumberFormat="1" applyFont="1" applyFill="1" applyBorder="1" applyAlignment="1" applyProtection="1">
      <alignment horizontal="center" vertical="center"/>
      <protection locked="0"/>
    </xf>
    <xf numFmtId="0" fontId="33" fillId="23" borderId="59" xfId="84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 wrapText="1"/>
    </xf>
    <xf numFmtId="171" fontId="26" fillId="21" borderId="35" xfId="82" applyNumberFormat="1" applyFont="1" applyFill="1" applyBorder="1" applyAlignment="1" applyProtection="1">
      <alignment horizontal="center" vertical="center" wrapText="1"/>
    </xf>
    <xf numFmtId="0" fontId="2" fillId="0" borderId="22" xfId="82" applyFont="1" applyBorder="1" applyAlignment="1" applyProtection="1">
      <alignment vertical="center"/>
    </xf>
    <xf numFmtId="0" fontId="26" fillId="23" borderId="69" xfId="82" applyFont="1" applyFill="1" applyBorder="1" applyAlignment="1" applyProtection="1">
      <alignment horizontal="center" vertical="center" wrapText="1"/>
    </xf>
    <xf numFmtId="171" fontId="2" fillId="0" borderId="60" xfId="84" applyNumberFormat="1" applyFont="1" applyFill="1" applyBorder="1" applyAlignment="1" applyProtection="1">
      <alignment horizontal="center" vertical="center"/>
    </xf>
    <xf numFmtId="0" fontId="33" fillId="23" borderId="57" xfId="84" applyFont="1" applyFill="1" applyBorder="1" applyAlignment="1" applyProtection="1">
      <alignment horizontal="center" vertical="center"/>
    </xf>
    <xf numFmtId="171" fontId="2" fillId="0" borderId="46" xfId="84" applyNumberFormat="1" applyFont="1" applyFill="1" applyBorder="1" applyAlignment="1" applyProtection="1">
      <alignment horizontal="center" vertical="center"/>
    </xf>
    <xf numFmtId="171" fontId="2" fillId="0" borderId="47" xfId="84" applyNumberFormat="1" applyFont="1" applyFill="1" applyBorder="1" applyAlignment="1" applyProtection="1">
      <alignment horizontal="center" vertical="center"/>
    </xf>
    <xf numFmtId="0" fontId="2" fillId="0" borderId="79" xfId="82" applyFont="1" applyBorder="1" applyAlignment="1" applyProtection="1">
      <alignment horizontal="left" vertical="center" wrapText="1"/>
    </xf>
    <xf numFmtId="171" fontId="2" fillId="0" borderId="36" xfId="84" applyNumberFormat="1" applyFont="1" applyFill="1" applyBorder="1" applyAlignment="1" applyProtection="1">
      <alignment horizontal="center" vertical="center"/>
    </xf>
    <xf numFmtId="171" fontId="2" fillId="0" borderId="35" xfId="84" applyNumberFormat="1" applyFont="1" applyFill="1" applyBorder="1" applyAlignment="1" applyProtection="1">
      <alignment horizontal="center" vertical="center"/>
    </xf>
    <xf numFmtId="0" fontId="33" fillId="23" borderId="39" xfId="84" applyFont="1" applyFill="1" applyBorder="1" applyAlignment="1" applyProtection="1">
      <alignment horizontal="center" vertical="center"/>
    </xf>
    <xf numFmtId="0" fontId="2" fillId="0" borderId="85" xfId="82" applyFont="1" applyBorder="1" applyAlignment="1" applyProtection="1">
      <alignment vertical="center"/>
    </xf>
    <xf numFmtId="1" fontId="2" fillId="0" borderId="60" xfId="84" applyNumberFormat="1" applyFont="1" applyFill="1" applyBorder="1" applyAlignment="1" applyProtection="1">
      <alignment horizontal="center" vertical="center"/>
    </xf>
    <xf numFmtId="1" fontId="2" fillId="0" borderId="59" xfId="84" applyNumberFormat="1" applyFont="1" applyFill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vertical="center"/>
    </xf>
    <xf numFmtId="0" fontId="26" fillId="0" borderId="47" xfId="82" applyFont="1" applyFill="1" applyBorder="1" applyAlignment="1" applyProtection="1">
      <alignment vertical="center" wrapText="1"/>
    </xf>
    <xf numFmtId="0" fontId="26" fillId="0" borderId="61" xfId="82" applyFont="1" applyFill="1" applyBorder="1" applyAlignment="1" applyProtection="1">
      <alignment vertical="center" wrapText="1"/>
    </xf>
    <xf numFmtId="0" fontId="2" fillId="0" borderId="66" xfId="82" applyFont="1" applyBorder="1" applyAlignment="1" applyProtection="1">
      <alignment vertical="center"/>
    </xf>
    <xf numFmtId="0" fontId="26" fillId="23" borderId="37" xfId="82" applyNumberFormat="1" applyFont="1" applyFill="1" applyBorder="1" applyAlignment="1" applyProtection="1">
      <alignment horizontal="center" vertical="center" wrapText="1"/>
    </xf>
    <xf numFmtId="0" fontId="2" fillId="23" borderId="35" xfId="84" applyFont="1" applyFill="1" applyBorder="1" applyAlignment="1" applyProtection="1">
      <alignment horizontal="center" vertical="center"/>
    </xf>
    <xf numFmtId="1" fontId="26" fillId="0" borderId="68" xfId="68" applyNumberFormat="1" applyFont="1" applyBorder="1" applyAlignment="1" applyProtection="1">
      <alignment horizontal="center" vertical="center" wrapText="1"/>
    </xf>
    <xf numFmtId="1" fontId="26" fillId="0" borderId="69" xfId="68" applyNumberFormat="1" applyFont="1" applyBorder="1" applyAlignment="1" applyProtection="1">
      <alignment horizontal="center" vertical="center" wrapText="1"/>
    </xf>
    <xf numFmtId="1" fontId="26" fillId="0" borderId="48" xfId="68" applyNumberFormat="1" applyFont="1" applyBorder="1" applyAlignment="1" applyProtection="1">
      <alignment horizontal="center" vertical="center"/>
    </xf>
    <xf numFmtId="1" fontId="26" fillId="0" borderId="63" xfId="68" applyNumberFormat="1" applyFont="1" applyBorder="1" applyAlignment="1" applyProtection="1">
      <alignment horizontal="center" vertical="center"/>
    </xf>
    <xf numFmtId="1" fontId="2" fillId="0" borderId="27" xfId="68" applyNumberFormat="1" applyFont="1" applyFill="1" applyBorder="1" applyAlignment="1" applyProtection="1">
      <alignment vertical="center"/>
    </xf>
    <xf numFmtId="0" fontId="26" fillId="0" borderId="0" xfId="68" applyFont="1" applyBorder="1" applyAlignment="1" applyProtection="1">
      <alignment vertical="center"/>
    </xf>
    <xf numFmtId="0" fontId="2" fillId="0" borderId="0" xfId="68" applyFont="1" applyBorder="1" applyAlignment="1" applyProtection="1">
      <alignment vertical="center"/>
    </xf>
    <xf numFmtId="1" fontId="2" fillId="0" borderId="51" xfId="78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1" fontId="2" fillId="0" borderId="62" xfId="78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0" fontId="2" fillId="0" borderId="27" xfId="68" applyFont="1" applyBorder="1" applyAlignment="1" applyProtection="1">
      <alignment vertical="center"/>
    </xf>
    <xf numFmtId="0" fontId="2" fillId="0" borderId="62" xfId="78" applyFont="1" applyBorder="1" applyAlignment="1" applyProtection="1">
      <alignment horizontal="center" vertical="center"/>
    </xf>
    <xf numFmtId="2" fontId="33" fillId="22" borderId="44" xfId="0" applyNumberFormat="1" applyFont="1" applyFill="1" applyBorder="1" applyAlignment="1" applyProtection="1">
      <alignment horizontal="center" vertical="center"/>
      <protection locked="0"/>
    </xf>
    <xf numFmtId="2" fontId="33" fillId="22" borderId="62" xfId="0" applyNumberFormat="1" applyFont="1" applyFill="1" applyBorder="1" applyAlignment="1" applyProtection="1">
      <alignment horizontal="center" vertical="center"/>
      <protection locked="0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3" borderId="46" xfId="85" applyNumberFormat="1" applyFont="1" applyFill="1" applyBorder="1" applyAlignment="1" applyProtection="1">
      <alignment horizontal="center" vertical="center"/>
    </xf>
    <xf numFmtId="2" fontId="2" fillId="23" borderId="61" xfId="85" applyNumberFormat="1" applyFont="1" applyFill="1" applyBorder="1" applyAlignment="1" applyProtection="1">
      <alignment horizontal="center" vertical="center"/>
    </xf>
    <xf numFmtId="1" fontId="26" fillId="0" borderId="30" xfId="68" applyNumberFormat="1" applyFont="1" applyBorder="1" applyAlignment="1" applyProtection="1">
      <alignment vertical="center"/>
    </xf>
    <xf numFmtId="1" fontId="26" fillId="0" borderId="31" xfId="68" applyNumberFormat="1" applyFont="1" applyBorder="1" applyAlignment="1" applyProtection="1">
      <alignment vertical="center"/>
    </xf>
    <xf numFmtId="172" fontId="33" fillId="0" borderId="63" xfId="78" applyNumberFormat="1" applyFont="1" applyFill="1" applyBorder="1" applyAlignment="1" applyProtection="1">
      <alignment vertical="center"/>
    </xf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Alignment="1" applyProtection="1">
      <alignment vertical="center"/>
    </xf>
    <xf numFmtId="0" fontId="26" fillId="0" borderId="22" xfId="68" applyFont="1" applyBorder="1" applyAlignment="1" applyProtection="1">
      <alignment vertical="center"/>
    </xf>
    <xf numFmtId="0" fontId="2" fillId="0" borderId="0" xfId="70" applyFont="1" applyAlignment="1" applyProtection="1">
      <alignment vertical="center"/>
    </xf>
    <xf numFmtId="0" fontId="2" fillId="0" borderId="62" xfId="78" applyFont="1" applyFill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39" xfId="0" applyFont="1" applyBorder="1" applyAlignment="1" applyProtection="1"/>
    <xf numFmtId="1" fontId="2" fillId="0" borderId="21" xfId="68" applyNumberFormat="1" applyFont="1" applyFill="1" applyBorder="1" applyAlignment="1" applyProtection="1">
      <alignment vertical="center"/>
    </xf>
    <xf numFmtId="0" fontId="2" fillId="0" borderId="22" xfId="68" applyFont="1" applyBorder="1" applyAlignment="1" applyProtection="1">
      <alignment vertical="center"/>
    </xf>
    <xf numFmtId="0" fontId="2" fillId="0" borderId="51" xfId="78" applyFont="1" applyBorder="1" applyAlignment="1" applyProtection="1">
      <alignment horizontal="center" vertic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3" fillId="0" borderId="44" xfId="0" applyNumberFormat="1" applyFont="1" applyFill="1" applyBorder="1" applyAlignment="1" applyProtection="1">
      <alignment horizontal="center" vertical="center"/>
    </xf>
    <xf numFmtId="2" fontId="33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vertical="center"/>
    </xf>
    <xf numFmtId="0" fontId="2" fillId="0" borderId="30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vertical="center"/>
    </xf>
    <xf numFmtId="0" fontId="26" fillId="0" borderId="31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horizontal="left" vertical="center"/>
    </xf>
    <xf numFmtId="0" fontId="2" fillId="0" borderId="63" xfId="78" applyFont="1" applyBorder="1" applyAlignment="1" applyProtection="1">
      <alignment horizontal="center" vertical="center"/>
    </xf>
    <xf numFmtId="2" fontId="33" fillId="22" borderId="48" xfId="0" applyNumberFormat="1" applyFont="1" applyFill="1" applyBorder="1" applyAlignment="1" applyProtection="1">
      <alignment horizontal="center" vertical="center"/>
      <protection locked="0"/>
    </xf>
    <xf numFmtId="2" fontId="33" fillId="22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14" xfId="86" applyFont="1" applyBorder="1" applyAlignment="1">
      <alignment vertical="center"/>
    </xf>
    <xf numFmtId="0" fontId="30" fillId="0" borderId="14" xfId="86" applyFont="1" applyBorder="1" applyAlignment="1">
      <alignment vertical="center"/>
    </xf>
    <xf numFmtId="0" fontId="30" fillId="0" borderId="15" xfId="86" applyFont="1" applyBorder="1" applyAlignment="1">
      <alignment vertical="center"/>
    </xf>
    <xf numFmtId="0" fontId="29" fillId="0" borderId="0" xfId="86" applyFont="1" applyBorder="1" applyAlignment="1">
      <alignment vertical="center"/>
    </xf>
    <xf numFmtId="0" fontId="30" fillId="0" borderId="0" xfId="86" applyFont="1" applyBorder="1" applyAlignment="1">
      <alignment vertical="center"/>
    </xf>
    <xf numFmtId="0" fontId="30" fillId="0" borderId="17" xfId="86" applyFont="1" applyBorder="1" applyAlignment="1">
      <alignment vertical="center"/>
    </xf>
    <xf numFmtId="0" fontId="29" fillId="0" borderId="17" xfId="86" applyFont="1" applyBorder="1" applyAlignment="1">
      <alignment horizontal="center" vertical="center" textRotation="90" wrapText="1"/>
    </xf>
    <xf numFmtId="0" fontId="53" fillId="0" borderId="0" xfId="0" applyFont="1" applyAlignment="1">
      <alignment vertical="center"/>
    </xf>
    <xf numFmtId="0" fontId="54" fillId="0" borderId="47" xfId="86" applyFont="1" applyBorder="1" applyAlignment="1">
      <alignment vertical="center" wrapText="1"/>
    </xf>
    <xf numFmtId="171" fontId="54" fillId="0" borderId="47" xfId="86" applyNumberFormat="1" applyFont="1" applyBorder="1" applyAlignment="1" applyProtection="1">
      <alignment horizontal="center" textRotation="90" wrapText="1"/>
    </xf>
    <xf numFmtId="171" fontId="54" fillId="0" borderId="60" xfId="86" applyNumberFormat="1" applyFont="1" applyBorder="1" applyAlignment="1" applyProtection="1">
      <alignment horizontal="center" textRotation="90" wrapText="1"/>
    </xf>
    <xf numFmtId="0" fontId="55" fillId="0" borderId="17" xfId="86" applyFont="1" applyBorder="1" applyAlignment="1">
      <alignment horizontal="center" vertical="center" textRotation="90" wrapText="1"/>
    </xf>
    <xf numFmtId="0" fontId="30" fillId="0" borderId="47" xfId="86" applyFont="1" applyBorder="1" applyAlignment="1">
      <alignment vertical="center"/>
    </xf>
    <xf numFmtId="0" fontId="30" fillId="0" borderId="47" xfId="86" applyFont="1" applyBorder="1" applyAlignment="1">
      <alignment horizontal="center" vertical="center"/>
    </xf>
    <xf numFmtId="0" fontId="30" fillId="0" borderId="10" xfId="86" applyFont="1" applyBorder="1" applyAlignment="1">
      <alignment horizontal="center" vertical="center"/>
    </xf>
    <xf numFmtId="0" fontId="30" fillId="0" borderId="38" xfId="86" applyFont="1" applyBorder="1" applyAlignment="1">
      <alignment horizontal="center" vertical="center"/>
    </xf>
    <xf numFmtId="0" fontId="30" fillId="0" borderId="70" xfId="86" applyFont="1" applyBorder="1" applyAlignment="1">
      <alignment vertical="center"/>
    </xf>
    <xf numFmtId="0" fontId="30" fillId="0" borderId="70" xfId="86" applyFont="1" applyBorder="1" applyAlignment="1">
      <alignment horizontal="center" vertical="center"/>
    </xf>
    <xf numFmtId="0" fontId="30" fillId="0" borderId="13" xfId="86" applyFont="1" applyBorder="1" applyAlignment="1">
      <alignment horizontal="center" vertical="center"/>
    </xf>
    <xf numFmtId="0" fontId="30" fillId="0" borderId="73" xfId="86" applyFont="1" applyBorder="1" applyAlignment="1">
      <alignment horizontal="center" vertical="center"/>
    </xf>
    <xf numFmtId="0" fontId="30" fillId="0" borderId="45" xfId="86" applyFont="1" applyBorder="1" applyAlignment="1">
      <alignment vertical="center"/>
    </xf>
    <xf numFmtId="173" fontId="30" fillId="0" borderId="45" xfId="86" applyNumberFormat="1" applyFont="1" applyBorder="1"/>
    <xf numFmtId="37" fontId="30" fillId="0" borderId="17" xfId="86" applyNumberFormat="1" applyFont="1" applyBorder="1" applyAlignment="1">
      <alignment vertical="center"/>
    </xf>
    <xf numFmtId="174" fontId="30" fillId="24" borderId="60" xfId="86" applyNumberFormat="1" applyFont="1" applyFill="1" applyBorder="1"/>
    <xf numFmtId="174" fontId="30" fillId="0" borderId="60" xfId="86" applyNumberFormat="1" applyFont="1" applyBorder="1"/>
    <xf numFmtId="173" fontId="30" fillId="0" borderId="17" xfId="86" applyNumberFormat="1" applyFont="1" applyBorder="1" applyAlignment="1">
      <alignment vertical="center"/>
    </xf>
    <xf numFmtId="0" fontId="30" fillId="0" borderId="60" xfId="86" applyFont="1" applyBorder="1" applyAlignment="1">
      <alignment vertical="center"/>
    </xf>
    <xf numFmtId="173" fontId="30" fillId="0" borderId="60" xfId="86" applyNumberFormat="1" applyFont="1" applyBorder="1" applyAlignment="1">
      <alignment vertical="center"/>
    </xf>
    <xf numFmtId="173" fontId="30" fillId="0" borderId="18" xfId="86" applyNumberFormat="1" applyFont="1" applyBorder="1" applyAlignment="1">
      <alignment vertical="center"/>
    </xf>
    <xf numFmtId="173" fontId="30" fillId="0" borderId="33" xfId="86" applyNumberFormat="1" applyFont="1" applyBorder="1" applyAlignment="1">
      <alignment vertical="center"/>
    </xf>
    <xf numFmtId="173" fontId="30" fillId="0" borderId="0" xfId="86" applyNumberFormat="1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>
      <alignment horizontal="right" vertical="center"/>
    </xf>
    <xf numFmtId="37" fontId="29" fillId="0" borderId="0" xfId="0" applyNumberFormat="1" applyFont="1" applyFill="1" applyBorder="1" applyAlignment="1">
      <alignment vertical="center"/>
    </xf>
    <xf numFmtId="0" fontId="56" fillId="0" borderId="0" xfId="0" applyFont="1" applyBorder="1" applyAlignment="1" applyProtection="1">
      <alignment horizontal="center" vertical="center"/>
    </xf>
    <xf numFmtId="0" fontId="30" fillId="0" borderId="19" xfId="86" applyFont="1" applyBorder="1" applyAlignment="1">
      <alignment vertical="center"/>
    </xf>
    <xf numFmtId="173" fontId="30" fillId="0" borderId="19" xfId="86" applyNumberFormat="1" applyFont="1" applyBorder="1" applyAlignment="1">
      <alignment vertical="center"/>
    </xf>
    <xf numFmtId="37" fontId="30" fillId="0" borderId="20" xfId="86" applyNumberFormat="1" applyFont="1" applyBorder="1" applyAlignment="1">
      <alignment vertical="center"/>
    </xf>
    <xf numFmtId="0" fontId="5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77" xfId="0" applyFont="1" applyBorder="1" applyAlignment="1">
      <alignment vertical="center"/>
    </xf>
    <xf numFmtId="0" fontId="50" fillId="0" borderId="78" xfId="0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vertical="center"/>
    </xf>
    <xf numFmtId="0" fontId="50" fillId="0" borderId="7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9" fillId="0" borderId="78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57" fillId="0" borderId="0" xfId="0" applyFont="1" applyBorder="1" applyAlignment="1">
      <alignment horizontal="left" vertical="center"/>
    </xf>
    <xf numFmtId="0" fontId="50" fillId="0" borderId="26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50" fillId="0" borderId="55" xfId="0" applyFont="1" applyBorder="1" applyAlignment="1" applyProtection="1">
      <alignment horizontal="center" vertical="center"/>
    </xf>
    <xf numFmtId="0" fontId="50" fillId="0" borderId="87" xfId="0" applyFont="1" applyBorder="1" applyAlignment="1" applyProtection="1">
      <alignment horizontal="center" vertical="center"/>
    </xf>
    <xf numFmtId="0" fontId="50" fillId="0" borderId="85" xfId="0" applyFont="1" applyBorder="1" applyAlignment="1" applyProtection="1">
      <alignment horizontal="center" vertical="center"/>
    </xf>
    <xf numFmtId="0" fontId="50" fillId="0" borderId="24" xfId="0" applyFont="1" applyBorder="1" applyAlignment="1" applyProtection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50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175" fontId="28" fillId="0" borderId="0" xfId="0" applyNumberFormat="1" applyFont="1" applyAlignment="1">
      <alignment horizontal="right" vertical="center"/>
    </xf>
    <xf numFmtId="175" fontId="49" fillId="22" borderId="85" xfId="0" applyNumberFormat="1" applyFont="1" applyFill="1" applyBorder="1" applyAlignment="1" applyProtection="1">
      <alignment horizontal="right"/>
      <protection locked="0"/>
    </xf>
    <xf numFmtId="175" fontId="49" fillId="22" borderId="38" xfId="0" applyNumberFormat="1" applyFont="1" applyFill="1" applyBorder="1" applyAlignment="1" applyProtection="1">
      <alignment horizontal="right"/>
      <protection locked="0"/>
    </xf>
    <xf numFmtId="175" fontId="49" fillId="22" borderId="58" xfId="0" applyNumberFormat="1" applyFont="1" applyFill="1" applyBorder="1" applyAlignment="1" applyProtection="1">
      <alignment horizontal="right"/>
      <protection locked="0"/>
    </xf>
    <xf numFmtId="175" fontId="49" fillId="22" borderId="18" xfId="0" applyNumberFormat="1" applyFont="1" applyFill="1" applyBorder="1" applyAlignment="1" applyProtection="1">
      <alignment horizontal="right"/>
      <protection locked="0"/>
    </xf>
    <xf numFmtId="175" fontId="28" fillId="29" borderId="75" xfId="0" applyNumberFormat="1" applyFont="1" applyFill="1" applyBorder="1" applyAlignment="1">
      <alignment horizontal="right"/>
    </xf>
    <xf numFmtId="175" fontId="49" fillId="22" borderId="7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/>
    </xf>
    <xf numFmtId="175" fontId="49" fillId="22" borderId="7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 wrapText="1"/>
    </xf>
    <xf numFmtId="175" fontId="49" fillId="22" borderId="46" xfId="0" applyNumberFormat="1" applyFont="1" applyFill="1" applyBorder="1" applyAlignment="1" applyProtection="1">
      <alignment horizontal="right"/>
      <protection locked="0"/>
    </xf>
    <xf numFmtId="175" fontId="49" fillId="22" borderId="10" xfId="0" applyNumberFormat="1" applyFont="1" applyFill="1" applyBorder="1" applyAlignment="1" applyProtection="1">
      <alignment horizontal="right"/>
      <protection locked="0"/>
    </xf>
    <xf numFmtId="175" fontId="28" fillId="29" borderId="38" xfId="0" applyNumberFormat="1" applyFont="1" applyFill="1" applyBorder="1" applyAlignment="1">
      <alignment horizontal="right"/>
    </xf>
    <xf numFmtId="175" fontId="49" fillId="22" borderId="68" xfId="0" applyNumberFormat="1" applyFont="1" applyFill="1" applyBorder="1" applyAlignment="1" applyProtection="1">
      <alignment horizontal="right"/>
      <protection locked="0"/>
    </xf>
    <xf numFmtId="175" fontId="49" fillId="22" borderId="13" xfId="0" applyNumberFormat="1" applyFont="1" applyFill="1" applyBorder="1" applyAlignment="1" applyProtection="1">
      <alignment horizontal="right"/>
      <protection locked="0"/>
    </xf>
    <xf numFmtId="175" fontId="28" fillId="29" borderId="73" xfId="0" applyNumberFormat="1" applyFont="1" applyFill="1" applyBorder="1" applyAlignment="1">
      <alignment horizontal="right"/>
    </xf>
    <xf numFmtId="175" fontId="49" fillId="22" borderId="73" xfId="0" applyNumberFormat="1" applyFont="1" applyFill="1" applyBorder="1" applyAlignment="1" applyProtection="1">
      <alignment horizontal="right"/>
      <protection locked="0"/>
    </xf>
    <xf numFmtId="175" fontId="49" fillId="22" borderId="55" xfId="0" applyNumberFormat="1" applyFont="1" applyFill="1" applyBorder="1" applyAlignment="1" applyProtection="1">
      <alignment horizontal="right"/>
      <protection locked="0"/>
    </xf>
    <xf numFmtId="175" fontId="49" fillId="22" borderId="87" xfId="0" applyNumberFormat="1" applyFont="1" applyFill="1" applyBorder="1" applyAlignment="1" applyProtection="1">
      <alignment horizontal="right"/>
      <protection locked="0"/>
    </xf>
    <xf numFmtId="175" fontId="28" fillId="29" borderId="85" xfId="0" applyNumberFormat="1" applyFont="1" applyFill="1" applyBorder="1" applyAlignment="1">
      <alignment horizontal="right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Border="1" applyAlignment="1" applyProtection="1">
      <alignment horizontal="left" vertical="center" wrapText="1"/>
    </xf>
    <xf numFmtId="175" fontId="49" fillId="22" borderId="36" xfId="0" applyNumberFormat="1" applyFont="1" applyFill="1" applyBorder="1" applyAlignment="1" applyProtection="1">
      <alignment horizontal="right"/>
      <protection locked="0"/>
    </xf>
    <xf numFmtId="175" fontId="49" fillId="22" borderId="37" xfId="0" applyNumberFormat="1" applyFont="1" applyFill="1" applyBorder="1" applyAlignment="1" applyProtection="1">
      <alignment horizontal="right"/>
      <protection locked="0"/>
    </xf>
    <xf numFmtId="175" fontId="28" fillId="29" borderId="76" xfId="0" applyNumberFormat="1" applyFont="1" applyFill="1" applyBorder="1" applyAlignment="1">
      <alignment horizontal="right"/>
    </xf>
    <xf numFmtId="175" fontId="49" fillId="22" borderId="57" xfId="0" applyNumberFormat="1" applyFont="1" applyFill="1" applyBorder="1" applyAlignment="1" applyProtection="1">
      <alignment horizontal="right"/>
      <protection locked="0"/>
    </xf>
    <xf numFmtId="175" fontId="49" fillId="22" borderId="55" xfId="0" applyNumberFormat="1" applyFont="1" applyFill="1" applyBorder="1" applyAlignment="1" applyProtection="1">
      <alignment horizontal="right" vertical="center"/>
      <protection locked="0"/>
    </xf>
    <xf numFmtId="175" fontId="28" fillId="29" borderId="85" xfId="0" applyNumberFormat="1" applyFont="1" applyFill="1" applyBorder="1" applyAlignment="1">
      <alignment horizontal="right" vertical="center"/>
    </xf>
    <xf numFmtId="175" fontId="49" fillId="22" borderId="85" xfId="0" applyNumberFormat="1" applyFont="1" applyFill="1" applyBorder="1" applyAlignment="1" applyProtection="1">
      <alignment horizontal="right" vertical="center"/>
      <protection locked="0"/>
    </xf>
    <xf numFmtId="0" fontId="28" fillId="0" borderId="61" xfId="0" applyFont="1" applyFill="1" applyBorder="1" applyAlignment="1" applyProtection="1">
      <alignment horizontal="left" vertical="center"/>
    </xf>
    <xf numFmtId="175" fontId="49" fillId="22" borderId="61" xfId="0" applyNumberFormat="1" applyFont="1" applyFill="1" applyBorder="1" applyAlignment="1" applyProtection="1">
      <alignment horizontal="right"/>
      <protection locked="0"/>
    </xf>
    <xf numFmtId="175" fontId="49" fillId="22" borderId="46" xfId="0" applyNumberFormat="1" applyFont="1" applyFill="1" applyBorder="1" applyAlignment="1" applyProtection="1">
      <alignment horizontal="right" vertical="center"/>
      <protection locked="0"/>
    </xf>
    <xf numFmtId="175" fontId="28" fillId="29" borderId="38" xfId="0" applyNumberFormat="1" applyFont="1" applyFill="1" applyBorder="1" applyAlignment="1">
      <alignment horizontal="right" vertical="center"/>
    </xf>
    <xf numFmtId="175" fontId="49" fillId="22" borderId="38" xfId="0" applyNumberFormat="1" applyFont="1" applyFill="1" applyBorder="1" applyAlignment="1" applyProtection="1">
      <alignment horizontal="right" vertical="center"/>
      <protection locked="0"/>
    </xf>
    <xf numFmtId="175" fontId="49" fillId="22" borderId="69" xfId="0" applyNumberFormat="1" applyFont="1" applyFill="1" applyBorder="1" applyAlignment="1" applyProtection="1">
      <alignment horizontal="right"/>
      <protection locked="0"/>
    </xf>
    <xf numFmtId="175" fontId="49" fillId="22" borderId="36" xfId="0" applyNumberFormat="1" applyFont="1" applyFill="1" applyBorder="1" applyAlignment="1" applyProtection="1">
      <alignment horizontal="right" vertical="center"/>
      <protection locked="0"/>
    </xf>
    <xf numFmtId="175" fontId="28" fillId="29" borderId="76" xfId="0" applyNumberFormat="1" applyFont="1" applyFill="1" applyBorder="1" applyAlignment="1">
      <alignment horizontal="right" vertical="center"/>
    </xf>
    <xf numFmtId="175" fontId="49" fillId="22" borderId="76" xfId="0" applyNumberFormat="1" applyFont="1" applyFill="1" applyBorder="1" applyAlignment="1" applyProtection="1">
      <alignment horizontal="right" vertical="center"/>
      <protection locked="0"/>
    </xf>
    <xf numFmtId="175" fontId="49" fillId="22" borderId="84" xfId="0" applyNumberFormat="1" applyFont="1" applyFill="1" applyBorder="1" applyAlignment="1" applyProtection="1">
      <alignment horizontal="right"/>
      <protection locked="0"/>
    </xf>
    <xf numFmtId="175" fontId="49" fillId="22" borderId="25" xfId="0" applyNumberFormat="1" applyFont="1" applyFill="1" applyBorder="1" applyAlignment="1" applyProtection="1">
      <alignment horizontal="right"/>
      <protection locked="0"/>
    </xf>
    <xf numFmtId="175" fontId="28" fillId="29" borderId="78" xfId="0" applyNumberFormat="1" applyFont="1" applyFill="1" applyBorder="1" applyAlignment="1">
      <alignment horizontal="right"/>
    </xf>
    <xf numFmtId="175" fontId="49" fillId="22" borderId="78" xfId="0" applyNumberFormat="1" applyFont="1" applyFill="1" applyBorder="1" applyAlignment="1" applyProtection="1">
      <alignment horizontal="right"/>
      <protection locked="0"/>
    </xf>
    <xf numFmtId="175" fontId="49" fillId="22" borderId="84" xfId="0" applyNumberFormat="1" applyFont="1" applyFill="1" applyBorder="1" applyAlignment="1" applyProtection="1">
      <alignment horizontal="right" vertical="center"/>
      <protection locked="0"/>
    </xf>
    <xf numFmtId="175" fontId="28" fillId="29" borderId="78" xfId="0" applyNumberFormat="1" applyFont="1" applyFill="1" applyBorder="1" applyAlignment="1">
      <alignment horizontal="right" vertical="center"/>
    </xf>
    <xf numFmtId="175" fontId="49" fillId="22" borderId="78" xfId="0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 applyBorder="1" applyAlignment="1" applyProtection="1">
      <alignment horizontal="left" vertical="center" wrapText="1"/>
    </xf>
    <xf numFmtId="175" fontId="49" fillId="23" borderId="30" xfId="0" applyNumberFormat="1" applyFont="1" applyFill="1" applyBorder="1" applyAlignment="1">
      <alignment horizontal="right"/>
    </xf>
    <xf numFmtId="175" fontId="49" fillId="23" borderId="31" xfId="0" applyNumberFormat="1" applyFont="1" applyFill="1" applyBorder="1" applyAlignment="1">
      <alignment horizontal="right"/>
    </xf>
    <xf numFmtId="175" fontId="28" fillId="23" borderId="33" xfId="0" applyNumberFormat="1" applyFont="1" applyFill="1" applyBorder="1" applyAlignment="1">
      <alignment horizontal="right"/>
    </xf>
    <xf numFmtId="175" fontId="28" fillId="0" borderId="0" xfId="0" applyNumberFormat="1" applyFont="1" applyFill="1" applyAlignment="1">
      <alignment horizontal="right" vertical="center"/>
    </xf>
    <xf numFmtId="175" fontId="49" fillId="22" borderId="33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Alignment="1" applyProtection="1">
      <alignment vertical="center"/>
    </xf>
    <xf numFmtId="175" fontId="49" fillId="23" borderId="77" xfId="0" applyNumberFormat="1" applyFont="1" applyFill="1" applyBorder="1" applyAlignment="1">
      <alignment horizontal="right" vertical="center"/>
    </xf>
    <xf numFmtId="175" fontId="49" fillId="23" borderId="25" xfId="0" applyNumberFormat="1" applyFont="1" applyFill="1" applyBorder="1" applyAlignment="1">
      <alignment horizontal="right" vertical="center"/>
    </xf>
    <xf numFmtId="175" fontId="28" fillId="23" borderId="33" xfId="0" applyNumberFormat="1" applyFont="1" applyFill="1" applyBorder="1" applyAlignment="1">
      <alignment horizontal="right" vertical="center"/>
    </xf>
    <xf numFmtId="175" fontId="49" fillId="23" borderId="78" xfId="0" applyNumberFormat="1" applyFont="1" applyFill="1" applyBorder="1" applyAlignment="1">
      <alignment horizontal="right" vertical="center"/>
    </xf>
    <xf numFmtId="175" fontId="49" fillId="22" borderId="83" xfId="0" applyNumberFormat="1" applyFont="1" applyFill="1" applyBorder="1" applyAlignment="1" applyProtection="1">
      <alignment horizontal="right"/>
      <protection locked="0"/>
    </xf>
    <xf numFmtId="175" fontId="49" fillId="23" borderId="78" xfId="0" applyNumberFormat="1" applyFont="1" applyFill="1" applyBorder="1" applyAlignment="1" applyProtection="1">
      <alignment horizontal="right"/>
    </xf>
    <xf numFmtId="175" fontId="28" fillId="23" borderId="78" xfId="0" applyNumberFormat="1" applyFont="1" applyFill="1" applyBorder="1" applyAlignment="1" applyProtection="1">
      <alignment horizontal="right"/>
    </xf>
    <xf numFmtId="175" fontId="49" fillId="23" borderId="30" xfId="0" applyNumberFormat="1" applyFont="1" applyFill="1" applyBorder="1" applyAlignment="1">
      <alignment horizontal="right" vertical="center"/>
    </xf>
    <xf numFmtId="175" fontId="49" fillId="23" borderId="31" xfId="0" applyNumberFormat="1" applyFont="1" applyFill="1" applyBorder="1" applyAlignment="1">
      <alignment horizontal="right" vertical="center"/>
    </xf>
    <xf numFmtId="175" fontId="49" fillId="23" borderId="33" xfId="0" applyNumberFormat="1" applyFont="1" applyFill="1" applyBorder="1" applyAlignment="1">
      <alignment horizontal="right" vertical="center"/>
    </xf>
    <xf numFmtId="175" fontId="49" fillId="22" borderId="32" xfId="0" applyNumberFormat="1" applyFont="1" applyFill="1" applyBorder="1" applyAlignment="1" applyProtection="1">
      <alignment horizontal="right"/>
      <protection locked="0"/>
    </xf>
    <xf numFmtId="0" fontId="50" fillId="0" borderId="0" xfId="0" applyFont="1" applyBorder="1" applyAlignment="1">
      <alignment vertical="center"/>
    </xf>
    <xf numFmtId="175" fontId="50" fillId="29" borderId="33" xfId="0" applyNumberFormat="1" applyFont="1" applyFill="1" applyBorder="1" applyAlignment="1">
      <alignment horizontal="right"/>
    </xf>
    <xf numFmtId="175" fontId="50" fillId="0" borderId="0" xfId="0" applyNumberFormat="1" applyFont="1" applyAlignment="1">
      <alignment horizontal="right" vertical="center"/>
    </xf>
    <xf numFmtId="0" fontId="50" fillId="0" borderId="0" xfId="0" applyFont="1" applyAlignment="1" applyProtection="1">
      <alignment vertical="center"/>
    </xf>
    <xf numFmtId="175" fontId="50" fillId="29" borderId="33" xfId="0" applyNumberFormat="1" applyFont="1" applyFill="1" applyBorder="1" applyAlignment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58" fillId="0" borderId="0" xfId="0" applyFont="1" applyAlignment="1" applyProtection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/>
    </xf>
    <xf numFmtId="0" fontId="50" fillId="0" borderId="7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50" fillId="0" borderId="78" xfId="0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/>
    </xf>
    <xf numFmtId="175" fontId="49" fillId="22" borderId="6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Border="1" applyAlignment="1"/>
    <xf numFmtId="175" fontId="49" fillId="22" borderId="67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175" fontId="49" fillId="22" borderId="40" xfId="0" applyNumberFormat="1" applyFont="1" applyFill="1" applyBorder="1" applyAlignment="1" applyProtection="1">
      <alignment horizontal="right"/>
      <protection locked="0"/>
    </xf>
    <xf numFmtId="0" fontId="50" fillId="0" borderId="0" xfId="0" applyFont="1" applyBorder="1" applyAlignment="1" applyProtection="1">
      <alignment vertical="center" wrapText="1"/>
    </xf>
    <xf numFmtId="0" fontId="50" fillId="0" borderId="77" xfId="0" applyFont="1" applyBorder="1" applyAlignment="1" applyProtection="1">
      <alignment vertical="center" wrapText="1"/>
    </xf>
    <xf numFmtId="0" fontId="50" fillId="0" borderId="25" xfId="0" applyFont="1" applyBorder="1" applyAlignment="1" applyProtection="1">
      <alignment vertical="center" wrapText="1"/>
    </xf>
    <xf numFmtId="0" fontId="50" fillId="0" borderId="26" xfId="0" applyFont="1" applyBorder="1" applyAlignment="1" applyProtection="1">
      <alignment vertical="center" wrapText="1"/>
    </xf>
    <xf numFmtId="175" fontId="50" fillId="29" borderId="26" xfId="0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0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8" fillId="0" borderId="0" xfId="0" applyFont="1" applyAlignment="1" applyProtection="1"/>
    <xf numFmtId="0" fontId="41" fillId="11" borderId="7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centerContinuous" vertical="center"/>
    </xf>
    <xf numFmtId="0" fontId="28" fillId="11" borderId="26" xfId="0" applyFont="1" applyFill="1" applyBorder="1" applyAlignment="1">
      <alignment horizontal="centerContinuous" vertical="center"/>
    </xf>
    <xf numFmtId="0" fontId="28" fillId="11" borderId="86" xfId="0" applyFont="1" applyFill="1" applyBorder="1" applyAlignment="1" applyProtection="1">
      <alignment horizontal="center" textRotation="90" wrapText="1"/>
    </xf>
    <xf numFmtId="0" fontId="28" fillId="11" borderId="42" xfId="0" applyFont="1" applyFill="1" applyBorder="1" applyAlignment="1" applyProtection="1">
      <alignment horizontal="center" textRotation="90" wrapText="1"/>
    </xf>
    <xf numFmtId="0" fontId="28" fillId="11" borderId="82" xfId="0" applyFont="1" applyFill="1" applyBorder="1" applyAlignment="1" applyProtection="1">
      <alignment horizontal="center" textRotation="90" wrapText="1"/>
    </xf>
    <xf numFmtId="0" fontId="28" fillId="11" borderId="83" xfId="0" applyFont="1" applyFill="1" applyBorder="1" applyAlignment="1" applyProtection="1">
      <alignment horizontal="center" textRotation="90" wrapText="1"/>
    </xf>
    <xf numFmtId="0" fontId="50" fillId="11" borderId="78" xfId="0" applyFont="1" applyFill="1" applyBorder="1" applyAlignment="1" applyProtection="1">
      <alignment horizontal="center" textRotation="90"/>
    </xf>
    <xf numFmtId="0" fontId="50" fillId="0" borderId="86" xfId="0" applyFont="1" applyBorder="1" applyAlignment="1">
      <alignment horizontal="center"/>
    </xf>
    <xf numFmtId="0" fontId="50" fillId="0" borderId="42" xfId="0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23" borderId="17" xfId="0" applyFont="1" applyFill="1" applyBorder="1" applyAlignment="1">
      <alignment horizontal="center"/>
    </xf>
    <xf numFmtId="0" fontId="50" fillId="23" borderId="45" xfId="0" applyFont="1" applyFill="1" applyBorder="1" applyAlignment="1">
      <alignment horizontal="center"/>
    </xf>
    <xf numFmtId="0" fontId="50" fillId="23" borderId="0" xfId="0" applyFont="1" applyFill="1" applyBorder="1" applyAlignment="1">
      <alignment horizontal="center"/>
    </xf>
    <xf numFmtId="0" fontId="28" fillId="23" borderId="38" xfId="0" applyFont="1" applyFill="1" applyBorder="1" applyAlignment="1"/>
    <xf numFmtId="175" fontId="49" fillId="22" borderId="47" xfId="0" applyNumberFormat="1" applyFont="1" applyFill="1" applyBorder="1" applyAlignment="1" applyProtection="1">
      <protection locked="0"/>
    </xf>
    <xf numFmtId="175" fontId="49" fillId="23" borderId="47" xfId="0" applyNumberFormat="1" applyFont="1" applyFill="1" applyBorder="1" applyAlignment="1" applyProtection="1"/>
    <xf numFmtId="175" fontId="49" fillId="23" borderId="10" xfId="0" applyNumberFormat="1" applyFont="1" applyFill="1" applyBorder="1" applyAlignment="1" applyProtection="1"/>
    <xf numFmtId="175" fontId="49" fillId="23" borderId="10" xfId="0" applyNumberFormat="1" applyFont="1" applyFill="1" applyBorder="1" applyAlignment="1"/>
    <xf numFmtId="175" fontId="28" fillId="29" borderId="38" xfId="0" applyNumberFormat="1" applyFont="1" applyFill="1" applyBorder="1" applyAlignment="1"/>
    <xf numFmtId="175" fontId="50" fillId="23" borderId="17" xfId="0" applyNumberFormat="1" applyFont="1" applyFill="1" applyBorder="1" applyAlignment="1">
      <alignment horizontal="center"/>
    </xf>
    <xf numFmtId="175" fontId="50" fillId="23" borderId="45" xfId="0" applyNumberFormat="1" applyFont="1" applyFill="1" applyBorder="1" applyAlignment="1">
      <alignment horizontal="center"/>
    </xf>
    <xf numFmtId="175" fontId="28" fillId="23" borderId="38" xfId="0" applyNumberFormat="1" applyFont="1" applyFill="1" applyBorder="1" applyAlignment="1"/>
    <xf numFmtId="175" fontId="49" fillId="23" borderId="12" xfId="0" applyNumberFormat="1" applyFont="1" applyFill="1" applyBorder="1" applyAlignment="1" applyProtection="1"/>
    <xf numFmtId="175" fontId="49" fillId="23" borderId="12" xfId="0" applyNumberFormat="1" applyFont="1" applyFill="1" applyBorder="1" applyAlignment="1"/>
    <xf numFmtId="175" fontId="49" fillId="23" borderId="47" xfId="0" applyNumberFormat="1" applyFont="1" applyFill="1" applyBorder="1" applyAlignment="1"/>
    <xf numFmtId="175" fontId="50" fillId="29" borderId="12" xfId="0" applyNumberFormat="1" applyFont="1" applyFill="1" applyBorder="1" applyAlignment="1"/>
    <xf numFmtId="175" fontId="50" fillId="29" borderId="11" xfId="0" applyNumberFormat="1" applyFont="1" applyFill="1" applyBorder="1" applyAlignment="1"/>
    <xf numFmtId="175" fontId="50" fillId="29" borderId="38" xfId="0" applyNumberFormat="1" applyFont="1" applyFill="1" applyBorder="1" applyAlignment="1"/>
    <xf numFmtId="0" fontId="58" fillId="0" borderId="0" xfId="0" quotePrefix="1" applyFont="1" applyAlignment="1" applyProtection="1"/>
    <xf numFmtId="175" fontId="50" fillId="29" borderId="47" xfId="0" applyNumberFormat="1" applyFont="1" applyFill="1" applyBorder="1" applyAlignment="1"/>
    <xf numFmtId="175" fontId="50" fillId="29" borderId="10" xfId="0" applyNumberFormat="1" applyFont="1" applyFill="1" applyBorder="1" applyAlignment="1"/>
    <xf numFmtId="0" fontId="28" fillId="0" borderId="0" xfId="0" quotePrefix="1" applyFont="1" applyAlignment="1" applyProtection="1"/>
    <xf numFmtId="175" fontId="49" fillId="23" borderId="70" xfId="0" applyNumberFormat="1" applyFont="1" applyFill="1" applyBorder="1" applyAlignment="1"/>
    <xf numFmtId="175" fontId="28" fillId="23" borderId="70" xfId="0" applyNumberFormat="1" applyFont="1" applyFill="1" applyBorder="1" applyAlignment="1"/>
    <xf numFmtId="175" fontId="50" fillId="29" borderId="73" xfId="0" applyNumberFormat="1" applyFont="1" applyFill="1" applyBorder="1" applyAlignment="1"/>
    <xf numFmtId="0" fontId="58" fillId="0" borderId="0" xfId="0" applyFont="1" applyAlignment="1" applyProtection="1"/>
    <xf numFmtId="175" fontId="50" fillId="29" borderId="81" xfId="0" applyNumberFormat="1" applyFont="1" applyFill="1" applyBorder="1" applyAlignment="1"/>
    <xf numFmtId="175" fontId="50" fillId="29" borderId="82" xfId="0" applyNumberFormat="1" applyFont="1" applyFill="1" applyBorder="1" applyAlignment="1"/>
    <xf numFmtId="175" fontId="50" fillId="29" borderId="88" xfId="0" applyNumberFormat="1" applyFont="1" applyFill="1" applyBorder="1" applyAlignment="1"/>
    <xf numFmtId="175" fontId="50" fillId="29" borderId="78" xfId="0" applyNumberFormat="1" applyFont="1" applyFill="1" applyBorder="1" applyAlignment="1"/>
    <xf numFmtId="0" fontId="49" fillId="0" borderId="0" xfId="0" applyFont="1" applyFill="1" applyBorder="1" applyAlignment="1"/>
    <xf numFmtId="0" fontId="28" fillId="0" borderId="0" xfId="0" applyFont="1" applyFill="1" applyBorder="1" applyAlignment="1"/>
    <xf numFmtId="0" fontId="58" fillId="0" borderId="0" xfId="0" applyFont="1" applyBorder="1" applyAlignment="1">
      <alignment horizontal="center"/>
    </xf>
    <xf numFmtId="0" fontId="41" fillId="27" borderId="77" xfId="0" applyFont="1" applyFill="1" applyBorder="1" applyAlignment="1">
      <alignment horizontal="left" vertical="center"/>
    </xf>
    <xf numFmtId="0" fontId="50" fillId="27" borderId="25" xfId="0" applyFont="1" applyFill="1" applyBorder="1" applyAlignment="1">
      <alignment horizontal="left" vertical="center"/>
    </xf>
    <xf numFmtId="0" fontId="50" fillId="27" borderId="25" xfId="0" applyFont="1" applyFill="1" applyBorder="1" applyAlignment="1" applyProtection="1">
      <alignment vertical="center" wrapText="1"/>
    </xf>
    <xf numFmtId="0" fontId="50" fillId="27" borderId="26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/>
    <xf numFmtId="0" fontId="50" fillId="27" borderId="29" xfId="0" applyFont="1" applyFill="1" applyBorder="1" applyAlignment="1" applyProtection="1">
      <alignment horizontal="center" vertical="center" wrapText="1"/>
    </xf>
    <xf numFmtId="0" fontId="50" fillId="27" borderId="24" xfId="0" applyFont="1" applyFill="1" applyBorder="1" applyAlignment="1" applyProtection="1">
      <alignment horizontal="center" vertical="center" wrapText="1"/>
    </xf>
    <xf numFmtId="0" fontId="50" fillId="27" borderId="24" xfId="0" applyFont="1" applyFill="1" applyBorder="1" applyAlignment="1" applyProtection="1">
      <alignment horizontal="center" wrapText="1"/>
    </xf>
    <xf numFmtId="0" fontId="50" fillId="0" borderId="78" xfId="0" applyFont="1" applyBorder="1" applyAlignment="1">
      <alignment horizontal="center"/>
    </xf>
    <xf numFmtId="0" fontId="28" fillId="0" borderId="87" xfId="0" applyFont="1" applyFill="1" applyBorder="1" applyAlignment="1" applyProtection="1"/>
    <xf numFmtId="175" fontId="49" fillId="22" borderId="85" xfId="0" applyNumberFormat="1" applyFont="1" applyFill="1" applyBorder="1" applyAlignment="1" applyProtection="1">
      <protection locked="0"/>
    </xf>
    <xf numFmtId="175" fontId="28" fillId="29" borderId="75" xfId="0" applyNumberFormat="1" applyFont="1" applyFill="1" applyBorder="1" applyAlignment="1"/>
    <xf numFmtId="0" fontId="28" fillId="0" borderId="37" xfId="0" applyFont="1" applyFill="1" applyBorder="1" applyAlignment="1" applyProtection="1"/>
    <xf numFmtId="175" fontId="49" fillId="22" borderId="33" xfId="0" applyNumberFormat="1" applyFont="1" applyFill="1" applyBorder="1" applyAlignment="1" applyProtection="1">
      <protection locked="0"/>
    </xf>
    <xf numFmtId="175" fontId="28" fillId="29" borderId="76" xfId="0" applyNumberFormat="1" applyFont="1" applyFill="1" applyBorder="1" applyAlignment="1"/>
    <xf numFmtId="0" fontId="28" fillId="0" borderId="10" xfId="0" applyFont="1" applyFill="1" applyBorder="1" applyAlignment="1" applyProtection="1"/>
    <xf numFmtId="175" fontId="49" fillId="22" borderId="38" xfId="0" applyNumberFormat="1" applyFont="1" applyFill="1" applyBorder="1" applyAlignment="1" applyProtection="1">
      <protection locked="0"/>
    </xf>
    <xf numFmtId="0" fontId="28" fillId="0" borderId="37" xfId="0" applyFont="1" applyBorder="1" applyAlignment="1" applyProtection="1"/>
    <xf numFmtId="175" fontId="49" fillId="22" borderId="76" xfId="0" applyNumberFormat="1" applyFont="1" applyFill="1" applyBorder="1" applyAlignment="1" applyProtection="1">
      <protection locked="0"/>
    </xf>
    <xf numFmtId="175" fontId="49" fillId="22" borderId="75" xfId="0" applyNumberFormat="1" applyFont="1" applyFill="1" applyBorder="1" applyAlignment="1" applyProtection="1">
      <protection locked="0"/>
    </xf>
    <xf numFmtId="0" fontId="28" fillId="0" borderId="10" xfId="0" applyFont="1" applyBorder="1" applyAlignment="1" applyProtection="1"/>
    <xf numFmtId="175" fontId="49" fillId="22" borderId="73" xfId="0" applyNumberFormat="1" applyFont="1" applyFill="1" applyBorder="1" applyAlignment="1" applyProtection="1">
      <protection locked="0"/>
    </xf>
    <xf numFmtId="0" fontId="28" fillId="0" borderId="37" xfId="0" applyFont="1" applyBorder="1" applyAlignment="1" applyProtection="1">
      <alignment vertical="center"/>
    </xf>
    <xf numFmtId="0" fontId="28" fillId="0" borderId="87" xfId="0" applyFont="1" applyFill="1" applyBorder="1" applyAlignment="1" applyProtection="1">
      <alignment vertical="center"/>
    </xf>
    <xf numFmtId="0" fontId="28" fillId="0" borderId="10" xfId="0" applyFont="1" applyBorder="1" applyAlignment="1" applyProtection="1">
      <alignment vertical="center"/>
    </xf>
    <xf numFmtId="175" fontId="28" fillId="29" borderId="78" xfId="0" applyNumberFormat="1" applyFont="1" applyFill="1" applyBorder="1" applyAlignment="1"/>
    <xf numFmtId="0" fontId="0" fillId="0" borderId="0" xfId="0" applyAlignment="1"/>
    <xf numFmtId="0" fontId="50" fillId="27" borderId="77" xfId="0" applyFont="1" applyFill="1" applyBorder="1" applyAlignment="1">
      <alignment horizontal="left" vertical="center"/>
    </xf>
    <xf numFmtId="0" fontId="0" fillId="27" borderId="25" xfId="0" applyFill="1" applyBorder="1" applyAlignment="1"/>
    <xf numFmtId="0" fontId="29" fillId="27" borderId="78" xfId="0" applyFont="1" applyFill="1" applyBorder="1" applyAlignment="1" applyProtection="1">
      <alignment horizontal="center" wrapText="1"/>
    </xf>
    <xf numFmtId="175" fontId="50" fillId="29" borderId="85" xfId="0" applyNumberFormat="1" applyFont="1" applyFill="1" applyBorder="1" applyAlignment="1"/>
    <xf numFmtId="175" fontId="50" fillId="29" borderId="76" xfId="0" applyNumberFormat="1" applyFont="1" applyFill="1" applyBorder="1" applyAlignment="1"/>
    <xf numFmtId="175" fontId="0" fillId="29" borderId="78" xfId="0" applyNumberFormat="1" applyFill="1" applyBorder="1" applyAlignment="1"/>
    <xf numFmtId="0" fontId="50" fillId="0" borderId="0" xfId="0" applyFont="1" applyBorder="1" applyAlignment="1" applyProtection="1"/>
    <xf numFmtId="0" fontId="50" fillId="0" borderId="0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59" fillId="0" borderId="0" xfId="0" applyFont="1" applyFill="1" applyBorder="1" applyAlignment="1"/>
    <xf numFmtId="175" fontId="50" fillId="0" borderId="78" xfId="0" applyNumberFormat="1" applyFont="1" applyFill="1" applyBorder="1" applyAlignment="1">
      <alignment vertical="center"/>
    </xf>
    <xf numFmtId="175" fontId="28" fillId="0" borderId="38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/>
    <xf numFmtId="0" fontId="41" fillId="30" borderId="21" xfId="0" applyFont="1" applyFill="1" applyBorder="1" applyAlignment="1">
      <alignment vertical="center"/>
    </xf>
    <xf numFmtId="0" fontId="50" fillId="30" borderId="22" xfId="0" applyFont="1" applyFill="1" applyBorder="1" applyAlignment="1">
      <alignment vertical="center"/>
    </xf>
    <xf numFmtId="0" fontId="50" fillId="30" borderId="25" xfId="0" applyFont="1" applyFill="1" applyBorder="1" applyAlignment="1" applyProtection="1">
      <alignment horizontal="center" wrapText="1"/>
    </xf>
    <xf numFmtId="0" fontId="50" fillId="30" borderId="26" xfId="0" applyFont="1" applyFill="1" applyBorder="1" applyAlignment="1" applyProtection="1">
      <alignment horizontal="center" wrapText="1"/>
    </xf>
    <xf numFmtId="0" fontId="50" fillId="30" borderId="32" xfId="0" applyFont="1" applyFill="1" applyBorder="1" applyAlignment="1" applyProtection="1">
      <alignment horizontal="center" vertical="center" wrapText="1"/>
    </xf>
    <xf numFmtId="0" fontId="50" fillId="30" borderId="33" xfId="0" applyFont="1" applyFill="1" applyBorder="1" applyAlignment="1" applyProtection="1">
      <alignment horizontal="center" vertical="center" wrapText="1"/>
    </xf>
    <xf numFmtId="0" fontId="50" fillId="0" borderId="26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7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9" fillId="0" borderId="23" xfId="0" applyFont="1" applyFill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vertical="center"/>
    </xf>
    <xf numFmtId="175" fontId="31" fillId="22" borderId="29" xfId="0" applyNumberFormat="1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</xf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/>
    </xf>
    <xf numFmtId="175" fontId="31" fillId="22" borderId="75" xfId="0" applyNumberFormat="1" applyFont="1" applyFill="1" applyBorder="1" applyAlignment="1" applyProtection="1">
      <alignment vertical="center"/>
      <protection locked="0"/>
    </xf>
    <xf numFmtId="175" fontId="28" fillId="0" borderId="28" xfId="0" applyNumberFormat="1" applyFont="1" applyFill="1" applyBorder="1" applyAlignment="1" applyProtection="1"/>
    <xf numFmtId="175" fontId="30" fillId="0" borderId="29" xfId="0" applyNumberFormat="1" applyFont="1" applyFill="1" applyBorder="1" applyAlignment="1" applyProtection="1">
      <alignment vertical="center"/>
    </xf>
    <xf numFmtId="175" fontId="49" fillId="0" borderId="28" xfId="0" applyNumberFormat="1" applyFont="1" applyFill="1" applyBorder="1" applyAlignment="1" applyProtection="1"/>
    <xf numFmtId="0" fontId="30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75" fontId="30" fillId="0" borderId="78" xfId="0" applyNumberFormat="1" applyFont="1" applyFill="1" applyBorder="1" applyAlignment="1" applyProtection="1">
      <alignment vertical="center"/>
    </xf>
    <xf numFmtId="175" fontId="50" fillId="29" borderId="89" xfId="0" applyNumberFormat="1" applyFont="1" applyFill="1" applyBorder="1" applyAlignment="1" applyProtection="1"/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30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30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9" fillId="0" borderId="78" xfId="0" applyNumberFormat="1" applyFont="1" applyFill="1" applyBorder="1" applyAlignment="1">
      <alignment horizontal="center" vertical="center"/>
    </xf>
    <xf numFmtId="175" fontId="30" fillId="0" borderId="0" xfId="0" applyNumberFormat="1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/>
    </xf>
    <xf numFmtId="175" fontId="49" fillId="22" borderId="29" xfId="0" applyNumberFormat="1" applyFont="1" applyFill="1" applyBorder="1" applyAlignment="1" applyProtection="1">
      <protection locked="0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175" fontId="50" fillId="29" borderId="90" xfId="0" applyNumberFormat="1" applyFont="1" applyFill="1" applyBorder="1" applyAlignment="1" applyProtection="1">
      <alignment vertical="center"/>
      <protection locked="0"/>
    </xf>
    <xf numFmtId="0" fontId="29" fillId="0" borderId="4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176" fontId="29" fillId="0" borderId="60" xfId="0" applyNumberFormat="1" applyFont="1" applyBorder="1" applyAlignment="1">
      <alignment horizontal="center" vertical="center"/>
    </xf>
    <xf numFmtId="176" fontId="29" fillId="0" borderId="18" xfId="0" applyNumberFormat="1" applyFont="1" applyBorder="1" applyAlignment="1">
      <alignment horizontal="center" vertical="center"/>
    </xf>
    <xf numFmtId="176" fontId="60" fillId="22" borderId="45" xfId="0" applyNumberFormat="1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/>
    <xf numFmtId="175" fontId="49" fillId="22" borderId="16" xfId="0" applyNumberFormat="1" applyFont="1" applyFill="1" applyBorder="1" applyAlignment="1" applyProtection="1">
      <alignment horizontal="right"/>
      <protection locked="0"/>
    </xf>
    <xf numFmtId="175" fontId="28" fillId="29" borderId="45" xfId="85" applyNumberFormat="1" applyFont="1" applyFill="1" applyBorder="1"/>
    <xf numFmtId="176" fontId="61" fillId="22" borderId="70" xfId="0" applyNumberFormat="1" applyFont="1" applyFill="1" applyBorder="1" applyAlignment="1" applyProtection="1">
      <alignment horizontal="left"/>
      <protection locked="0"/>
    </xf>
    <xf numFmtId="176" fontId="61" fillId="22" borderId="45" xfId="0" applyNumberFormat="1" applyFont="1" applyFill="1" applyBorder="1" applyAlignment="1" applyProtection="1">
      <alignment horizontal="left"/>
      <protection locked="0"/>
    </xf>
    <xf numFmtId="175" fontId="31" fillId="22" borderId="16" xfId="0" applyNumberFormat="1" applyFont="1" applyFill="1" applyBorder="1" applyAlignment="1" applyProtection="1">
      <alignment horizontal="right" vertical="center"/>
      <protection locked="0"/>
    </xf>
    <xf numFmtId="175" fontId="30" fillId="29" borderId="45" xfId="85" applyNumberFormat="1" applyFont="1" applyFill="1" applyBorder="1" applyAlignment="1">
      <alignment vertical="center"/>
    </xf>
    <xf numFmtId="176" fontId="61" fillId="22" borderId="45" xfId="0" applyNumberFormat="1" applyFont="1" applyFill="1" applyBorder="1" applyAlignment="1" applyProtection="1">
      <alignment horizontal="left" vertical="center"/>
      <protection locked="0"/>
    </xf>
    <xf numFmtId="176" fontId="61" fillId="22" borderId="60" xfId="0" applyNumberFormat="1" applyFont="1" applyFill="1" applyBorder="1" applyAlignment="1" applyProtection="1">
      <alignment horizontal="left" vertical="center"/>
      <protection locked="0"/>
    </xf>
    <xf numFmtId="175" fontId="29" fillId="29" borderId="38" xfId="0" applyNumberFormat="1" applyFont="1" applyFill="1" applyBorder="1" applyAlignment="1" applyProtection="1">
      <alignment vertical="center"/>
    </xf>
    <xf numFmtId="0" fontId="5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175" fontId="30" fillId="0" borderId="28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175" fontId="30" fillId="0" borderId="78" xfId="0" applyNumberFormat="1" applyFont="1" applyFill="1" applyBorder="1" applyAlignment="1">
      <alignment horizontal="center" vertical="center" wrapText="1"/>
    </xf>
    <xf numFmtId="175" fontId="31" fillId="23" borderId="24" xfId="0" applyNumberFormat="1" applyFont="1" applyFill="1" applyBorder="1" applyAlignment="1" applyProtection="1">
      <alignment vertical="center"/>
    </xf>
    <xf numFmtId="175" fontId="31" fillId="22" borderId="33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right" vertical="center"/>
    </xf>
    <xf numFmtId="175" fontId="29" fillId="29" borderId="90" xfId="0" applyNumberFormat="1" applyFont="1" applyFill="1" applyBorder="1" applyAlignment="1" applyProtection="1">
      <alignment vertical="center"/>
    </xf>
    <xf numFmtId="175" fontId="62" fillId="0" borderId="78" xfId="0" applyNumberFormat="1" applyFont="1" applyFill="1" applyBorder="1" applyAlignment="1">
      <alignment horizontal="center" vertical="center"/>
    </xf>
    <xf numFmtId="175" fontId="62" fillId="0" borderId="78" xfId="0" applyNumberFormat="1" applyFont="1" applyFill="1" applyBorder="1" applyAlignment="1">
      <alignment horizontal="center" textRotation="90" wrapText="1"/>
    </xf>
    <xf numFmtId="175" fontId="30" fillId="29" borderId="24" xfId="0" applyNumberFormat="1" applyFont="1" applyFill="1" applyBorder="1" applyAlignment="1" applyProtection="1">
      <alignment vertical="center"/>
    </xf>
    <xf numFmtId="175" fontId="31" fillId="22" borderId="41" xfId="0" applyNumberFormat="1" applyFont="1" applyFill="1" applyBorder="1" applyAlignment="1" applyProtection="1">
      <alignment vertical="center"/>
      <protection locked="0"/>
    </xf>
    <xf numFmtId="175" fontId="31" fillId="22" borderId="86" xfId="0" applyNumberFormat="1" applyFont="1" applyFill="1" applyBorder="1" applyAlignment="1" applyProtection="1">
      <alignment vertical="center"/>
      <protection locked="0"/>
    </xf>
    <xf numFmtId="175" fontId="31" fillId="22" borderId="51" xfId="0" applyNumberFormat="1" applyFont="1" applyFill="1" applyBorder="1" applyAlignment="1" applyProtection="1">
      <alignment vertical="center"/>
      <protection locked="0"/>
    </xf>
    <xf numFmtId="175" fontId="30" fillId="29" borderId="33" xfId="0" applyNumberFormat="1" applyFont="1" applyFill="1" applyBorder="1" applyAlignment="1" applyProtection="1">
      <alignment vertical="center"/>
    </xf>
    <xf numFmtId="175" fontId="31" fillId="22" borderId="48" xfId="0" applyNumberFormat="1" applyFont="1" applyFill="1" applyBorder="1" applyAlignment="1" applyProtection="1">
      <alignment vertical="center"/>
      <protection locked="0"/>
    </xf>
    <xf numFmtId="175" fontId="31" fillId="22" borderId="74" xfId="0" applyNumberFormat="1" applyFont="1" applyFill="1" applyBorder="1" applyAlignment="1" applyProtection="1">
      <alignment vertical="center"/>
      <protection locked="0"/>
    </xf>
    <xf numFmtId="175" fontId="31" fillId="22" borderId="63" xfId="0" applyNumberFormat="1" applyFont="1" applyFill="1" applyBorder="1" applyAlignment="1" applyProtection="1">
      <alignment vertical="center"/>
      <protection locked="0"/>
    </xf>
    <xf numFmtId="175" fontId="62" fillId="0" borderId="24" xfId="0" applyNumberFormat="1" applyFont="1" applyFill="1" applyBorder="1" applyAlignment="1">
      <alignment horizontal="center" vertical="center"/>
    </xf>
    <xf numFmtId="175" fontId="62" fillId="0" borderId="24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 applyProtection="1">
      <alignment horizontal="left" vertical="center"/>
    </xf>
    <xf numFmtId="175" fontId="28" fillId="29" borderId="29" xfId="0" applyNumberFormat="1" applyFont="1" applyFill="1" applyBorder="1" applyAlignment="1" applyProtection="1"/>
    <xf numFmtId="175" fontId="49" fillId="22" borderId="44" xfId="0" applyNumberFormat="1" applyFont="1" applyFill="1" applyBorder="1" applyAlignment="1" applyProtection="1">
      <protection locked="0"/>
    </xf>
    <xf numFmtId="175" fontId="49" fillId="22" borderId="17" xfId="0" applyNumberFormat="1" applyFont="1" applyFill="1" applyBorder="1" applyAlignment="1" applyProtection="1">
      <protection locked="0"/>
    </xf>
    <xf numFmtId="175" fontId="31" fillId="22" borderId="45" xfId="0" applyNumberFormat="1" applyFont="1" applyFill="1" applyBorder="1" applyAlignment="1" applyProtection="1">
      <alignment vertical="center"/>
      <protection locked="0"/>
    </xf>
    <xf numFmtId="175" fontId="31" fillId="22" borderId="28" xfId="0" applyNumberFormat="1" applyFont="1" applyFill="1" applyBorder="1" applyAlignment="1" applyProtection="1">
      <alignment vertical="center"/>
      <protection locked="0"/>
    </xf>
    <xf numFmtId="175" fontId="30" fillId="29" borderId="29" xfId="0" applyNumberFormat="1" applyFont="1" applyFill="1" applyBorder="1" applyAlignment="1" applyProtection="1">
      <alignment vertical="center"/>
    </xf>
    <xf numFmtId="175" fontId="31" fillId="22" borderId="17" xfId="0" applyNumberFormat="1" applyFont="1" applyFill="1" applyBorder="1" applyAlignment="1" applyProtection="1">
      <alignment vertical="center"/>
      <protection locked="0"/>
    </xf>
    <xf numFmtId="175" fontId="31" fillId="22" borderId="44" xfId="0" applyNumberFormat="1" applyFont="1" applyFill="1" applyBorder="1" applyAlignment="1" applyProtection="1">
      <alignment vertical="center"/>
      <protection locked="0"/>
    </xf>
    <xf numFmtId="175" fontId="31" fillId="22" borderId="58" xfId="0" applyNumberFormat="1" applyFont="1" applyFill="1" applyBorder="1" applyAlignment="1" applyProtection="1">
      <alignment vertical="center"/>
      <protection locked="0"/>
    </xf>
    <xf numFmtId="175" fontId="31" fillId="22" borderId="20" xfId="0" applyNumberFormat="1" applyFont="1" applyFill="1" applyBorder="1" applyAlignment="1" applyProtection="1">
      <alignment vertical="center"/>
      <protection locked="0"/>
    </xf>
    <xf numFmtId="175" fontId="31" fillId="22" borderId="60" xfId="0" applyNumberFormat="1" applyFont="1" applyFill="1" applyBorder="1" applyAlignment="1" applyProtection="1">
      <alignment vertical="center"/>
      <protection locked="0"/>
    </xf>
    <xf numFmtId="175" fontId="31" fillId="22" borderId="65" xfId="0" applyNumberFormat="1" applyFont="1" applyFill="1" applyBorder="1" applyAlignment="1" applyProtection="1">
      <alignment vertical="center"/>
      <protection locked="0"/>
    </xf>
    <xf numFmtId="175" fontId="29" fillId="29" borderId="76" xfId="0" applyNumberFormat="1" applyFont="1" applyFill="1" applyBorder="1" applyAlignment="1" applyProtection="1">
      <alignment vertical="center"/>
    </xf>
    <xf numFmtId="0" fontId="30" fillId="0" borderId="30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29" fillId="0" borderId="31" xfId="0" applyFont="1" applyBorder="1" applyAlignment="1" applyProtection="1">
      <alignment horizontal="right" vertical="center"/>
    </xf>
    <xf numFmtId="0" fontId="30" fillId="0" borderId="31" xfId="0" applyFont="1" applyFill="1" applyBorder="1" applyAlignment="1">
      <alignment vertical="center"/>
    </xf>
    <xf numFmtId="0" fontId="56" fillId="0" borderId="31" xfId="0" quotePrefix="1" applyFont="1" applyBorder="1" applyAlignment="1" applyProtection="1">
      <alignment horizontal="center" vertical="center"/>
    </xf>
    <xf numFmtId="0" fontId="56" fillId="0" borderId="31" xfId="0" applyFont="1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right" vertical="center"/>
    </xf>
    <xf numFmtId="0" fontId="30" fillId="0" borderId="22" xfId="0" applyFont="1" applyBorder="1" applyAlignment="1" applyProtection="1">
      <alignment horizontal="left" vertical="center"/>
    </xf>
    <xf numFmtId="0" fontId="30" fillId="0" borderId="23" xfId="0" applyFont="1" applyFill="1" applyBorder="1" applyAlignment="1">
      <alignment vertical="center"/>
    </xf>
    <xf numFmtId="175" fontId="30" fillId="31" borderId="29" xfId="0" applyNumberFormat="1" applyFont="1" applyFill="1" applyBorder="1" applyAlignment="1" applyProtection="1">
      <alignment vertical="center"/>
    </xf>
    <xf numFmtId="175" fontId="31" fillId="31" borderId="44" xfId="0" applyNumberFormat="1" applyFont="1" applyFill="1" applyBorder="1" applyAlignment="1" applyProtection="1">
      <alignment vertical="center"/>
    </xf>
    <xf numFmtId="175" fontId="31" fillId="31" borderId="17" xfId="0" applyNumberFormat="1" applyFont="1" applyFill="1" applyBorder="1" applyAlignment="1" applyProtection="1">
      <alignment vertical="center"/>
    </xf>
    <xf numFmtId="175" fontId="31" fillId="31" borderId="45" xfId="0" applyNumberFormat="1" applyFont="1" applyFill="1" applyBorder="1" applyAlignment="1" applyProtection="1">
      <alignment vertical="center"/>
    </xf>
    <xf numFmtId="175" fontId="31" fillId="31" borderId="28" xfId="0" applyNumberFormat="1" applyFont="1" applyFill="1" applyBorder="1" applyAlignment="1" applyProtection="1">
      <alignment vertical="center"/>
    </xf>
    <xf numFmtId="175" fontId="31" fillId="31" borderId="58" xfId="0" applyNumberFormat="1" applyFont="1" applyFill="1" applyBorder="1" applyAlignment="1" applyProtection="1">
      <alignment vertical="center"/>
    </xf>
    <xf numFmtId="175" fontId="31" fillId="31" borderId="20" xfId="0" applyNumberFormat="1" applyFont="1" applyFill="1" applyBorder="1" applyAlignment="1" applyProtection="1">
      <alignment vertical="center"/>
    </xf>
    <xf numFmtId="175" fontId="31" fillId="31" borderId="60" xfId="0" applyNumberFormat="1" applyFont="1" applyFill="1" applyBorder="1" applyAlignment="1" applyProtection="1">
      <alignment vertical="center"/>
    </xf>
    <xf numFmtId="175" fontId="31" fillId="31" borderId="65" xfId="0" applyNumberFormat="1" applyFont="1" applyFill="1" applyBorder="1" applyAlignment="1" applyProtection="1">
      <alignment vertical="center"/>
    </xf>
    <xf numFmtId="175" fontId="29" fillId="31" borderId="76" xfId="0" applyNumberFormat="1" applyFont="1" applyFill="1" applyBorder="1" applyAlignment="1" applyProtection="1">
      <alignment vertical="center"/>
    </xf>
    <xf numFmtId="175" fontId="62" fillId="0" borderId="0" xfId="0" applyNumberFormat="1" applyFont="1" applyFill="1" applyBorder="1" applyAlignment="1">
      <alignment vertical="center"/>
    </xf>
    <xf numFmtId="175" fontId="30" fillId="29" borderId="78" xfId="0" applyNumberFormat="1" applyFont="1" applyFill="1" applyBorder="1" applyAlignment="1" applyProtection="1">
      <alignment vertical="center"/>
    </xf>
    <xf numFmtId="175" fontId="31" fillId="23" borderId="81" xfId="0" applyNumberFormat="1" applyFont="1" applyFill="1" applyBorder="1" applyAlignment="1" applyProtection="1">
      <alignment vertical="center"/>
    </xf>
    <xf numFmtId="175" fontId="31" fillId="22" borderId="81" xfId="0" applyNumberFormat="1" applyFont="1" applyFill="1" applyBorder="1" applyAlignment="1" applyProtection="1">
      <alignment vertical="center"/>
      <protection locked="0"/>
    </xf>
    <xf numFmtId="175" fontId="31" fillId="23" borderId="82" xfId="0" applyNumberFormat="1" applyFont="1" applyFill="1" applyBorder="1" applyAlignment="1" applyProtection="1">
      <alignment vertical="center"/>
    </xf>
    <xf numFmtId="175" fontId="31" fillId="23" borderId="26" xfId="0" applyNumberFormat="1" applyFont="1" applyFill="1" applyBorder="1" applyAlignment="1" applyProtection="1">
      <alignment vertical="center"/>
    </xf>
    <xf numFmtId="0" fontId="30" fillId="0" borderId="31" xfId="0" applyFont="1" applyBorder="1" applyAlignment="1">
      <alignment horizontal="left" vertical="center"/>
    </xf>
    <xf numFmtId="175" fontId="30" fillId="0" borderId="31" xfId="0" applyNumberFormat="1" applyFont="1" applyFill="1" applyBorder="1" applyAlignment="1">
      <alignment vertical="center"/>
    </xf>
    <xf numFmtId="175" fontId="62" fillId="0" borderId="31" xfId="0" applyNumberFormat="1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Fill="1" applyBorder="1" applyAlignment="1">
      <alignment vertical="center"/>
    </xf>
    <xf numFmtId="175" fontId="62" fillId="0" borderId="22" xfId="0" applyNumberFormat="1" applyFont="1" applyFill="1" applyBorder="1" applyAlignment="1">
      <alignment vertical="center"/>
    </xf>
    <xf numFmtId="175" fontId="30" fillId="0" borderId="23" xfId="0" applyNumberFormat="1" applyFont="1" applyFill="1" applyBorder="1" applyAlignment="1">
      <alignment vertical="center"/>
    </xf>
    <xf numFmtId="175" fontId="31" fillId="22" borderId="78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/>
    </xf>
    <xf numFmtId="175" fontId="31" fillId="22" borderId="91" xfId="0" applyNumberFormat="1" applyFont="1" applyFill="1" applyBorder="1" applyAlignment="1" applyProtection="1">
      <alignment vertical="center"/>
      <protection locked="0"/>
    </xf>
    <xf numFmtId="0" fontId="31" fillId="22" borderId="92" xfId="0" applyFont="1" applyFill="1" applyBorder="1" applyAlignment="1" applyProtection="1">
      <alignment vertical="center"/>
      <protection locked="0"/>
    </xf>
    <xf numFmtId="175" fontId="31" fillId="0" borderId="28" xfId="0" applyNumberFormat="1" applyFont="1" applyFill="1" applyBorder="1" applyAlignment="1" applyProtection="1">
      <alignment vertical="center"/>
      <protection locked="0"/>
    </xf>
    <xf numFmtId="175" fontId="31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horizontal="left" vertical="center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0" fillId="23" borderId="64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9" fillId="0" borderId="0" xfId="0" applyNumberFormat="1" applyFont="1" applyFill="1" applyBorder="1" applyAlignment="1" applyProtection="1">
      <alignment vertical="center"/>
    </xf>
    <xf numFmtId="0" fontId="63" fillId="0" borderId="0" xfId="0" applyFont="1" applyBorder="1"/>
    <xf numFmtId="0" fontId="42" fillId="0" borderId="0" xfId="0" applyFont="1" applyBorder="1"/>
    <xf numFmtId="0" fontId="27" fillId="0" borderId="0" xfId="67" applyFont="1" applyAlignment="1" applyProtection="1"/>
    <xf numFmtId="0" fontId="64" fillId="0" borderId="0" xfId="0" applyFont="1" applyBorder="1"/>
    <xf numFmtId="0" fontId="63" fillId="0" borderId="0" xfId="0" applyFont="1" applyFill="1" applyBorder="1" applyAlignment="1">
      <alignment vertical="top" wrapText="1"/>
    </xf>
    <xf numFmtId="0" fontId="42" fillId="0" borderId="0" xfId="0" applyFont="1" applyFill="1" applyBorder="1" applyAlignment="1">
      <alignment vertical="top" wrapText="1"/>
    </xf>
    <xf numFmtId="0" fontId="64" fillId="0" borderId="0" xfId="0" applyFont="1" applyFill="1" applyBorder="1" applyAlignment="1">
      <alignment vertical="top" wrapText="1"/>
    </xf>
    <xf numFmtId="1" fontId="28" fillId="0" borderId="0" xfId="87" applyNumberFormat="1" applyFont="1" applyProtection="1"/>
    <xf numFmtId="1" fontId="28" fillId="0" borderId="0" xfId="87" applyNumberFormat="1" applyFont="1" applyAlignment="1" applyProtection="1">
      <alignment horizontal="center"/>
    </xf>
    <xf numFmtId="0" fontId="28" fillId="0" borderId="0" xfId="68" applyFont="1" applyProtection="1"/>
    <xf numFmtId="0" fontId="28" fillId="0" borderId="0" xfId="75" applyFont="1" applyFill="1" applyBorder="1" applyAlignment="1" applyProtection="1">
      <alignment horizontal="center" vertical="center"/>
    </xf>
    <xf numFmtId="0" fontId="28" fillId="0" borderId="21" xfId="75" applyFont="1" applyFill="1" applyBorder="1" applyAlignment="1" applyProtection="1">
      <alignment horizontal="left" vertical="center"/>
    </xf>
    <xf numFmtId="0" fontId="50" fillId="0" borderId="21" xfId="75" applyFont="1" applyFill="1" applyBorder="1" applyAlignment="1" applyProtection="1">
      <alignment horizontal="center" vertical="center"/>
    </xf>
    <xf numFmtId="0" fontId="50" fillId="0" borderId="24" xfId="75" applyFont="1" applyFill="1" applyBorder="1" applyAlignment="1" applyProtection="1">
      <alignment horizontal="center" vertical="center"/>
    </xf>
    <xf numFmtId="0" fontId="50" fillId="0" borderId="22" xfId="75" applyFont="1" applyFill="1" applyBorder="1" applyAlignment="1" applyProtection="1">
      <alignment horizontal="center" vertical="center"/>
    </xf>
    <xf numFmtId="0" fontId="50" fillId="0" borderId="78" xfId="75" applyFont="1" applyFill="1" applyBorder="1" applyAlignment="1" applyProtection="1">
      <alignment horizontal="center" vertical="center"/>
    </xf>
    <xf numFmtId="0" fontId="50" fillId="0" borderId="21" xfId="75" applyFont="1" applyFill="1" applyBorder="1" applyAlignment="1" applyProtection="1">
      <alignment horizontal="left" vertical="center"/>
    </xf>
    <xf numFmtId="1" fontId="28" fillId="0" borderId="24" xfId="68" applyNumberFormat="1" applyFont="1" applyFill="1" applyBorder="1" applyAlignment="1" applyProtection="1">
      <alignment horizontal="center"/>
    </xf>
    <xf numFmtId="0" fontId="28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8" fillId="9" borderId="46" xfId="75" applyFont="1" applyFill="1" applyBorder="1" applyAlignment="1" applyProtection="1">
      <alignment horizontal="center" vertical="center"/>
    </xf>
    <xf numFmtId="0" fontId="28" fillId="9" borderId="47" xfId="75" applyFont="1" applyFill="1" applyBorder="1" applyAlignment="1" applyProtection="1">
      <alignment horizontal="center" vertical="center"/>
    </xf>
    <xf numFmtId="0" fontId="49" fillId="22" borderId="47" xfId="75" applyFont="1" applyFill="1" applyBorder="1" applyAlignment="1" applyProtection="1">
      <alignment horizontal="center" vertical="center"/>
      <protection locked="0"/>
    </xf>
    <xf numFmtId="172" fontId="49" fillId="0" borderId="33" xfId="68" applyNumberFormat="1" applyFont="1" applyFill="1" applyBorder="1" applyProtection="1"/>
    <xf numFmtId="1" fontId="50" fillId="0" borderId="30" xfId="68" applyNumberFormat="1" applyFont="1" applyBorder="1" applyProtection="1"/>
    <xf numFmtId="1" fontId="50" fillId="0" borderId="31" xfId="68" applyNumberFormat="1" applyFont="1" applyBorder="1" applyProtection="1"/>
    <xf numFmtId="0" fontId="50" fillId="0" borderId="24" xfId="75" applyFont="1" applyFill="1" applyBorder="1" applyAlignment="1" applyProtection="1">
      <alignment horizontal="left" vertical="center"/>
    </xf>
    <xf numFmtId="0" fontId="28" fillId="0" borderId="27" xfId="75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29" fillId="0" borderId="27" xfId="0" applyFont="1" applyFill="1" applyBorder="1" applyAlignment="1" applyProtection="1"/>
    <xf numFmtId="0" fontId="0" fillId="0" borderId="29" xfId="0" applyBorder="1" applyAlignment="1">
      <alignment horizontal="left" indent="1"/>
    </xf>
    <xf numFmtId="0" fontId="29" fillId="0" borderId="27" xfId="0" applyFont="1" applyFill="1" applyBorder="1" applyAlignment="1" applyProtection="1">
      <alignment horizontal="right"/>
    </xf>
    <xf numFmtId="172" fontId="30" fillId="29" borderId="84" xfId="0" applyNumberFormat="1" applyFont="1" applyFill="1" applyBorder="1" applyAlignment="1" applyProtection="1">
      <alignment horizontal="right"/>
    </xf>
    <xf numFmtId="172" fontId="30" fillId="29" borderId="81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164" fontId="28" fillId="0" borderId="47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26" fillId="0" borderId="29" xfId="0" applyFont="1" applyBorder="1" applyAlignment="1">
      <alignment horizontal="right"/>
    </xf>
    <xf numFmtId="0" fontId="0" fillId="0" borderId="46" xfId="0" applyBorder="1" applyAlignment="1"/>
    <xf numFmtId="1" fontId="50" fillId="0" borderId="32" xfId="68" applyNumberFormat="1" applyFont="1" applyBorder="1" applyProtection="1"/>
    <xf numFmtId="170" fontId="2" fillId="30" borderId="45" xfId="0" applyNumberFormat="1" applyFont="1" applyFill="1" applyBorder="1"/>
    <xf numFmtId="0" fontId="2" fillId="0" borderId="45" xfId="0" applyFont="1" applyBorder="1" applyAlignment="1">
      <alignment vertical="center"/>
    </xf>
    <xf numFmtId="0" fontId="2" fillId="32" borderId="45" xfId="0" applyFont="1" applyFill="1" applyBorder="1" applyAlignment="1">
      <alignment vertical="center"/>
    </xf>
    <xf numFmtId="1" fontId="29" fillId="0" borderId="27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1" fontId="29" fillId="0" borderId="25" xfId="68" quotePrefix="1" applyNumberFormat="1" applyFont="1" applyBorder="1" applyAlignment="1" applyProtection="1">
      <alignment horizontal="center" vertical="center"/>
    </xf>
    <xf numFmtId="1" fontId="29" fillId="0" borderId="25" xfId="68" applyNumberFormat="1" applyFont="1" applyBorder="1" applyAlignment="1" applyProtection="1">
      <alignment horizontal="center" vertical="center"/>
    </xf>
    <xf numFmtId="1" fontId="29" fillId="0" borderId="26" xfId="68" applyNumberFormat="1" applyFont="1" applyBorder="1" applyAlignment="1" applyProtection="1">
      <alignment horizontal="center" vertical="center"/>
    </xf>
    <xf numFmtId="1" fontId="29" fillId="0" borderId="0" xfId="68" applyNumberFormat="1" applyFont="1" applyBorder="1" applyAlignment="1" applyProtection="1">
      <alignment horizontal="center" vertical="center" wrapText="1"/>
    </xf>
    <xf numFmtId="1" fontId="29" fillId="0" borderId="21" xfId="68" applyNumberFormat="1" applyFont="1" applyBorder="1" applyAlignment="1" applyProtection="1">
      <alignment horizontal="center" vertical="center" wrapText="1"/>
    </xf>
    <xf numFmtId="1" fontId="29" fillId="0" borderId="22" xfId="68" applyNumberFormat="1" applyFont="1" applyBorder="1" applyAlignment="1" applyProtection="1">
      <alignment horizontal="center" vertical="center" wrapText="1"/>
    </xf>
    <xf numFmtId="1" fontId="29" fillId="0" borderId="23" xfId="68" applyNumberFormat="1" applyFont="1" applyBorder="1" applyAlignment="1" applyProtection="1">
      <alignment horizontal="center" vertical="center" wrapText="1"/>
    </xf>
    <xf numFmtId="1" fontId="29" fillId="0" borderId="30" xfId="68" applyNumberFormat="1" applyFont="1" applyBorder="1" applyAlignment="1" applyProtection="1">
      <alignment horizontal="center" vertical="center" wrapText="1"/>
    </xf>
    <xf numFmtId="1" fontId="29" fillId="0" borderId="31" xfId="68" applyNumberFormat="1" applyFont="1" applyBorder="1" applyAlignment="1" applyProtection="1">
      <alignment horizontal="center" vertical="center" wrapText="1"/>
    </xf>
    <xf numFmtId="1" fontId="29" fillId="0" borderId="32" xfId="68" applyNumberFormat="1" applyFont="1" applyBorder="1" applyAlignment="1" applyProtection="1">
      <alignment horizontal="center" vertical="center" wrapText="1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9" xfId="68" applyNumberFormat="1" applyFont="1" applyBorder="1" applyAlignment="1" applyProtection="1">
      <alignment horizontal="center" vertical="center" wrapText="1"/>
    </xf>
    <xf numFmtId="1" fontId="29" fillId="0" borderId="33" xfId="68" applyNumberFormat="1" applyFont="1" applyBorder="1" applyAlignment="1" applyProtection="1">
      <alignment horizontal="center" vertical="center" wrapText="1"/>
    </xf>
    <xf numFmtId="0" fontId="32" fillId="0" borderId="41" xfId="69" applyFont="1" applyBorder="1" applyAlignment="1" applyProtection="1">
      <alignment horizontal="center" vertical="center"/>
    </xf>
    <xf numFmtId="0" fontId="32" fillId="0" borderId="58" xfId="69" applyFont="1" applyBorder="1" applyAlignment="1" applyProtection="1">
      <alignment horizontal="center" vertical="center"/>
    </xf>
    <xf numFmtId="0" fontId="32" fillId="0" borderId="51" xfId="69" applyFont="1" applyBorder="1" applyAlignment="1" applyProtection="1">
      <alignment horizontal="center" vertical="center"/>
    </xf>
    <xf numFmtId="0" fontId="32" fillId="0" borderId="59" xfId="69" applyFont="1" applyBorder="1" applyAlignment="1" applyProtection="1">
      <alignment horizontal="center" vertical="center"/>
    </xf>
    <xf numFmtId="0" fontId="32" fillId="0" borderId="41" xfId="69" applyFont="1" applyBorder="1" applyAlignment="1" applyProtection="1">
      <alignment horizontal="center" vertical="center" wrapText="1"/>
    </xf>
    <xf numFmtId="0" fontId="32" fillId="0" borderId="58" xfId="69" applyFont="1" applyBorder="1" applyAlignment="1" applyProtection="1">
      <alignment horizontal="center" vertical="center" wrapText="1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6" fillId="0" borderId="41" xfId="72" applyFont="1" applyBorder="1" applyAlignment="1" applyProtection="1">
      <alignment horizontal="center"/>
    </xf>
    <xf numFmtId="0" fontId="26" fillId="0" borderId="58" xfId="72" applyFont="1" applyBorder="1" applyAlignment="1" applyProtection="1">
      <alignment horizontal="center"/>
    </xf>
    <xf numFmtId="0" fontId="26" fillId="0" borderId="51" xfId="72" applyFont="1" applyBorder="1" applyAlignment="1" applyProtection="1">
      <alignment horizontal="center" vertical="center"/>
    </xf>
    <xf numFmtId="0" fontId="26" fillId="0" borderId="59" xfId="72" applyFont="1" applyBorder="1" applyAlignment="1" applyProtection="1">
      <alignment horizontal="center" vertical="center"/>
    </xf>
    <xf numFmtId="0" fontId="2" fillId="0" borderId="41" xfId="72" applyFill="1" applyBorder="1" applyAlignment="1" applyProtection="1">
      <alignment horizontal="center"/>
    </xf>
    <xf numFmtId="0" fontId="2" fillId="0" borderId="58" xfId="72" applyFill="1" applyBorder="1" applyAlignment="1" applyProtection="1">
      <alignment horizontal="center"/>
    </xf>
    <xf numFmtId="0" fontId="26" fillId="0" borderId="77" xfId="69" applyFont="1" applyFill="1" applyBorder="1" applyAlignment="1" applyProtection="1">
      <alignment horizontal="center" vertical="center"/>
    </xf>
    <xf numFmtId="0" fontId="26" fillId="0" borderId="25" xfId="69" applyFont="1" applyFill="1" applyBorder="1" applyAlignment="1" applyProtection="1">
      <alignment horizontal="center" vertical="center"/>
    </xf>
    <xf numFmtId="0" fontId="26" fillId="0" borderId="26" xfId="69" applyFont="1" applyFill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center" vertical="center" wrapText="1"/>
    </xf>
    <xf numFmtId="0" fontId="26" fillId="0" borderId="75" xfId="69" applyFont="1" applyBorder="1" applyAlignment="1" applyProtection="1">
      <alignment horizontal="center" vertical="center" wrapText="1"/>
    </xf>
    <xf numFmtId="0" fontId="26" fillId="0" borderId="64" xfId="69" applyFont="1" applyBorder="1" applyAlignment="1" applyProtection="1">
      <alignment horizontal="center" vertical="center" wrapText="1"/>
    </xf>
    <xf numFmtId="0" fontId="26" fillId="0" borderId="19" xfId="69" applyFont="1" applyBorder="1" applyAlignment="1" applyProtection="1">
      <alignment horizontal="center" vertical="center" wrapText="1"/>
    </xf>
    <xf numFmtId="0" fontId="26" fillId="0" borderId="52" xfId="69" applyFont="1" applyBorder="1" applyAlignment="1" applyProtection="1">
      <alignment horizontal="center" vertical="center"/>
    </xf>
    <xf numFmtId="0" fontId="26" fillId="0" borderId="54" xfId="69" applyFont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left" vertical="center" wrapText="1"/>
    </xf>
    <xf numFmtId="0" fontId="26" fillId="0" borderId="75" xfId="69" applyFont="1" applyBorder="1" applyAlignment="1" applyProtection="1">
      <alignment horizontal="left" vertical="center" wrapText="1"/>
    </xf>
    <xf numFmtId="0" fontId="26" fillId="0" borderId="24" xfId="75" applyFont="1" applyFill="1" applyBorder="1" applyAlignment="1" applyProtection="1">
      <alignment horizontal="left" vertical="center" wrapText="1"/>
    </xf>
    <xf numFmtId="0" fontId="26" fillId="0" borderId="75" xfId="75" applyFont="1" applyFill="1" applyBorder="1" applyAlignment="1" applyProtection="1">
      <alignment horizontal="left" vertical="center" wrapText="1"/>
    </xf>
    <xf numFmtId="0" fontId="26" fillId="0" borderId="21" xfId="69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 vertical="center"/>
    </xf>
    <xf numFmtId="0" fontId="2" fillId="0" borderId="67" xfId="76" applyFont="1" applyBorder="1" applyAlignment="1" applyProtection="1">
      <alignment horizontal="left" vertical="center"/>
    </xf>
    <xf numFmtId="0" fontId="2" fillId="0" borderId="79" xfId="76" applyFont="1" applyBorder="1" applyAlignment="1" applyProtection="1">
      <alignment horizontal="left" vertical="center"/>
    </xf>
    <xf numFmtId="0" fontId="2" fillId="0" borderId="72" xfId="76" applyFont="1" applyBorder="1" applyAlignment="1" applyProtection="1">
      <alignment horizontal="left" vertical="center"/>
    </xf>
    <xf numFmtId="0" fontId="26" fillId="0" borderId="24" xfId="69" applyFont="1" applyBorder="1" applyAlignment="1" applyProtection="1">
      <alignment horizontal="left" vertical="center"/>
    </xf>
    <xf numFmtId="0" fontId="26" fillId="0" borderId="29" xfId="69" applyFont="1" applyBorder="1" applyAlignment="1" applyProtection="1">
      <alignment horizontal="left" vertical="center"/>
    </xf>
    <xf numFmtId="0" fontId="26" fillId="0" borderId="75" xfId="69" applyFont="1" applyBorder="1" applyAlignment="1" applyProtection="1">
      <alignment horizontal="left" vertical="center"/>
    </xf>
    <xf numFmtId="0" fontId="2" fillId="0" borderId="21" xfId="76" applyFont="1" applyBorder="1" applyAlignment="1" applyProtection="1">
      <alignment horizontal="center" vertical="center"/>
    </xf>
    <xf numFmtId="0" fontId="2" fillId="0" borderId="23" xfId="76" applyFont="1" applyBorder="1" applyAlignment="1" applyProtection="1">
      <alignment horizontal="center" vertical="center"/>
    </xf>
    <xf numFmtId="0" fontId="2" fillId="0" borderId="64" xfId="76" applyFont="1" applyBorder="1" applyAlignment="1" applyProtection="1">
      <alignment horizontal="center" vertical="center"/>
    </xf>
    <xf numFmtId="0" fontId="2" fillId="0" borderId="65" xfId="76" applyFont="1" applyBorder="1" applyAlignment="1" applyProtection="1">
      <alignment horizontal="center" vertical="center"/>
    </xf>
    <xf numFmtId="0" fontId="2" fillId="0" borderId="27" xfId="76" applyFont="1" applyBorder="1" applyAlignment="1" applyProtection="1">
      <alignment horizontal="left" vertical="center" wrapText="1"/>
    </xf>
    <xf numFmtId="0" fontId="2" fillId="0" borderId="28" xfId="76" applyFont="1" applyBorder="1" applyAlignment="1" applyProtection="1">
      <alignment horizontal="left" vertical="center" wrapText="1"/>
    </xf>
    <xf numFmtId="0" fontId="2" fillId="0" borderId="30" xfId="76" applyFont="1" applyBorder="1" applyAlignment="1" applyProtection="1">
      <alignment horizontal="left" vertical="center" wrapText="1"/>
    </xf>
    <xf numFmtId="0" fontId="2" fillId="0" borderId="32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6" fillId="0" borderId="68" xfId="75" applyFont="1" applyFill="1" applyBorder="1" applyAlignment="1" applyProtection="1">
      <alignment horizontal="left" vertical="center"/>
    </xf>
    <xf numFmtId="0" fontId="26" fillId="0" borderId="44" xfId="75" applyFont="1" applyFill="1" applyBorder="1" applyAlignment="1" applyProtection="1">
      <alignment horizontal="left" vertical="center"/>
    </xf>
    <xf numFmtId="0" fontId="26" fillId="0" borderId="21" xfId="79" applyFont="1" applyFill="1" applyBorder="1" applyAlignment="1" applyProtection="1">
      <alignment horizontal="left" vertical="center"/>
    </xf>
    <xf numFmtId="0" fontId="26" fillId="0" borderId="23" xfId="79" applyFont="1" applyFill="1" applyBorder="1" applyAlignment="1" applyProtection="1">
      <alignment horizontal="left" vertical="center"/>
    </xf>
    <xf numFmtId="0" fontId="26" fillId="0" borderId="27" xfId="79" applyFont="1" applyFill="1" applyBorder="1" applyAlignment="1" applyProtection="1">
      <alignment horizontal="left" vertical="center"/>
    </xf>
    <xf numFmtId="0" fontId="26" fillId="0" borderId="28" xfId="79" applyFont="1" applyFill="1" applyBorder="1" applyAlignment="1" applyProtection="1">
      <alignment horizontal="left" vertical="center"/>
    </xf>
    <xf numFmtId="0" fontId="26" fillId="0" borderId="64" xfId="79" applyFont="1" applyFill="1" applyBorder="1" applyAlignment="1" applyProtection="1">
      <alignment horizontal="left" vertical="center"/>
    </xf>
    <xf numFmtId="0" fontId="26" fillId="0" borderId="65" xfId="79" applyFont="1" applyFill="1" applyBorder="1" applyAlignment="1" applyProtection="1">
      <alignment horizontal="left" vertical="center"/>
    </xf>
    <xf numFmtId="0" fontId="44" fillId="0" borderId="44" xfId="0" applyFont="1" applyBorder="1" applyAlignment="1" applyProtection="1">
      <alignment horizontal="left" vertical="center"/>
    </xf>
    <xf numFmtId="0" fontId="44" fillId="0" borderId="58" xfId="0" applyFont="1" applyBorder="1" applyAlignment="1" applyProtection="1">
      <alignment horizontal="left" vertical="center"/>
    </xf>
    <xf numFmtId="0" fontId="26" fillId="0" borderId="79" xfId="79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0" fontId="26" fillId="0" borderId="46" xfId="79" applyFont="1" applyBorder="1" applyAlignment="1" applyProtection="1">
      <alignment horizontal="left" vertical="center"/>
    </xf>
    <xf numFmtId="0" fontId="26" fillId="0" borderId="68" xfId="79" applyFont="1" applyBorder="1" applyAlignment="1" applyProtection="1">
      <alignment horizontal="left" vertical="center"/>
    </xf>
    <xf numFmtId="0" fontId="26" fillId="0" borderId="77" xfId="79" applyFont="1" applyBorder="1" applyAlignment="1" applyProtection="1">
      <alignment horizontal="left" vertical="center"/>
    </xf>
    <xf numFmtId="0" fontId="26" fillId="0" borderId="26" xfId="79" applyFont="1" applyBorder="1" applyAlignment="1" applyProtection="1">
      <alignment horizontal="left" vertical="center"/>
    </xf>
    <xf numFmtId="0" fontId="26" fillId="0" borderId="58" xfId="79" applyFont="1" applyBorder="1" applyAlignment="1" applyProtection="1">
      <alignment horizontal="left" vertical="center" wrapText="1"/>
    </xf>
    <xf numFmtId="0" fontId="26" fillId="0" borderId="46" xfId="79" applyFont="1" applyBorder="1" applyAlignment="1" applyProtection="1">
      <alignment horizontal="left" vertical="center" wrapText="1"/>
    </xf>
    <xf numFmtId="0" fontId="26" fillId="0" borderId="52" xfId="82" applyFont="1" applyBorder="1" applyAlignment="1" applyProtection="1">
      <alignment horizontal="center" vertical="center"/>
    </xf>
    <xf numFmtId="0" fontId="26" fillId="0" borderId="53" xfId="82" applyFont="1" applyBorder="1" applyAlignment="1" applyProtection="1">
      <alignment horizontal="center" vertical="center"/>
    </xf>
    <xf numFmtId="0" fontId="26" fillId="0" borderId="54" xfId="82" applyFont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horizontal="center" vertical="center"/>
    </xf>
    <xf numFmtId="0" fontId="2" fillId="0" borderId="7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/>
    </xf>
    <xf numFmtId="0" fontId="26" fillId="0" borderId="44" xfId="82" applyFont="1" applyBorder="1" applyAlignment="1" applyProtection="1">
      <alignment horizontal="center" vertical="center" wrapText="1"/>
    </xf>
    <xf numFmtId="0" fontId="26" fillId="0" borderId="17" xfId="82" applyFont="1" applyBorder="1" applyAlignment="1" applyProtection="1">
      <alignment horizontal="center" vertical="center" wrapText="1"/>
    </xf>
    <xf numFmtId="0" fontId="26" fillId="0" borderId="20" xfId="82" applyFont="1" applyBorder="1" applyAlignment="1" applyProtection="1">
      <alignment horizontal="center" vertical="center"/>
    </xf>
    <xf numFmtId="0" fontId="26" fillId="0" borderId="18" xfId="82" applyFont="1" applyBorder="1" applyAlignment="1" applyProtection="1">
      <alignment horizontal="center" vertical="center"/>
    </xf>
    <xf numFmtId="0" fontId="26" fillId="0" borderId="19" xfId="82" applyFont="1" applyBorder="1" applyAlignment="1" applyProtection="1">
      <alignment horizontal="center" vertical="center"/>
    </xf>
    <xf numFmtId="0" fontId="26" fillId="0" borderId="6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vertical="center" wrapText="1"/>
    </xf>
    <xf numFmtId="0" fontId="26" fillId="0" borderId="58" xfId="82" applyFont="1" applyBorder="1" applyAlignment="1" applyProtection="1">
      <alignment vertical="center"/>
    </xf>
    <xf numFmtId="0" fontId="26" fillId="0" borderId="44" xfId="82" applyFont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" vertical="center"/>
    </xf>
    <xf numFmtId="0" fontId="26" fillId="0" borderId="11" xfId="82" applyFont="1" applyBorder="1" applyAlignment="1" applyProtection="1">
      <alignment horizontal="center" vertical="center"/>
    </xf>
    <xf numFmtId="0" fontId="26" fillId="0" borderId="40" xfId="82" applyFont="1" applyBorder="1" applyAlignment="1" applyProtection="1">
      <alignment horizontal="center" vertical="center"/>
    </xf>
    <xf numFmtId="0" fontId="26" fillId="0" borderId="15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 wrapText="1"/>
    </xf>
    <xf numFmtId="0" fontId="2" fillId="0" borderId="21" xfId="82" applyFont="1" applyBorder="1" applyAlignment="1" applyProtection="1">
      <alignment horizontal="center" vertical="center"/>
    </xf>
    <xf numFmtId="0" fontId="2" fillId="0" borderId="23" xfId="82" applyFont="1" applyBorder="1" applyAlignment="1" applyProtection="1">
      <alignment horizontal="center" vertical="center"/>
    </xf>
    <xf numFmtId="0" fontId="2" fillId="0" borderId="64" xfId="82" applyFont="1" applyBorder="1" applyAlignment="1" applyProtection="1">
      <alignment horizontal="center" vertical="center"/>
    </xf>
    <xf numFmtId="0" fontId="2" fillId="0" borderId="65" xfId="82" applyFont="1" applyBorder="1" applyAlignment="1" applyProtection="1">
      <alignment horizontal="center" vertical="center"/>
    </xf>
    <xf numFmtId="1" fontId="26" fillId="0" borderId="21" xfId="68" applyNumberFormat="1" applyFont="1" applyBorder="1" applyAlignment="1" applyProtection="1">
      <alignment horizontal="center" vertical="center" wrapText="1"/>
    </xf>
    <xf numFmtId="1" fontId="26" fillId="0" borderId="22" xfId="68" applyNumberFormat="1" applyFont="1" applyBorder="1" applyAlignment="1" applyProtection="1">
      <alignment horizontal="center" vertical="center" wrapText="1"/>
    </xf>
    <xf numFmtId="1" fontId="26" fillId="0" borderId="86" xfId="68" applyNumberFormat="1" applyFont="1" applyBorder="1" applyAlignment="1" applyProtection="1">
      <alignment horizontal="center" vertical="center" wrapText="1"/>
    </xf>
    <xf numFmtId="1" fontId="26" fillId="0" borderId="27" xfId="68" applyNumberFormat="1" applyFont="1" applyBorder="1" applyAlignment="1" applyProtection="1">
      <alignment horizontal="center" vertical="center" wrapText="1"/>
    </xf>
    <xf numFmtId="1" fontId="26" fillId="0" borderId="0" xfId="68" applyNumberFormat="1" applyFont="1" applyBorder="1" applyAlignment="1" applyProtection="1">
      <alignment horizontal="center" vertical="center" wrapText="1"/>
    </xf>
    <xf numFmtId="1" fontId="26" fillId="0" borderId="17" xfId="68" applyNumberFormat="1" applyFont="1" applyBorder="1" applyAlignment="1" applyProtection="1">
      <alignment horizontal="center" vertical="center" wrapText="1"/>
    </xf>
    <xf numFmtId="1" fontId="26" fillId="0" borderId="30" xfId="68" applyNumberFormat="1" applyFont="1" applyBorder="1" applyAlignment="1" applyProtection="1">
      <alignment horizontal="center" vertical="center" wrapText="1"/>
    </xf>
    <xf numFmtId="1" fontId="26" fillId="0" borderId="31" xfId="68" applyNumberFormat="1" applyFont="1" applyBorder="1" applyAlignment="1" applyProtection="1">
      <alignment horizontal="center" vertical="center" wrapText="1"/>
    </xf>
    <xf numFmtId="1" fontId="26" fillId="0" borderId="74" xfId="68" applyNumberFormat="1" applyFont="1" applyBorder="1" applyAlignment="1" applyProtection="1">
      <alignment horizontal="center" vertical="center" wrapText="1"/>
    </xf>
    <xf numFmtId="1" fontId="26" fillId="0" borderId="51" xfId="68" applyNumberFormat="1" applyFont="1" applyBorder="1" applyAlignment="1" applyProtection="1">
      <alignment horizontal="center" vertical="center" wrapText="1"/>
    </xf>
    <xf numFmtId="1" fontId="26" fillId="0" borderId="62" xfId="68" applyNumberFormat="1" applyFont="1" applyBorder="1" applyAlignment="1" applyProtection="1">
      <alignment horizontal="center" vertical="center" wrapText="1"/>
    </xf>
    <xf numFmtId="1" fontId="26" fillId="0" borderId="63" xfId="68" applyNumberFormat="1" applyFont="1" applyBorder="1" applyAlignment="1" applyProtection="1">
      <alignment horizontal="center" vertical="center" wrapText="1"/>
    </xf>
    <xf numFmtId="1" fontId="26" fillId="0" borderId="52" xfId="68" applyNumberFormat="1" applyFont="1" applyBorder="1" applyAlignment="1" applyProtection="1">
      <alignment horizontal="center" vertical="center" wrapText="1"/>
    </xf>
    <xf numFmtId="1" fontId="26" fillId="0" borderId="54" xfId="68" applyNumberFormat="1" applyFont="1" applyBorder="1" applyAlignment="1" applyProtection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3" xfId="86" applyFont="1" applyBorder="1" applyAlignment="1">
      <alignment horizontal="center" textRotation="90" wrapText="1"/>
    </xf>
    <xf numFmtId="0" fontId="30" fillId="0" borderId="16" xfId="86" applyFont="1" applyBorder="1" applyAlignment="1">
      <alignment horizontal="center" textRotation="90" wrapText="1"/>
    </xf>
    <xf numFmtId="0" fontId="30" fillId="0" borderId="18" xfId="86" applyFont="1" applyBorder="1" applyAlignment="1">
      <alignment horizontal="center" textRotation="90" wrapText="1"/>
    </xf>
    <xf numFmtId="0" fontId="29" fillId="0" borderId="24" xfId="86" applyFont="1" applyBorder="1" applyAlignment="1">
      <alignment horizontal="center" vertical="center" textRotation="90" wrapText="1"/>
    </xf>
    <xf numFmtId="0" fontId="29" fillId="0" borderId="29" xfId="86" applyFont="1" applyBorder="1" applyAlignment="1">
      <alignment horizontal="center" vertical="center" textRotation="90" wrapText="1"/>
    </xf>
    <xf numFmtId="0" fontId="29" fillId="0" borderId="75" xfId="86" applyFont="1" applyBorder="1" applyAlignment="1">
      <alignment horizontal="center" vertical="center" textRotation="90" wrapText="1"/>
    </xf>
    <xf numFmtId="0" fontId="30" fillId="11" borderId="10" xfId="86" applyFont="1" applyFill="1" applyBorder="1" applyAlignment="1">
      <alignment horizontal="center"/>
    </xf>
    <xf numFmtId="0" fontId="30" fillId="11" borderId="11" xfId="86" applyFont="1" applyFill="1" applyBorder="1" applyAlignment="1">
      <alignment horizontal="center"/>
    </xf>
    <xf numFmtId="0" fontId="30" fillId="11" borderId="12" xfId="86" applyFont="1" applyFill="1" applyBorder="1" applyAlignment="1">
      <alignment horizontal="center"/>
    </xf>
    <xf numFmtId="0" fontId="30" fillId="27" borderId="10" xfId="86" applyFont="1" applyFill="1" applyBorder="1" applyAlignment="1">
      <alignment horizontal="center"/>
    </xf>
    <xf numFmtId="0" fontId="30" fillId="27" borderId="11" xfId="86" applyFont="1" applyFill="1" applyBorder="1" applyAlignment="1">
      <alignment horizontal="center"/>
    </xf>
    <xf numFmtId="0" fontId="30" fillId="27" borderId="12" xfId="86" applyFont="1" applyFill="1" applyBorder="1" applyAlignment="1">
      <alignment horizontal="center"/>
    </xf>
    <xf numFmtId="0" fontId="30" fillId="0" borderId="70" xfId="86" applyFont="1" applyBorder="1" applyAlignment="1">
      <alignment horizontal="center" textRotation="90" wrapText="1"/>
    </xf>
    <xf numFmtId="0" fontId="30" fillId="0" borderId="45" xfId="86" applyFont="1" applyBorder="1" applyAlignment="1">
      <alignment horizontal="center" textRotation="90" wrapText="1"/>
    </xf>
    <xf numFmtId="0" fontId="30" fillId="0" borderId="60" xfId="86" applyFont="1" applyBorder="1" applyAlignment="1">
      <alignment horizontal="center" textRotation="90" wrapText="1"/>
    </xf>
    <xf numFmtId="0" fontId="30" fillId="0" borderId="10" xfId="86" applyFont="1" applyBorder="1" applyAlignment="1">
      <alignment horizontal="center"/>
    </xf>
    <xf numFmtId="0" fontId="30" fillId="0" borderId="11" xfId="86" applyFont="1" applyBorder="1" applyAlignment="1">
      <alignment horizontal="center"/>
    </xf>
    <xf numFmtId="0" fontId="30" fillId="0" borderId="12" xfId="86" applyFont="1" applyBorder="1" applyAlignment="1">
      <alignment horizontal="center"/>
    </xf>
    <xf numFmtId="0" fontId="28" fillId="0" borderId="52" xfId="0" applyFont="1" applyBorder="1" applyAlignment="1" applyProtection="1">
      <alignment horizontal="left" vertical="center" wrapText="1" indent="1"/>
    </xf>
    <xf numFmtId="0" fontId="28" fillId="0" borderId="53" xfId="0" applyFont="1" applyBorder="1" applyAlignment="1" applyProtection="1">
      <alignment horizontal="left" vertical="center" wrapText="1" indent="1"/>
    </xf>
    <xf numFmtId="0" fontId="28" fillId="0" borderId="54" xfId="0" applyFont="1" applyBorder="1" applyAlignment="1" applyProtection="1">
      <alignment horizontal="left" vertical="center" wrapText="1" indent="1"/>
    </xf>
    <xf numFmtId="0" fontId="28" fillId="0" borderId="77" xfId="0" applyFont="1" applyBorder="1" applyAlignment="1" applyProtection="1">
      <alignment horizontal="left" vertical="center" wrapText="1" indent="1"/>
    </xf>
    <xf numFmtId="0" fontId="28" fillId="0" borderId="26" xfId="0" applyFont="1" applyBorder="1" applyAlignment="1" applyProtection="1">
      <alignment horizontal="left" vertical="center" wrapText="1" indent="1"/>
    </xf>
    <xf numFmtId="0" fontId="50" fillId="0" borderId="24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77" xfId="0" applyFont="1" applyBorder="1" applyAlignment="1" applyProtection="1">
      <alignment horizontal="left" vertical="center" wrapText="1"/>
    </xf>
    <xf numFmtId="0" fontId="50" fillId="0" borderId="25" xfId="0" applyFont="1" applyBorder="1" applyAlignment="1" applyProtection="1">
      <alignment horizontal="left" vertical="center" wrapText="1"/>
    </xf>
    <xf numFmtId="0" fontId="50" fillId="0" borderId="26" xfId="0" applyFont="1" applyBorder="1" applyAlignment="1" applyProtection="1">
      <alignment horizontal="left" vertical="center" wrapText="1"/>
    </xf>
    <xf numFmtId="0" fontId="50" fillId="0" borderId="77" xfId="0" applyFont="1" applyBorder="1" applyAlignment="1">
      <alignment horizontal="left" vertical="center"/>
    </xf>
    <xf numFmtId="0" fontId="50" fillId="0" borderId="25" xfId="0" applyFont="1" applyBorder="1" applyAlignment="1">
      <alignment horizontal="left" vertical="center"/>
    </xf>
    <xf numFmtId="0" fontId="50" fillId="0" borderId="26" xfId="0" applyFont="1" applyBorder="1" applyAlignment="1">
      <alignment horizontal="left" vertical="center"/>
    </xf>
    <xf numFmtId="0" fontId="57" fillId="0" borderId="21" xfId="0" applyFont="1" applyFill="1" applyBorder="1" applyAlignment="1" applyProtection="1">
      <alignment horizontal="center" vertical="center"/>
    </xf>
    <xf numFmtId="0" fontId="57" fillId="0" borderId="22" xfId="0" applyFont="1" applyFill="1" applyBorder="1" applyAlignment="1" applyProtection="1">
      <alignment horizontal="center" vertical="center"/>
    </xf>
    <xf numFmtId="0" fontId="57" fillId="0" borderId="23" xfId="0" applyFont="1" applyFill="1" applyBorder="1" applyAlignment="1" applyProtection="1">
      <alignment horizontal="center" vertical="center"/>
    </xf>
    <xf numFmtId="0" fontId="57" fillId="0" borderId="30" xfId="0" applyFont="1" applyFill="1" applyBorder="1" applyAlignment="1" applyProtection="1">
      <alignment horizontal="center" vertical="center"/>
    </xf>
    <xf numFmtId="0" fontId="57" fillId="0" borderId="31" xfId="0" applyFont="1" applyFill="1" applyBorder="1" applyAlignment="1" applyProtection="1">
      <alignment horizontal="center" vertical="center"/>
    </xf>
    <xf numFmtId="0" fontId="57" fillId="0" borderId="32" xfId="0" applyFont="1" applyFill="1" applyBorder="1" applyAlignment="1" applyProtection="1">
      <alignment horizontal="center" vertical="center"/>
    </xf>
    <xf numFmtId="0" fontId="28" fillId="0" borderId="52" xfId="0" applyFont="1" applyBorder="1" applyAlignment="1" applyProtection="1">
      <alignment horizontal="left" vertical="center"/>
    </xf>
    <xf numFmtId="0" fontId="28" fillId="0" borderId="53" xfId="0" applyFont="1" applyBorder="1" applyAlignment="1" applyProtection="1">
      <alignment horizontal="left" vertical="center"/>
    </xf>
    <xf numFmtId="0" fontId="28" fillId="0" borderId="54" xfId="0" applyFont="1" applyBorder="1" applyAlignment="1" applyProtection="1">
      <alignment horizontal="left" vertical="center"/>
    </xf>
    <xf numFmtId="0" fontId="28" fillId="0" borderId="79" xfId="0" applyFont="1" applyBorder="1" applyAlignment="1" applyProtection="1">
      <alignment horizontal="left" vertical="center"/>
    </xf>
    <xf numFmtId="0" fontId="0" fillId="0" borderId="80" xfId="0" applyBorder="1" applyAlignment="1">
      <alignment horizontal="left" vertical="center"/>
    </xf>
    <xf numFmtId="0" fontId="57" fillId="0" borderId="77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0" fillId="0" borderId="21" xfId="0" applyFont="1" applyBorder="1" applyAlignment="1" applyProtection="1">
      <alignment horizontal="left" vertical="center"/>
    </xf>
    <xf numFmtId="0" fontId="40" fillId="0" borderId="22" xfId="0" applyFont="1" applyBorder="1" applyAlignment="1" applyProtection="1">
      <alignment horizontal="left" vertical="center"/>
    </xf>
    <xf numFmtId="0" fontId="40" fillId="0" borderId="23" xfId="0" applyFont="1" applyBorder="1" applyAlignment="1" applyProtection="1">
      <alignment horizontal="left" vertical="center"/>
    </xf>
    <xf numFmtId="0" fontId="40" fillId="0" borderId="30" xfId="0" applyFont="1" applyBorder="1" applyAlignment="1" applyProtection="1">
      <alignment horizontal="left" vertical="center"/>
    </xf>
    <xf numFmtId="0" fontId="40" fillId="0" borderId="31" xfId="0" applyFont="1" applyBorder="1" applyAlignment="1" applyProtection="1">
      <alignment horizontal="left" vertical="center"/>
    </xf>
    <xf numFmtId="0" fontId="40" fillId="0" borderId="32" xfId="0" applyFont="1" applyBorder="1" applyAlignment="1" applyProtection="1">
      <alignment horizontal="left" vertical="center"/>
    </xf>
    <xf numFmtId="0" fontId="57" fillId="0" borderId="58" xfId="0" applyFont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57" fillId="0" borderId="68" xfId="0" applyFont="1" applyBorder="1" applyAlignment="1">
      <alignment horizontal="center" vertical="center"/>
    </xf>
    <xf numFmtId="0" fontId="28" fillId="0" borderId="60" xfId="0" applyFont="1" applyFill="1" applyBorder="1" applyAlignment="1" applyProtection="1">
      <alignment horizontal="left" vertical="center"/>
    </xf>
    <xf numFmtId="0" fontId="28" fillId="0" borderId="59" xfId="0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 applyProtection="1">
      <alignment horizontal="left" vertical="center" wrapText="1"/>
    </xf>
    <xf numFmtId="0" fontId="28" fillId="0" borderId="61" xfId="0" applyFont="1" applyFill="1" applyBorder="1" applyAlignment="1" applyProtection="1">
      <alignment horizontal="left" vertical="center" wrapText="1"/>
    </xf>
    <xf numFmtId="0" fontId="28" fillId="0" borderId="70" xfId="0" applyFont="1" applyFill="1" applyBorder="1" applyAlignment="1" applyProtection="1">
      <alignment horizontal="left" vertical="center"/>
    </xf>
    <xf numFmtId="0" fontId="28" fillId="0" borderId="69" xfId="0" applyFont="1" applyFill="1" applyBorder="1" applyAlignment="1" applyProtection="1">
      <alignment horizontal="left" vertical="center"/>
    </xf>
    <xf numFmtId="0" fontId="57" fillId="0" borderId="55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28" fillId="0" borderId="56" xfId="0" applyFont="1" applyFill="1" applyBorder="1" applyAlignment="1" applyProtection="1">
      <alignment horizontal="left" vertical="center"/>
    </xf>
    <xf numFmtId="0" fontId="28" fillId="0" borderId="57" xfId="0" applyFont="1" applyFill="1" applyBorder="1" applyAlignment="1" applyProtection="1">
      <alignment horizontal="left" vertical="center"/>
    </xf>
    <xf numFmtId="0" fontId="57" fillId="0" borderId="41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175" fontId="28" fillId="29" borderId="73" xfId="0" applyNumberFormat="1" applyFont="1" applyFill="1" applyBorder="1" applyAlignment="1">
      <alignment horizontal="right" vertical="center"/>
    </xf>
    <xf numFmtId="175" fontId="28" fillId="29" borderId="29" xfId="0" applyNumberFormat="1" applyFont="1" applyFill="1" applyBorder="1" applyAlignment="1">
      <alignment horizontal="right" vertical="center"/>
    </xf>
    <xf numFmtId="175" fontId="28" fillId="29" borderId="75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0" fontId="28" fillId="0" borderId="35" xfId="0" applyFont="1" applyFill="1" applyBorder="1" applyAlignment="1" applyProtection="1">
      <alignment horizontal="left" vertical="center"/>
    </xf>
    <xf numFmtId="0" fontId="28" fillId="0" borderId="39" xfId="0" applyFont="1" applyFill="1" applyBorder="1" applyAlignment="1" applyProtection="1">
      <alignment horizontal="left" vertical="center"/>
    </xf>
    <xf numFmtId="0" fontId="57" fillId="0" borderId="44" xfId="0" applyFont="1" applyBorder="1" applyAlignment="1">
      <alignment horizontal="center" vertical="center" wrapText="1"/>
    </xf>
    <xf numFmtId="0" fontId="57" fillId="0" borderId="58" xfId="0" applyFont="1" applyBorder="1" applyAlignment="1">
      <alignment horizontal="center" vertical="center" wrapText="1"/>
    </xf>
    <xf numFmtId="175" fontId="49" fillId="22" borderId="41" xfId="0" applyNumberFormat="1" applyFont="1" applyFill="1" applyBorder="1" applyAlignment="1" applyProtection="1">
      <alignment horizontal="right" vertical="center"/>
      <protection locked="0"/>
    </xf>
    <xf numFmtId="175" fontId="49" fillId="22" borderId="58" xfId="0" applyNumberFormat="1" applyFont="1" applyFill="1" applyBorder="1" applyAlignment="1" applyProtection="1">
      <alignment horizontal="right" vertical="center"/>
      <protection locked="0"/>
    </xf>
    <xf numFmtId="175" fontId="49" fillId="22" borderId="51" xfId="0" applyNumberFormat="1" applyFont="1" applyFill="1" applyBorder="1" applyAlignment="1" applyProtection="1">
      <alignment horizontal="right" vertical="center"/>
      <protection locked="0"/>
    </xf>
    <xf numFmtId="175" fontId="49" fillId="22" borderId="59" xfId="0" applyNumberFormat="1" applyFont="1" applyFill="1" applyBorder="1" applyAlignment="1" applyProtection="1">
      <alignment horizontal="right" vertical="center"/>
      <protection locked="0"/>
    </xf>
    <xf numFmtId="175" fontId="28" fillId="29" borderId="24" xfId="0" applyNumberFormat="1" applyFont="1" applyFill="1" applyBorder="1" applyAlignment="1">
      <alignment horizontal="right" vertical="center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Fill="1" applyBorder="1" applyAlignment="1" applyProtection="1">
      <alignment horizontal="left" vertical="center"/>
    </xf>
    <xf numFmtId="0" fontId="57" fillId="0" borderId="6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175" fontId="49" fillId="22" borderId="68" xfId="0" applyNumberFormat="1" applyFont="1" applyFill="1" applyBorder="1" applyAlignment="1" applyProtection="1">
      <alignment horizontal="right" vertical="center"/>
      <protection locked="0"/>
    </xf>
    <xf numFmtId="175" fontId="49" fillId="22" borderId="44" xfId="0" applyNumberFormat="1" applyFont="1" applyFill="1" applyBorder="1" applyAlignment="1" applyProtection="1">
      <alignment horizontal="right" vertical="center"/>
      <protection locked="0"/>
    </xf>
    <xf numFmtId="175" fontId="49" fillId="22" borderId="69" xfId="0" applyNumberFormat="1" applyFont="1" applyFill="1" applyBorder="1" applyAlignment="1" applyProtection="1">
      <alignment horizontal="right" vertical="center"/>
      <protection locked="0"/>
    </xf>
    <xf numFmtId="175" fontId="49" fillId="22" borderId="62" xfId="0" applyNumberFormat="1" applyFont="1" applyFill="1" applyBorder="1" applyAlignment="1" applyProtection="1">
      <alignment horizontal="right" vertical="center"/>
      <protection locked="0"/>
    </xf>
    <xf numFmtId="0" fontId="57" fillId="0" borderId="21" xfId="0" applyFont="1" applyBorder="1" applyAlignment="1">
      <alignment horizontal="left" vertical="center" indent="1"/>
    </xf>
    <xf numFmtId="0" fontId="57" fillId="0" borderId="22" xfId="0" applyFont="1" applyBorder="1" applyAlignment="1">
      <alignment horizontal="left" vertical="center" indent="1"/>
    </xf>
    <xf numFmtId="0" fontId="57" fillId="0" borderId="23" xfId="0" applyFont="1" applyBorder="1" applyAlignment="1">
      <alignment horizontal="left" vertical="center" indent="1"/>
    </xf>
    <xf numFmtId="0" fontId="57" fillId="0" borderId="30" xfId="0" applyFont="1" applyBorder="1" applyAlignment="1">
      <alignment horizontal="left" vertical="center" indent="1"/>
    </xf>
    <xf numFmtId="0" fontId="57" fillId="0" borderId="31" xfId="0" applyFont="1" applyBorder="1" applyAlignment="1">
      <alignment horizontal="left" vertical="center" indent="1"/>
    </xf>
    <xf numFmtId="0" fontId="57" fillId="0" borderId="32" xfId="0" applyFont="1" applyBorder="1" applyAlignment="1">
      <alignment horizontal="left" vertical="center" indent="1"/>
    </xf>
    <xf numFmtId="0" fontId="50" fillId="28" borderId="77" xfId="0" applyFont="1" applyFill="1" applyBorder="1" applyAlignment="1" applyProtection="1">
      <alignment horizontal="center" vertical="center"/>
    </xf>
    <xf numFmtId="0" fontId="50" fillId="28" borderId="25" xfId="0" applyFont="1" applyFill="1" applyBorder="1" applyAlignment="1" applyProtection="1">
      <alignment horizontal="center" vertical="center"/>
    </xf>
    <xf numFmtId="0" fontId="50" fillId="28" borderId="26" xfId="0" applyFont="1" applyFill="1" applyBorder="1" applyAlignment="1" applyProtection="1">
      <alignment horizontal="center" vertical="center"/>
    </xf>
    <xf numFmtId="0" fontId="29" fillId="27" borderId="77" xfId="0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9" fillId="11" borderId="77" xfId="0" applyFont="1" applyFill="1" applyBorder="1" applyAlignment="1" applyProtection="1">
      <alignment horizontal="center" vertical="center"/>
    </xf>
    <xf numFmtId="0" fontId="29" fillId="11" borderId="25" xfId="0" applyFont="1" applyFill="1" applyBorder="1" applyAlignment="1" applyProtection="1">
      <alignment horizontal="center" vertical="center"/>
    </xf>
    <xf numFmtId="0" fontId="29" fillId="11" borderId="26" xfId="0" applyFont="1" applyFill="1" applyBorder="1" applyAlignment="1" applyProtection="1">
      <alignment horizontal="center" vertical="center"/>
    </xf>
    <xf numFmtId="0" fontId="50" fillId="0" borderId="27" xfId="0" applyFont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28" fillId="0" borderId="71" xfId="0" applyFont="1" applyBorder="1" applyAlignment="1" applyProtection="1">
      <alignment horizontal="left" indent="1"/>
    </xf>
    <xf numFmtId="0" fontId="0" fillId="0" borderId="40" xfId="0" applyBorder="1" applyAlignment="1">
      <alignment horizontal="left" indent="1"/>
    </xf>
    <xf numFmtId="0" fontId="28" fillId="0" borderId="79" xfId="0" applyFont="1" applyBorder="1" applyAlignment="1" applyProtection="1">
      <alignment horizontal="left" indent="1"/>
    </xf>
    <xf numFmtId="0" fontId="0" fillId="0" borderId="72" xfId="0" applyBorder="1" applyAlignment="1">
      <alignment horizontal="left" indent="1"/>
    </xf>
    <xf numFmtId="0" fontId="50" fillId="0" borderId="77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25" fillId="0" borderId="40" xfId="0" applyFont="1" applyBorder="1" applyAlignment="1">
      <alignment horizontal="left" indent="1"/>
    </xf>
    <xf numFmtId="0" fontId="25" fillId="0" borderId="72" xfId="0" applyFont="1" applyBorder="1" applyAlignment="1">
      <alignment horizontal="left" indent="1"/>
    </xf>
    <xf numFmtId="0" fontId="50" fillId="0" borderId="77" xfId="0" applyFont="1" applyBorder="1" applyAlignment="1" applyProtection="1">
      <alignment horizontal="left"/>
    </xf>
    <xf numFmtId="0" fontId="25" fillId="0" borderId="26" xfId="0" applyFont="1" applyBorder="1" applyAlignment="1">
      <alignment horizontal="left"/>
    </xf>
    <xf numFmtId="0" fontId="28" fillId="0" borderId="77" xfId="0" applyFont="1" applyBorder="1" applyAlignment="1">
      <alignment horizontal="left" indent="1"/>
    </xf>
    <xf numFmtId="0" fontId="25" fillId="0" borderId="26" xfId="0" applyFont="1" applyBorder="1" applyAlignment="1">
      <alignment horizontal="left" indent="1"/>
    </xf>
    <xf numFmtId="0" fontId="57" fillId="0" borderId="21" xfId="0" applyFont="1" applyFill="1" applyBorder="1" applyAlignment="1">
      <alignment horizontal="left" vertical="center"/>
    </xf>
    <xf numFmtId="0" fontId="57" fillId="0" borderId="23" xfId="0" applyFont="1" applyFill="1" applyBorder="1" applyAlignment="1">
      <alignment horizontal="left" vertical="center"/>
    </xf>
    <xf numFmtId="0" fontId="57" fillId="0" borderId="30" xfId="0" applyFont="1" applyFill="1" applyBorder="1" applyAlignment="1">
      <alignment horizontal="left" vertical="center"/>
    </xf>
    <xf numFmtId="0" fontId="57" fillId="0" borderId="32" xfId="0" applyFont="1" applyFill="1" applyBorder="1" applyAlignment="1">
      <alignment horizontal="left" vertical="center"/>
    </xf>
    <xf numFmtId="0" fontId="28" fillId="0" borderId="52" xfId="0" applyFont="1" applyBorder="1" applyAlignment="1" applyProtection="1">
      <alignment horizontal="left" indent="1"/>
    </xf>
    <xf numFmtId="0" fontId="0" fillId="0" borderId="54" xfId="0" applyBorder="1" applyAlignment="1">
      <alignment horizontal="left" indent="1"/>
    </xf>
    <xf numFmtId="0" fontId="50" fillId="0" borderId="41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26" xfId="0" applyFont="1" applyBorder="1" applyAlignment="1">
      <alignment horizontal="left"/>
    </xf>
    <xf numFmtId="0" fontId="41" fillId="0" borderId="77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28" fillId="0" borderId="54" xfId="0" applyFont="1" applyBorder="1" applyAlignment="1" applyProtection="1">
      <alignment horizontal="left" indent="1"/>
    </xf>
    <xf numFmtId="0" fontId="50" fillId="27" borderId="30" xfId="0" applyFont="1" applyFill="1" applyBorder="1" applyAlignment="1" applyProtection="1">
      <alignment horizontal="center" vertical="center" wrapText="1"/>
    </xf>
    <xf numFmtId="0" fontId="50" fillId="27" borderId="32" xfId="0" applyFont="1" applyFill="1" applyBorder="1" applyAlignment="1" applyProtection="1">
      <alignment horizontal="center" vertical="center" wrapText="1"/>
    </xf>
    <xf numFmtId="0" fontId="50" fillId="0" borderId="41" xfId="0" applyFont="1" applyBorder="1" applyAlignment="1">
      <alignment horizontal="center" vertical="center" wrapText="1"/>
    </xf>
    <xf numFmtId="0" fontId="50" fillId="0" borderId="48" xfId="0" applyFont="1" applyBorder="1" applyAlignment="1">
      <alignment horizontal="center" vertical="center" wrapText="1"/>
    </xf>
    <xf numFmtId="0" fontId="50" fillId="0" borderId="71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8" fillId="0" borderId="71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8" fillId="0" borderId="79" xfId="0" applyFont="1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57" fillId="0" borderId="21" xfId="0" applyFont="1" applyBorder="1" applyAlignment="1">
      <alignment horizontal="left" vertical="center"/>
    </xf>
    <xf numFmtId="0" fontId="57" fillId="0" borderId="23" xfId="0" applyFont="1" applyBorder="1" applyAlignment="1">
      <alignment horizontal="left" vertical="center"/>
    </xf>
    <xf numFmtId="0" fontId="57" fillId="0" borderId="27" xfId="0" applyFont="1" applyBorder="1" applyAlignment="1">
      <alignment horizontal="left" vertical="center"/>
    </xf>
    <xf numFmtId="0" fontId="57" fillId="0" borderId="28" xfId="0" applyFont="1" applyBorder="1" applyAlignment="1">
      <alignment horizontal="left" vertical="center"/>
    </xf>
    <xf numFmtId="0" fontId="57" fillId="0" borderId="30" xfId="0" applyFont="1" applyBorder="1" applyAlignment="1">
      <alignment horizontal="left" vertical="center"/>
    </xf>
    <xf numFmtId="0" fontId="57" fillId="0" borderId="32" xfId="0" applyFont="1" applyBorder="1" applyAlignment="1">
      <alignment horizontal="left" vertical="center"/>
    </xf>
    <xf numFmtId="0" fontId="50" fillId="0" borderId="52" xfId="0" applyFont="1" applyBorder="1" applyAlignment="1">
      <alignment horizontal="left" vertical="center"/>
    </xf>
    <xf numFmtId="0" fontId="50" fillId="0" borderId="54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 indent="1"/>
    </xf>
    <xf numFmtId="0" fontId="29" fillId="0" borderId="0" xfId="0" applyFont="1" applyFill="1" applyBorder="1" applyAlignment="1">
      <alignment horizontal="right" vertical="center"/>
    </xf>
    <xf numFmtId="0" fontId="29" fillId="0" borderId="28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9" fillId="0" borderId="0" xfId="0" applyFont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176" fontId="61" fillId="22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171" fontId="29" fillId="29" borderId="16" xfId="0" applyNumberFormat="1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28" xfId="0" applyFont="1" applyFill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9" fillId="0" borderId="28" xfId="0" applyFont="1" applyBorder="1" applyAlignment="1" applyProtection="1">
      <alignment horizontal="right" vertical="center"/>
    </xf>
    <xf numFmtId="176" fontId="29" fillId="0" borderId="47" xfId="0" applyNumberFormat="1" applyFont="1" applyBorder="1" applyAlignment="1">
      <alignment horizontal="center" vertical="center"/>
    </xf>
    <xf numFmtId="176" fontId="29" fillId="0" borderId="47" xfId="0" applyNumberFormat="1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30" fillId="0" borderId="28" xfId="0" applyFont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/>
    </xf>
    <xf numFmtId="0" fontId="40" fillId="0" borderId="0" xfId="0" applyFont="1" applyAlignment="1" applyProtection="1">
      <alignment horizontal="left"/>
    </xf>
    <xf numFmtId="0" fontId="28" fillId="0" borderId="52" xfId="75" applyFont="1" applyFill="1" applyBorder="1" applyAlignment="1" applyProtection="1">
      <alignment horizontal="center" vertical="center"/>
    </xf>
    <xf numFmtId="0" fontId="28" fillId="0" borderId="53" xfId="75" applyFont="1" applyFill="1" applyBorder="1" applyAlignment="1" applyProtection="1">
      <alignment horizontal="center" vertical="center"/>
    </xf>
    <xf numFmtId="0" fontId="28" fillId="0" borderId="54" xfId="75" applyFont="1" applyFill="1" applyBorder="1" applyAlignment="1" applyProtection="1">
      <alignment horizontal="center" vertical="center"/>
    </xf>
    <xf numFmtId="0" fontId="28" fillId="0" borderId="22" xfId="75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7"/>
    <cellStyle name="Normal 2 2" xfId="76"/>
    <cellStyle name="Normal 2_EDFE_SPN_Main_FBPQ (v030909) v4.7" xfId="82"/>
    <cellStyle name="Normal 3" xfId="69"/>
    <cellStyle name="Normal 3_EDFE_SPN_Main_FBPQ (v030909) v4.7" xfId="83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79"/>
    <cellStyle name="Normal_EDFE_SPN_Main_FBPQ (v030909) v4.7" xfId="81"/>
    <cellStyle name="Normal_Network Tables 07_08" xfId="68"/>
    <cellStyle name="Normal_Network Tables 07_08 2" xfId="78"/>
    <cellStyle name="Normal_Opex Tables" xfId="85"/>
    <cellStyle name="Normal_risk table" xfId="75"/>
    <cellStyle name="Normal_risk table_EDFE_SPN_Main_FBPQ (v030909) v4.7" xfId="84"/>
    <cellStyle name="Normal_RRP table 4_3 update" xfId="74"/>
    <cellStyle name="Normal_SPN FBPQ Connections Aug v 5 0 (opt3) Rounded" xfId="71"/>
    <cellStyle name="Normal_Tables for 2005-06 Cost report (linked data v2)" xfId="86"/>
    <cellStyle name="Note" xfId="19" builtinId="10" hidden="1"/>
    <cellStyle name="Output" xfId="14" builtinId="21" hidden="1"/>
    <cellStyle name="Percent" xfId="1" builtinId="5"/>
    <cellStyle name="Percent 2 2" xfId="77"/>
    <cellStyle name="Percent 4" xfId="80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2</xdr:col>
          <xdr:colOff>1343025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333375</xdr:rowOff>
    </xdr:from>
    <xdr:to>
      <xdr:col>4</xdr:col>
      <xdr:colOff>47625</xdr:colOff>
      <xdr:row>2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67575" y="333375"/>
          <a:ext cx="1209675" cy="35242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1238250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38750" y="333375"/>
          <a:ext cx="1000125" cy="3333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/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Mid East in April 17  Status: Finals</v>
      </c>
    </row>
    <row r="3" spans="1:2">
      <c r="A3" s="2" t="s">
        <v>978</v>
      </c>
    </row>
    <row r="4" spans="1:2">
      <c r="A4" s="2" t="s">
        <v>979</v>
      </c>
    </row>
    <row r="5" spans="1:2">
      <c r="A5" s="2" t="s">
        <v>980</v>
      </c>
    </row>
    <row r="7" spans="1:2">
      <c r="A7" s="14" t="s">
        <v>971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975</v>
      </c>
    </row>
    <row r="12" spans="1:2">
      <c r="A12" s="2" t="s">
        <v>7</v>
      </c>
      <c r="B12" s="2" t="s">
        <v>975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977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972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42" t="s">
        <v>965</v>
      </c>
      <c r="B31" s="2" t="s">
        <v>22</v>
      </c>
    </row>
    <row r="32" spans="1:2">
      <c r="A32" s="42" t="s">
        <v>25</v>
      </c>
      <c r="B32" s="2" t="s">
        <v>22</v>
      </c>
    </row>
    <row r="33" spans="1:2">
      <c r="A33" s="42" t="s">
        <v>966</v>
      </c>
      <c r="B33" s="2" t="s">
        <v>22</v>
      </c>
    </row>
    <row r="34" spans="1:2">
      <c r="A34" s="42" t="s">
        <v>967</v>
      </c>
      <c r="B34" s="2" t="s">
        <v>22</v>
      </c>
    </row>
    <row r="35" spans="1:2">
      <c r="A35" s="42"/>
    </row>
    <row r="36" spans="1:2">
      <c r="A36" s="43" t="s">
        <v>973</v>
      </c>
      <c r="B36" s="14" t="s">
        <v>0</v>
      </c>
    </row>
    <row r="37" spans="1:2">
      <c r="A37" s="42" t="s">
        <v>968</v>
      </c>
      <c r="B37" s="2" t="s">
        <v>964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zoomScaleSheetLayoutView="85" workbookViewId="0">
      <selection sqref="A1:XFD1048576"/>
    </sheetView>
  </sheetViews>
  <sheetFormatPr defaultColWidth="10.28515625" defaultRowHeight="12.75"/>
  <cols>
    <col min="1" max="1" width="3.28515625" style="848" customWidth="1"/>
    <col min="2" max="2" width="30.85546875" style="848" customWidth="1"/>
    <col min="3" max="3" width="14.42578125" style="848" customWidth="1"/>
    <col min="4" max="25" width="15" style="848" customWidth="1"/>
    <col min="26" max="16384" width="10.28515625" style="848"/>
  </cols>
  <sheetData>
    <row r="1" spans="1:13" s="843" customFormat="1" ht="26.25">
      <c r="A1" s="839" t="s">
        <v>340</v>
      </c>
      <c r="B1" s="840"/>
      <c r="C1" s="841"/>
      <c r="D1" s="841"/>
      <c r="E1" s="841"/>
      <c r="F1" s="841"/>
      <c r="G1" s="842"/>
    </row>
    <row r="2" spans="1:13" s="843" customFormat="1" ht="18">
      <c r="A2" s="840" t="s">
        <v>990</v>
      </c>
      <c r="B2" s="844"/>
    </row>
    <row r="3" spans="1:13" s="847" customFormat="1" ht="27" thickBot="1">
      <c r="A3" s="845" t="s">
        <v>463</v>
      </c>
      <c r="B3" s="846"/>
    </row>
    <row r="5" spans="1:13">
      <c r="B5" s="849" t="s">
        <v>464</v>
      </c>
    </row>
    <row r="6" spans="1:13" ht="13.5" thickBot="1"/>
    <row r="7" spans="1:13">
      <c r="B7" s="1591"/>
      <c r="C7" s="1592"/>
      <c r="D7" s="850" t="s">
        <v>191</v>
      </c>
      <c r="E7" s="851"/>
      <c r="F7" s="851"/>
      <c r="G7" s="851"/>
      <c r="H7" s="852"/>
      <c r="I7" s="850" t="s">
        <v>192</v>
      </c>
      <c r="J7" s="853"/>
      <c r="K7" s="853"/>
      <c r="L7" s="853"/>
      <c r="M7" s="852"/>
    </row>
    <row r="8" spans="1:13">
      <c r="B8" s="1593"/>
      <c r="C8" s="1594"/>
      <c r="D8" s="854" t="s">
        <v>79</v>
      </c>
      <c r="E8" s="855" t="s">
        <v>80</v>
      </c>
      <c r="F8" s="855" t="s">
        <v>81</v>
      </c>
      <c r="G8" s="855" t="s">
        <v>82</v>
      </c>
      <c r="H8" s="856" t="s">
        <v>44</v>
      </c>
      <c r="I8" s="854" t="s">
        <v>193</v>
      </c>
      <c r="J8" s="855" t="s">
        <v>194</v>
      </c>
      <c r="K8" s="855" t="s">
        <v>195</v>
      </c>
      <c r="L8" s="855" t="s">
        <v>196</v>
      </c>
      <c r="M8" s="856" t="s">
        <v>197</v>
      </c>
    </row>
    <row r="9" spans="1:13" ht="15" customHeight="1">
      <c r="B9" s="857" t="s">
        <v>465</v>
      </c>
      <c r="C9" s="858"/>
      <c r="D9" s="859"/>
      <c r="E9" s="860"/>
      <c r="F9" s="860"/>
      <c r="G9" s="860"/>
      <c r="H9" s="861"/>
      <c r="I9" s="859"/>
      <c r="J9" s="860"/>
      <c r="K9" s="860"/>
      <c r="L9" s="860"/>
      <c r="M9" s="861"/>
    </row>
    <row r="10" spans="1:13" ht="15" customHeight="1">
      <c r="B10" s="862" t="s">
        <v>466</v>
      </c>
      <c r="C10" s="858" t="s">
        <v>203</v>
      </c>
      <c r="D10" s="863"/>
      <c r="E10" s="864"/>
      <c r="F10" s="864"/>
      <c r="G10" s="864"/>
      <c r="H10" s="861"/>
      <c r="I10" s="863"/>
      <c r="J10" s="865"/>
      <c r="K10" s="865"/>
      <c r="L10" s="865"/>
      <c r="M10" s="866"/>
    </row>
    <row r="11" spans="1:13" ht="15" customHeight="1">
      <c r="B11" s="862" t="s">
        <v>467</v>
      </c>
      <c r="C11" s="858" t="s">
        <v>203</v>
      </c>
      <c r="D11" s="867"/>
      <c r="E11" s="867"/>
      <c r="F11" s="867"/>
      <c r="G11" s="867"/>
      <c r="H11" s="868"/>
      <c r="I11" s="869"/>
      <c r="J11" s="870"/>
      <c r="K11" s="870"/>
      <c r="L11" s="870"/>
      <c r="M11" s="871"/>
    </row>
    <row r="12" spans="1:13" ht="15" customHeight="1">
      <c r="B12" s="862" t="s">
        <v>468</v>
      </c>
      <c r="C12" s="858" t="s">
        <v>203</v>
      </c>
      <c r="D12" s="867"/>
      <c r="E12" s="867"/>
      <c r="F12" s="867"/>
      <c r="G12" s="867"/>
      <c r="H12" s="868"/>
      <c r="I12" s="869"/>
      <c r="J12" s="870"/>
      <c r="K12" s="870"/>
      <c r="L12" s="870"/>
      <c r="M12" s="871"/>
    </row>
    <row r="13" spans="1:13" ht="15" customHeight="1">
      <c r="B13" s="857" t="s">
        <v>469</v>
      </c>
      <c r="C13" s="858"/>
      <c r="D13" s="859"/>
      <c r="E13" s="860"/>
      <c r="F13" s="860"/>
      <c r="G13" s="860"/>
      <c r="H13" s="861"/>
      <c r="I13" s="859"/>
      <c r="J13" s="860"/>
      <c r="K13" s="860"/>
      <c r="L13" s="860"/>
      <c r="M13" s="861"/>
    </row>
    <row r="14" spans="1:13" ht="15" customHeight="1">
      <c r="B14" s="862" t="s">
        <v>470</v>
      </c>
      <c r="C14" s="858" t="s">
        <v>203</v>
      </c>
      <c r="D14" s="867"/>
      <c r="E14" s="867"/>
      <c r="F14" s="867"/>
      <c r="G14" s="867"/>
      <c r="H14" s="868"/>
      <c r="I14" s="869"/>
      <c r="J14" s="870"/>
      <c r="K14" s="870"/>
      <c r="L14" s="870"/>
      <c r="M14" s="871"/>
    </row>
    <row r="15" spans="1:13" ht="15" customHeight="1">
      <c r="B15" s="862" t="s">
        <v>471</v>
      </c>
      <c r="C15" s="858" t="s">
        <v>203</v>
      </c>
      <c r="D15" s="867"/>
      <c r="E15" s="867"/>
      <c r="F15" s="867"/>
      <c r="G15" s="867"/>
      <c r="H15" s="868"/>
      <c r="I15" s="869"/>
      <c r="J15" s="870"/>
      <c r="K15" s="870"/>
      <c r="L15" s="870"/>
      <c r="M15" s="871"/>
    </row>
    <row r="16" spans="1:13" ht="15" customHeight="1">
      <c r="B16" s="862" t="s">
        <v>472</v>
      </c>
      <c r="C16" s="858" t="s">
        <v>203</v>
      </c>
      <c r="D16" s="867"/>
      <c r="E16" s="867"/>
      <c r="F16" s="867"/>
      <c r="G16" s="867"/>
      <c r="H16" s="868"/>
      <c r="I16" s="869"/>
      <c r="J16" s="870"/>
      <c r="K16" s="870"/>
      <c r="L16" s="870"/>
      <c r="M16" s="871"/>
    </row>
    <row r="17" spans="2:13" ht="15" customHeight="1">
      <c r="B17" s="857" t="s">
        <v>410</v>
      </c>
      <c r="C17" s="858"/>
      <c r="D17" s="859"/>
      <c r="E17" s="860"/>
      <c r="F17" s="860"/>
      <c r="G17" s="860"/>
      <c r="H17" s="861"/>
      <c r="I17" s="859"/>
      <c r="J17" s="860"/>
      <c r="K17" s="860"/>
      <c r="L17" s="860"/>
      <c r="M17" s="861"/>
    </row>
    <row r="18" spans="2:13" ht="15" customHeight="1">
      <c r="B18" s="862" t="s">
        <v>473</v>
      </c>
      <c r="C18" s="858" t="s">
        <v>203</v>
      </c>
      <c r="D18" s="867"/>
      <c r="E18" s="867"/>
      <c r="F18" s="867"/>
      <c r="G18" s="867"/>
      <c r="H18" s="868"/>
      <c r="I18" s="869"/>
      <c r="J18" s="870"/>
      <c r="K18" s="870"/>
      <c r="L18" s="870"/>
      <c r="M18" s="871"/>
    </row>
    <row r="19" spans="2:13" ht="15" customHeight="1">
      <c r="B19" s="862" t="s">
        <v>474</v>
      </c>
      <c r="C19" s="858" t="s">
        <v>203</v>
      </c>
      <c r="D19" s="867"/>
      <c r="E19" s="867"/>
      <c r="F19" s="867"/>
      <c r="G19" s="867"/>
      <c r="H19" s="868"/>
      <c r="I19" s="869"/>
      <c r="J19" s="870"/>
      <c r="K19" s="870"/>
      <c r="L19" s="870"/>
      <c r="M19" s="871"/>
    </row>
    <row r="20" spans="2:13" ht="15" customHeight="1">
      <c r="B20" s="862" t="s">
        <v>475</v>
      </c>
      <c r="C20" s="858" t="s">
        <v>203</v>
      </c>
      <c r="D20" s="867"/>
      <c r="E20" s="867"/>
      <c r="F20" s="867"/>
      <c r="G20" s="867"/>
      <c r="H20" s="868"/>
      <c r="I20" s="869"/>
      <c r="J20" s="870"/>
      <c r="K20" s="870"/>
      <c r="L20" s="870"/>
      <c r="M20" s="871"/>
    </row>
    <row r="21" spans="2:13" ht="15" customHeight="1">
      <c r="B21" s="862" t="s">
        <v>476</v>
      </c>
      <c r="C21" s="858" t="s">
        <v>203</v>
      </c>
      <c r="D21" s="867"/>
      <c r="E21" s="867"/>
      <c r="F21" s="867"/>
      <c r="G21" s="867"/>
      <c r="H21" s="868"/>
      <c r="I21" s="869"/>
      <c r="J21" s="870"/>
      <c r="K21" s="870"/>
      <c r="L21" s="870"/>
      <c r="M21" s="871"/>
    </row>
    <row r="22" spans="2:13" s="874" customFormat="1" ht="15" customHeight="1">
      <c r="B22" s="872"/>
      <c r="C22" s="873" t="s">
        <v>203</v>
      </c>
      <c r="D22" s="867"/>
      <c r="E22" s="867"/>
      <c r="F22" s="867"/>
      <c r="G22" s="867"/>
      <c r="H22" s="868"/>
      <c r="I22" s="869"/>
      <c r="J22" s="870"/>
      <c r="K22" s="870"/>
      <c r="L22" s="870"/>
      <c r="M22" s="871"/>
    </row>
    <row r="23" spans="2:13" s="874" customFormat="1" ht="15" customHeight="1">
      <c r="B23" s="872" t="s">
        <v>477</v>
      </c>
      <c r="C23" s="873" t="s">
        <v>203</v>
      </c>
      <c r="D23" s="875"/>
      <c r="E23" s="875"/>
      <c r="F23" s="875"/>
      <c r="G23" s="875"/>
      <c r="H23" s="876"/>
      <c r="I23" s="877"/>
      <c r="J23" s="878"/>
      <c r="K23" s="878"/>
      <c r="L23" s="878"/>
      <c r="M23" s="879"/>
    </row>
    <row r="24" spans="2:13" s="874" customFormat="1" ht="15" customHeight="1">
      <c r="B24" s="872" t="s">
        <v>478</v>
      </c>
      <c r="C24" s="873" t="s">
        <v>203</v>
      </c>
      <c r="D24" s="875"/>
      <c r="E24" s="875"/>
      <c r="F24" s="875"/>
      <c r="G24" s="875"/>
      <c r="H24" s="876"/>
      <c r="I24" s="877"/>
      <c r="J24" s="878"/>
      <c r="K24" s="878"/>
      <c r="L24" s="878"/>
      <c r="M24" s="879"/>
    </row>
    <row r="25" spans="2:13" s="874" customFormat="1" ht="15" customHeight="1" thickBot="1">
      <c r="B25" s="880" t="s">
        <v>200</v>
      </c>
      <c r="C25" s="881" t="s">
        <v>203</v>
      </c>
      <c r="D25" s="882">
        <f t="shared" ref="D25:M25" si="0">SUM(D10:D24)</f>
        <v>0</v>
      </c>
      <c r="E25" s="883">
        <f t="shared" si="0"/>
        <v>0</v>
      </c>
      <c r="F25" s="883">
        <f t="shared" si="0"/>
        <v>0</v>
      </c>
      <c r="G25" s="883">
        <f t="shared" si="0"/>
        <v>0</v>
      </c>
      <c r="H25" s="883">
        <f t="shared" si="0"/>
        <v>0</v>
      </c>
      <c r="I25" s="882">
        <f t="shared" si="0"/>
        <v>0</v>
      </c>
      <c r="J25" s="883">
        <f t="shared" si="0"/>
        <v>0</v>
      </c>
      <c r="K25" s="883">
        <f t="shared" si="0"/>
        <v>0</v>
      </c>
      <c r="L25" s="883">
        <f t="shared" si="0"/>
        <v>0</v>
      </c>
      <c r="M25" s="884">
        <f t="shared" si="0"/>
        <v>0</v>
      </c>
    </row>
    <row r="26" spans="2:13" ht="15" customHeight="1">
      <c r="B26" s="885"/>
      <c r="C26" s="886"/>
      <c r="D26" s="887"/>
      <c r="E26" s="887"/>
      <c r="F26" s="887"/>
    </row>
    <row r="27" spans="2:13" ht="15" customHeight="1"/>
    <row r="28" spans="2:13" ht="15" customHeight="1">
      <c r="B28" s="849" t="s">
        <v>479</v>
      </c>
      <c r="C28" s="849"/>
      <c r="D28" s="849"/>
      <c r="E28" s="849"/>
      <c r="F28" s="849"/>
      <c r="G28" s="849"/>
      <c r="H28" s="849"/>
      <c r="I28" s="849"/>
      <c r="J28" s="849"/>
      <c r="K28" s="849"/>
    </row>
    <row r="29" spans="2:13" ht="15" customHeight="1">
      <c r="B29" s="849"/>
      <c r="C29" s="849"/>
      <c r="D29" s="849"/>
      <c r="E29" s="849"/>
      <c r="F29" s="849"/>
      <c r="G29" s="849"/>
      <c r="H29" s="849"/>
      <c r="I29" s="849"/>
      <c r="J29" s="849"/>
      <c r="K29" s="849"/>
    </row>
    <row r="30" spans="2:13" ht="15" customHeight="1" thickBot="1">
      <c r="B30" s="888" t="s">
        <v>480</v>
      </c>
      <c r="C30" s="849"/>
      <c r="D30" s="849"/>
      <c r="E30" s="849"/>
      <c r="F30" s="849"/>
      <c r="G30" s="849"/>
      <c r="H30" s="849"/>
      <c r="I30" s="849"/>
      <c r="J30" s="849"/>
      <c r="K30" s="849"/>
    </row>
    <row r="31" spans="2:13" ht="15" customHeight="1">
      <c r="B31" s="1591"/>
      <c r="C31" s="1592"/>
      <c r="D31" s="851" t="s">
        <v>191</v>
      </c>
      <c r="E31" s="851"/>
      <c r="F31" s="851"/>
      <c r="G31" s="851"/>
      <c r="H31" s="852"/>
      <c r="I31" s="850" t="s">
        <v>192</v>
      </c>
      <c r="J31" s="853"/>
      <c r="K31" s="853"/>
      <c r="L31" s="853"/>
      <c r="M31" s="852"/>
    </row>
    <row r="32" spans="2:13" ht="15" customHeight="1">
      <c r="B32" s="1593"/>
      <c r="C32" s="1594"/>
      <c r="D32" s="889" t="s">
        <v>79</v>
      </c>
      <c r="E32" s="855" t="s">
        <v>80</v>
      </c>
      <c r="F32" s="855" t="s">
        <v>81</v>
      </c>
      <c r="G32" s="855" t="s">
        <v>82</v>
      </c>
      <c r="H32" s="856" t="s">
        <v>44</v>
      </c>
      <c r="I32" s="854" t="s">
        <v>193</v>
      </c>
      <c r="J32" s="855" t="s">
        <v>194</v>
      </c>
      <c r="K32" s="855" t="s">
        <v>195</v>
      </c>
      <c r="L32" s="855" t="s">
        <v>196</v>
      </c>
      <c r="M32" s="856" t="s">
        <v>197</v>
      </c>
    </row>
    <row r="33" spans="2:13" ht="15" customHeight="1">
      <c r="B33" s="862" t="s">
        <v>413</v>
      </c>
      <c r="C33" s="858" t="s">
        <v>203</v>
      </c>
      <c r="D33" s="867"/>
      <c r="E33" s="867"/>
      <c r="F33" s="867"/>
      <c r="G33" s="867"/>
      <c r="H33" s="868"/>
      <c r="I33" s="869"/>
      <c r="J33" s="870"/>
      <c r="K33" s="870"/>
      <c r="L33" s="870"/>
      <c r="M33" s="871"/>
    </row>
    <row r="34" spans="2:13" ht="15" customHeight="1">
      <c r="B34" s="862" t="s">
        <v>223</v>
      </c>
      <c r="C34" s="858" t="s">
        <v>203</v>
      </c>
      <c r="D34" s="867"/>
      <c r="E34" s="867"/>
      <c r="F34" s="867"/>
      <c r="G34" s="867"/>
      <c r="H34" s="868"/>
      <c r="I34" s="869"/>
      <c r="J34" s="870"/>
      <c r="K34" s="870"/>
      <c r="L34" s="870"/>
      <c r="M34" s="871"/>
    </row>
    <row r="35" spans="2:13" ht="15" customHeight="1">
      <c r="B35" s="862" t="s">
        <v>402</v>
      </c>
      <c r="C35" s="858" t="s">
        <v>203</v>
      </c>
      <c r="D35" s="867"/>
      <c r="E35" s="867"/>
      <c r="F35" s="867"/>
      <c r="G35" s="867"/>
      <c r="H35" s="868"/>
      <c r="I35" s="869"/>
      <c r="J35" s="870"/>
      <c r="K35" s="870"/>
      <c r="L35" s="870"/>
      <c r="M35" s="871"/>
    </row>
    <row r="36" spans="2:13" ht="15" customHeight="1">
      <c r="B36" s="862" t="s">
        <v>481</v>
      </c>
      <c r="C36" s="890" t="s">
        <v>203</v>
      </c>
      <c r="D36" s="867"/>
      <c r="E36" s="867"/>
      <c r="F36" s="867"/>
      <c r="G36" s="867"/>
      <c r="H36" s="868"/>
      <c r="I36" s="869"/>
      <c r="J36" s="870"/>
      <c r="K36" s="870"/>
      <c r="L36" s="870"/>
      <c r="M36" s="871"/>
    </row>
    <row r="37" spans="2:13" ht="15" customHeight="1" thickBot="1">
      <c r="B37" s="891" t="s">
        <v>200</v>
      </c>
      <c r="C37" s="892" t="s">
        <v>203</v>
      </c>
      <c r="D37" s="893">
        <f t="shared" ref="D37:M37" si="1">SUM(D33:D36)</f>
        <v>0</v>
      </c>
      <c r="E37" s="894">
        <f t="shared" si="1"/>
        <v>0</v>
      </c>
      <c r="F37" s="894">
        <f t="shared" si="1"/>
        <v>0</v>
      </c>
      <c r="G37" s="894">
        <f t="shared" si="1"/>
        <v>0</v>
      </c>
      <c r="H37" s="895">
        <f t="shared" si="1"/>
        <v>0</v>
      </c>
      <c r="I37" s="896">
        <f t="shared" si="1"/>
        <v>0</v>
      </c>
      <c r="J37" s="894">
        <f t="shared" si="1"/>
        <v>0</v>
      </c>
      <c r="K37" s="894">
        <f t="shared" si="1"/>
        <v>0</v>
      </c>
      <c r="L37" s="894">
        <f t="shared" si="1"/>
        <v>0</v>
      </c>
      <c r="M37" s="895">
        <f t="shared" si="1"/>
        <v>0</v>
      </c>
    </row>
    <row r="38" spans="2:13" ht="15" customHeight="1"/>
    <row r="39" spans="2:13" ht="15" customHeight="1" thickBot="1">
      <c r="B39" s="888" t="s">
        <v>482</v>
      </c>
      <c r="C39" s="849"/>
      <c r="D39" s="849"/>
      <c r="E39" s="849"/>
      <c r="F39" s="849"/>
      <c r="G39" s="849"/>
      <c r="H39" s="849"/>
      <c r="I39" s="849"/>
      <c r="J39" s="849"/>
      <c r="K39" s="849"/>
    </row>
    <row r="40" spans="2:13" ht="15" customHeight="1">
      <c r="B40" s="1591"/>
      <c r="C40" s="1592"/>
      <c r="D40" s="851" t="s">
        <v>191</v>
      </c>
      <c r="E40" s="851"/>
      <c r="F40" s="851"/>
      <c r="G40" s="851"/>
      <c r="H40" s="852"/>
      <c r="I40" s="850" t="s">
        <v>192</v>
      </c>
      <c r="J40" s="853"/>
      <c r="K40" s="853"/>
      <c r="L40" s="853"/>
      <c r="M40" s="852"/>
    </row>
    <row r="41" spans="2:13" ht="15" customHeight="1">
      <c r="B41" s="1593"/>
      <c r="C41" s="1594"/>
      <c r="D41" s="889" t="s">
        <v>79</v>
      </c>
      <c r="E41" s="855" t="s">
        <v>80</v>
      </c>
      <c r="F41" s="855" t="s">
        <v>81</v>
      </c>
      <c r="G41" s="855" t="s">
        <v>82</v>
      </c>
      <c r="H41" s="856" t="s">
        <v>44</v>
      </c>
      <c r="I41" s="854" t="s">
        <v>193</v>
      </c>
      <c r="J41" s="855" t="s">
        <v>194</v>
      </c>
      <c r="K41" s="855" t="s">
        <v>195</v>
      </c>
      <c r="L41" s="855" t="s">
        <v>196</v>
      </c>
      <c r="M41" s="856" t="s">
        <v>197</v>
      </c>
    </row>
    <row r="42" spans="2:13" ht="15" customHeight="1">
      <c r="B42" s="862" t="s">
        <v>413</v>
      </c>
      <c r="C42" s="858" t="s">
        <v>203</v>
      </c>
      <c r="D42" s="897"/>
      <c r="E42" s="898"/>
      <c r="F42" s="867"/>
      <c r="G42" s="867"/>
      <c r="H42" s="868"/>
      <c r="I42" s="869"/>
      <c r="J42" s="870"/>
      <c r="K42" s="870"/>
      <c r="L42" s="870"/>
      <c r="M42" s="871"/>
    </row>
    <row r="43" spans="2:13" ht="15" customHeight="1">
      <c r="B43" s="862" t="s">
        <v>223</v>
      </c>
      <c r="C43" s="858" t="s">
        <v>203</v>
      </c>
      <c r="D43" s="897"/>
      <c r="E43" s="898"/>
      <c r="F43" s="867"/>
      <c r="G43" s="867"/>
      <c r="H43" s="868"/>
      <c r="I43" s="869"/>
      <c r="J43" s="870"/>
      <c r="K43" s="870"/>
      <c r="L43" s="870"/>
      <c r="M43" s="871"/>
    </row>
    <row r="44" spans="2:13" ht="15" customHeight="1">
      <c r="B44" s="862" t="s">
        <v>402</v>
      </c>
      <c r="C44" s="858" t="s">
        <v>203</v>
      </c>
      <c r="D44" s="897"/>
      <c r="E44" s="898"/>
      <c r="F44" s="867"/>
      <c r="G44" s="867"/>
      <c r="H44" s="868"/>
      <c r="I44" s="869"/>
      <c r="J44" s="870"/>
      <c r="K44" s="870"/>
      <c r="L44" s="870"/>
      <c r="M44" s="871"/>
    </row>
    <row r="45" spans="2:13" ht="15" customHeight="1">
      <c r="B45" s="862" t="s">
        <v>481</v>
      </c>
      <c r="C45" s="890" t="s">
        <v>203</v>
      </c>
      <c r="D45" s="897"/>
      <c r="E45" s="898"/>
      <c r="F45" s="867"/>
      <c r="G45" s="867"/>
      <c r="H45" s="868"/>
      <c r="I45" s="869"/>
      <c r="J45" s="870"/>
      <c r="K45" s="870"/>
      <c r="L45" s="870"/>
      <c r="M45" s="871"/>
    </row>
    <row r="46" spans="2:13" ht="15" customHeight="1" thickBot="1">
      <c r="B46" s="891" t="s">
        <v>200</v>
      </c>
      <c r="C46" s="892" t="s">
        <v>203</v>
      </c>
      <c r="D46" s="893">
        <f t="shared" ref="D46:M46" si="2">SUM(D42:D45)</f>
        <v>0</v>
      </c>
      <c r="E46" s="894">
        <f t="shared" si="2"/>
        <v>0</v>
      </c>
      <c r="F46" s="894">
        <f t="shared" si="2"/>
        <v>0</v>
      </c>
      <c r="G46" s="894">
        <f t="shared" si="2"/>
        <v>0</v>
      </c>
      <c r="H46" s="895">
        <f t="shared" si="2"/>
        <v>0</v>
      </c>
      <c r="I46" s="896">
        <f t="shared" si="2"/>
        <v>0</v>
      </c>
      <c r="J46" s="894">
        <f t="shared" si="2"/>
        <v>0</v>
      </c>
      <c r="K46" s="894">
        <f t="shared" si="2"/>
        <v>0</v>
      </c>
      <c r="L46" s="894">
        <f t="shared" si="2"/>
        <v>0</v>
      </c>
      <c r="M46" s="895">
        <f t="shared" si="2"/>
        <v>0</v>
      </c>
    </row>
    <row r="47" spans="2:13" ht="15" customHeight="1"/>
    <row r="48" spans="2:13" ht="15" customHeight="1">
      <c r="B48" s="849" t="s">
        <v>483</v>
      </c>
      <c r="C48" s="849"/>
      <c r="D48" s="849"/>
      <c r="E48" s="849"/>
      <c r="F48" s="849"/>
      <c r="G48" s="849"/>
      <c r="H48" s="849"/>
      <c r="I48" s="849"/>
      <c r="J48" s="849"/>
      <c r="K48" s="849"/>
      <c r="L48" s="849"/>
    </row>
    <row r="49" spans="2:24" ht="15" customHeight="1" thickBot="1">
      <c r="B49" s="888"/>
      <c r="C49" s="849"/>
      <c r="D49" s="849"/>
      <c r="E49" s="849"/>
      <c r="F49" s="849"/>
      <c r="G49" s="849"/>
      <c r="H49" s="849"/>
      <c r="I49" s="849"/>
      <c r="J49" s="849"/>
      <c r="K49" s="849"/>
      <c r="L49" s="849"/>
    </row>
    <row r="50" spans="2:24" ht="15" customHeight="1">
      <c r="B50" s="899"/>
      <c r="C50" s="900" t="s">
        <v>484</v>
      </c>
      <c r="D50" s="901" t="s">
        <v>485</v>
      </c>
      <c r="E50" s="901" t="s">
        <v>486</v>
      </c>
      <c r="F50" s="901" t="s">
        <v>487</v>
      </c>
      <c r="G50" s="901" t="s">
        <v>488</v>
      </c>
      <c r="H50" s="902" t="s">
        <v>489</v>
      </c>
      <c r="I50" s="849"/>
    </row>
    <row r="51" spans="2:24" ht="15" customHeight="1">
      <c r="B51" s="903" t="s">
        <v>413</v>
      </c>
      <c r="C51" s="904">
        <f>D51+E51</f>
        <v>0</v>
      </c>
      <c r="D51" s="905">
        <f>C61</f>
        <v>0</v>
      </c>
      <c r="E51" s="906"/>
      <c r="F51" s="905">
        <f>K61</f>
        <v>0</v>
      </c>
      <c r="G51" s="905">
        <f>S61</f>
        <v>0</v>
      </c>
      <c r="H51" s="907">
        <f>E51-SUM(F51:G51)</f>
        <v>0</v>
      </c>
      <c r="I51" s="849"/>
    </row>
    <row r="52" spans="2:24" ht="15" customHeight="1">
      <c r="B52" s="903" t="s">
        <v>223</v>
      </c>
      <c r="C52" s="904">
        <f>D52+E52</f>
        <v>0</v>
      </c>
      <c r="D52" s="905">
        <f>C62</f>
        <v>0</v>
      </c>
      <c r="E52" s="906"/>
      <c r="F52" s="905">
        <f>K62</f>
        <v>0</v>
      </c>
      <c r="G52" s="905">
        <f>S62</f>
        <v>0</v>
      </c>
      <c r="H52" s="907">
        <f>E52-SUM(F52:G52)</f>
        <v>0</v>
      </c>
      <c r="I52" s="849"/>
    </row>
    <row r="53" spans="2:24" ht="15" customHeight="1">
      <c r="B53" s="903" t="s">
        <v>402</v>
      </c>
      <c r="C53" s="904">
        <f>D53+E53</f>
        <v>0</v>
      </c>
      <c r="D53" s="905">
        <f>C63</f>
        <v>0</v>
      </c>
      <c r="E53" s="906"/>
      <c r="F53" s="905">
        <f>K63</f>
        <v>0</v>
      </c>
      <c r="G53" s="905">
        <f>S63</f>
        <v>0</v>
      </c>
      <c r="H53" s="907">
        <f>E53-SUM(F53:G53)</f>
        <v>0</v>
      </c>
      <c r="I53" s="849"/>
    </row>
    <row r="54" spans="2:24" ht="15" customHeight="1">
      <c r="B54" s="903" t="s">
        <v>481</v>
      </c>
      <c r="C54" s="904">
        <f>D54+E54</f>
        <v>0</v>
      </c>
      <c r="D54" s="905">
        <f>C64</f>
        <v>0</v>
      </c>
      <c r="E54" s="906"/>
      <c r="F54" s="905">
        <f>K64</f>
        <v>0</v>
      </c>
      <c r="G54" s="905">
        <f>S64</f>
        <v>0</v>
      </c>
      <c r="H54" s="907">
        <f>E54-SUM(F54:G54)</f>
        <v>0</v>
      </c>
      <c r="I54" s="849"/>
    </row>
    <row r="55" spans="2:24" ht="15" customHeight="1" thickBot="1">
      <c r="B55" s="908" t="s">
        <v>200</v>
      </c>
      <c r="C55" s="909">
        <f t="shared" ref="C55:H55" si="3">SUM(C51:C54)</f>
        <v>0</v>
      </c>
      <c r="D55" s="910">
        <f t="shared" si="3"/>
        <v>0</v>
      </c>
      <c r="E55" s="910">
        <f t="shared" si="3"/>
        <v>0</v>
      </c>
      <c r="F55" s="910">
        <f t="shared" si="3"/>
        <v>0</v>
      </c>
      <c r="G55" s="910">
        <f t="shared" si="3"/>
        <v>0</v>
      </c>
      <c r="H55" s="911">
        <f t="shared" si="3"/>
        <v>0</v>
      </c>
      <c r="I55" s="849"/>
    </row>
    <row r="56" spans="2:24" ht="15" customHeight="1">
      <c r="B56" s="849"/>
      <c r="C56" s="849"/>
      <c r="D56" s="849"/>
      <c r="E56" s="849"/>
      <c r="F56" s="849"/>
      <c r="G56" s="849"/>
      <c r="H56" s="849"/>
      <c r="I56" s="849"/>
    </row>
    <row r="57" spans="2:24" ht="15" customHeight="1" thickBot="1"/>
    <row r="58" spans="2:24" ht="15" customHeight="1">
      <c r="B58" s="1570" t="s">
        <v>490</v>
      </c>
      <c r="C58" s="1571"/>
      <c r="D58" s="1571"/>
      <c r="E58" s="1571"/>
      <c r="F58" s="1571"/>
      <c r="G58" s="1571"/>
      <c r="H58" s="1572"/>
      <c r="I58" s="912"/>
      <c r="J58" s="1570" t="s">
        <v>491</v>
      </c>
      <c r="K58" s="1571"/>
      <c r="L58" s="1571"/>
      <c r="M58" s="1571"/>
      <c r="N58" s="1571"/>
      <c r="O58" s="1571"/>
      <c r="P58" s="1572"/>
      <c r="R58" s="1570" t="s">
        <v>192</v>
      </c>
      <c r="S58" s="1571"/>
      <c r="T58" s="1571"/>
      <c r="U58" s="1571"/>
      <c r="V58" s="1571"/>
      <c r="W58" s="1571"/>
      <c r="X58" s="1572"/>
    </row>
    <row r="59" spans="2:24" ht="15" customHeight="1">
      <c r="B59" s="1573"/>
      <c r="C59" s="1575" t="s">
        <v>492</v>
      </c>
      <c r="D59" s="1586" t="s">
        <v>493</v>
      </c>
      <c r="E59" s="1587"/>
      <c r="F59" s="1587"/>
      <c r="G59" s="1587"/>
      <c r="H59" s="1588"/>
      <c r="J59" s="913"/>
      <c r="K59" s="1575" t="s">
        <v>492</v>
      </c>
      <c r="L59" s="914" t="s">
        <v>494</v>
      </c>
      <c r="M59" s="915"/>
      <c r="N59" s="915"/>
      <c r="O59" s="915"/>
      <c r="P59" s="916"/>
      <c r="R59" s="1573"/>
      <c r="S59" s="1575" t="s">
        <v>492</v>
      </c>
      <c r="T59" s="1586" t="s">
        <v>494</v>
      </c>
      <c r="U59" s="1587"/>
      <c r="V59" s="1587"/>
      <c r="W59" s="1587"/>
      <c r="X59" s="1588"/>
    </row>
    <row r="60" spans="2:24" ht="25.5">
      <c r="B60" s="1574"/>
      <c r="C60" s="1576"/>
      <c r="D60" s="917" t="s">
        <v>495</v>
      </c>
      <c r="E60" s="917" t="s">
        <v>496</v>
      </c>
      <c r="F60" s="917" t="s">
        <v>497</v>
      </c>
      <c r="G60" s="918" t="s">
        <v>498</v>
      </c>
      <c r="H60" s="919" t="s">
        <v>499</v>
      </c>
      <c r="I60" s="920"/>
      <c r="J60" s="921"/>
      <c r="K60" s="1590"/>
      <c r="L60" s="918" t="s">
        <v>495</v>
      </c>
      <c r="M60" s="918" t="s">
        <v>496</v>
      </c>
      <c r="N60" s="918" t="s">
        <v>497</v>
      </c>
      <c r="O60" s="918" t="s">
        <v>498</v>
      </c>
      <c r="P60" s="919" t="s">
        <v>499</v>
      </c>
      <c r="R60" s="1574"/>
      <c r="S60" s="1590"/>
      <c r="T60" s="918" t="s">
        <v>495</v>
      </c>
      <c r="U60" s="918" t="s">
        <v>496</v>
      </c>
      <c r="V60" s="918" t="s">
        <v>497</v>
      </c>
      <c r="W60" s="918" t="s">
        <v>498</v>
      </c>
      <c r="X60" s="919" t="s">
        <v>499</v>
      </c>
    </row>
    <row r="61" spans="2:24" ht="15" customHeight="1">
      <c r="B61" s="903" t="s">
        <v>413</v>
      </c>
      <c r="C61" s="904">
        <f>SUM(D61:H61)</f>
        <v>0</v>
      </c>
      <c r="D61" s="922"/>
      <c r="E61" s="922"/>
      <c r="F61" s="922"/>
      <c r="G61" s="906"/>
      <c r="H61" s="923"/>
      <c r="I61" s="920"/>
      <c r="J61" s="924" t="s">
        <v>413</v>
      </c>
      <c r="K61" s="925">
        <f>SUM(L61:P61)</f>
        <v>0</v>
      </c>
      <c r="L61" s="926"/>
      <c r="M61" s="926"/>
      <c r="N61" s="926"/>
      <c r="O61" s="927"/>
      <c r="P61" s="928"/>
      <c r="R61" s="924" t="s">
        <v>413</v>
      </c>
      <c r="S61" s="925">
        <f>SUM(T61:X61)</f>
        <v>0</v>
      </c>
      <c r="T61" s="926"/>
      <c r="U61" s="926"/>
      <c r="V61" s="926"/>
      <c r="W61" s="927"/>
      <c r="X61" s="928"/>
    </row>
    <row r="62" spans="2:24" ht="15" customHeight="1">
      <c r="B62" s="903" t="s">
        <v>223</v>
      </c>
      <c r="C62" s="925">
        <f>SUM(D62:H62)</f>
        <v>0</v>
      </c>
      <c r="D62" s="922"/>
      <c r="E62" s="922"/>
      <c r="F62" s="922"/>
      <c r="G62" s="906"/>
      <c r="H62" s="923"/>
      <c r="I62" s="920"/>
      <c r="J62" s="903" t="s">
        <v>223</v>
      </c>
      <c r="K62" s="925">
        <f>SUM(L62:P62)</f>
        <v>0</v>
      </c>
      <c r="L62" s="922"/>
      <c r="M62" s="922"/>
      <c r="N62" s="922"/>
      <c r="O62" s="906"/>
      <c r="P62" s="923"/>
      <c r="R62" s="903" t="s">
        <v>223</v>
      </c>
      <c r="S62" s="925">
        <f>SUM(T62:X62)</f>
        <v>0</v>
      </c>
      <c r="T62" s="922"/>
      <c r="U62" s="922"/>
      <c r="V62" s="922"/>
      <c r="W62" s="906"/>
      <c r="X62" s="923"/>
    </row>
    <row r="63" spans="2:24" ht="15" customHeight="1">
      <c r="B63" s="903" t="s">
        <v>402</v>
      </c>
      <c r="C63" s="925">
        <f>SUM(D63:H63)</f>
        <v>0</v>
      </c>
      <c r="D63" s="922"/>
      <c r="E63" s="922"/>
      <c r="F63" s="922"/>
      <c r="G63" s="906"/>
      <c r="H63" s="923"/>
      <c r="I63" s="920"/>
      <c r="J63" s="903" t="s">
        <v>402</v>
      </c>
      <c r="K63" s="925">
        <f>SUM(L63:P63)</f>
        <v>0</v>
      </c>
      <c r="L63" s="922"/>
      <c r="M63" s="922"/>
      <c r="N63" s="922"/>
      <c r="O63" s="906"/>
      <c r="P63" s="923"/>
      <c r="R63" s="903" t="s">
        <v>402</v>
      </c>
      <c r="S63" s="925">
        <f>SUM(T63:X63)</f>
        <v>0</v>
      </c>
      <c r="T63" s="922"/>
      <c r="U63" s="922"/>
      <c r="V63" s="922"/>
      <c r="W63" s="906"/>
      <c r="X63" s="923"/>
    </row>
    <row r="64" spans="2:24" ht="15" customHeight="1">
      <c r="B64" s="903" t="s">
        <v>481</v>
      </c>
      <c r="C64" s="925">
        <f>SUM(D64:H64)</f>
        <v>0</v>
      </c>
      <c r="D64" s="922"/>
      <c r="E64" s="922"/>
      <c r="F64" s="922"/>
      <c r="G64" s="906"/>
      <c r="H64" s="923"/>
      <c r="I64" s="920"/>
      <c r="J64" s="903" t="s">
        <v>481</v>
      </c>
      <c r="K64" s="925">
        <f>SUM(L64:P64)</f>
        <v>0</v>
      </c>
      <c r="L64" s="922"/>
      <c r="M64" s="922"/>
      <c r="N64" s="922"/>
      <c r="O64" s="906"/>
      <c r="P64" s="923"/>
      <c r="R64" s="903" t="s">
        <v>481</v>
      </c>
      <c r="S64" s="925">
        <f>SUM(T64:X64)</f>
        <v>0</v>
      </c>
      <c r="T64" s="922"/>
      <c r="U64" s="922"/>
      <c r="V64" s="922"/>
      <c r="W64" s="906"/>
      <c r="X64" s="923"/>
    </row>
    <row r="65" spans="2:24" ht="15" customHeight="1" thickBot="1">
      <c r="B65" s="908" t="s">
        <v>200</v>
      </c>
      <c r="C65" s="909">
        <f t="shared" ref="C65:H65" si="4">SUM(C61:C64)</f>
        <v>0</v>
      </c>
      <c r="D65" s="910">
        <f t="shared" si="4"/>
        <v>0</v>
      </c>
      <c r="E65" s="910">
        <f t="shared" si="4"/>
        <v>0</v>
      </c>
      <c r="F65" s="910">
        <f t="shared" si="4"/>
        <v>0</v>
      </c>
      <c r="G65" s="910">
        <f t="shared" si="4"/>
        <v>0</v>
      </c>
      <c r="H65" s="911">
        <f t="shared" si="4"/>
        <v>0</v>
      </c>
      <c r="I65" s="920"/>
      <c r="J65" s="908" t="s">
        <v>200</v>
      </c>
      <c r="K65" s="909">
        <f t="shared" ref="K65:P65" si="5">SUM(K61:K64)</f>
        <v>0</v>
      </c>
      <c r="L65" s="910">
        <f t="shared" si="5"/>
        <v>0</v>
      </c>
      <c r="M65" s="910">
        <f t="shared" si="5"/>
        <v>0</v>
      </c>
      <c r="N65" s="910">
        <f t="shared" si="5"/>
        <v>0</v>
      </c>
      <c r="O65" s="910">
        <f t="shared" si="5"/>
        <v>0</v>
      </c>
      <c r="P65" s="911">
        <f t="shared" si="5"/>
        <v>0</v>
      </c>
      <c r="R65" s="908" t="s">
        <v>200</v>
      </c>
      <c r="S65" s="909">
        <f t="shared" ref="S65:X65" si="6">SUM(S61:S64)</f>
        <v>0</v>
      </c>
      <c r="T65" s="910">
        <f t="shared" si="6"/>
        <v>0</v>
      </c>
      <c r="U65" s="910">
        <f t="shared" si="6"/>
        <v>0</v>
      </c>
      <c r="V65" s="910">
        <f t="shared" si="6"/>
        <v>0</v>
      </c>
      <c r="W65" s="910">
        <f t="shared" si="6"/>
        <v>0</v>
      </c>
      <c r="X65" s="911">
        <f t="shared" si="6"/>
        <v>0</v>
      </c>
    </row>
    <row r="66" spans="2:24" ht="15" customHeight="1" thickBot="1">
      <c r="B66" s="929"/>
      <c r="C66" s="930"/>
      <c r="D66" s="930"/>
      <c r="E66" s="930"/>
      <c r="F66" s="930"/>
      <c r="G66" s="930"/>
      <c r="H66" s="930"/>
      <c r="I66" s="920"/>
      <c r="J66" s="929"/>
      <c r="K66" s="930"/>
      <c r="L66" s="930"/>
      <c r="M66" s="930"/>
      <c r="N66" s="930"/>
      <c r="O66" s="930"/>
      <c r="P66" s="930"/>
      <c r="R66" s="929"/>
      <c r="S66" s="930"/>
      <c r="T66" s="930"/>
      <c r="U66" s="930"/>
      <c r="V66" s="930"/>
      <c r="W66" s="930"/>
      <c r="X66" s="930"/>
    </row>
    <row r="67" spans="2:24" ht="15" customHeight="1">
      <c r="B67" s="1570" t="s">
        <v>490</v>
      </c>
      <c r="C67" s="1571"/>
      <c r="D67" s="1571"/>
      <c r="E67" s="1571"/>
      <c r="F67" s="1571"/>
      <c r="G67" s="1571"/>
      <c r="H67" s="1572"/>
      <c r="I67" s="912"/>
      <c r="J67" s="1570" t="s">
        <v>491</v>
      </c>
      <c r="K67" s="1571"/>
      <c r="L67" s="1571"/>
      <c r="M67" s="1571"/>
      <c r="N67" s="1571"/>
      <c r="O67" s="1571"/>
      <c r="P67" s="1572"/>
      <c r="R67" s="1570" t="s">
        <v>192</v>
      </c>
      <c r="S67" s="1571"/>
      <c r="T67" s="1571"/>
      <c r="U67" s="1571"/>
      <c r="V67" s="1571"/>
      <c r="W67" s="1571"/>
      <c r="X67" s="1572"/>
    </row>
    <row r="68" spans="2:24" ht="15" customHeight="1">
      <c r="B68" s="1573"/>
      <c r="C68" s="1589" t="s">
        <v>500</v>
      </c>
      <c r="D68" s="931" t="s">
        <v>493</v>
      </c>
      <c r="E68" s="932"/>
      <c r="F68" s="932"/>
      <c r="G68" s="932"/>
      <c r="H68" s="933"/>
      <c r="J68" s="934"/>
      <c r="K68" s="1575" t="s">
        <v>500</v>
      </c>
      <c r="L68" s="935" t="s">
        <v>494</v>
      </c>
      <c r="M68" s="936"/>
      <c r="N68" s="936"/>
      <c r="O68" s="936"/>
      <c r="P68" s="937"/>
      <c r="R68" s="1573"/>
      <c r="S68" s="1575" t="s">
        <v>500</v>
      </c>
      <c r="T68" s="931" t="s">
        <v>494</v>
      </c>
      <c r="U68" s="932"/>
      <c r="V68" s="932"/>
      <c r="W68" s="932"/>
      <c r="X68" s="933"/>
    </row>
    <row r="69" spans="2:24" ht="25.5">
      <c r="B69" s="1574"/>
      <c r="C69" s="1579"/>
      <c r="D69" s="918" t="s">
        <v>495</v>
      </c>
      <c r="E69" s="918" t="s">
        <v>496</v>
      </c>
      <c r="F69" s="918" t="s">
        <v>497</v>
      </c>
      <c r="G69" s="918" t="s">
        <v>498</v>
      </c>
      <c r="H69" s="938" t="s">
        <v>499</v>
      </c>
      <c r="I69" s="920"/>
      <c r="J69" s="939"/>
      <c r="K69" s="1576"/>
      <c r="L69" s="918" t="s">
        <v>495</v>
      </c>
      <c r="M69" s="918" t="s">
        <v>496</v>
      </c>
      <c r="N69" s="918" t="s">
        <v>497</v>
      </c>
      <c r="O69" s="918" t="s">
        <v>498</v>
      </c>
      <c r="P69" s="938" t="s">
        <v>499</v>
      </c>
      <c r="R69" s="1574"/>
      <c r="S69" s="1576"/>
      <c r="T69" s="918" t="s">
        <v>495</v>
      </c>
      <c r="U69" s="918" t="s">
        <v>496</v>
      </c>
      <c r="V69" s="918" t="s">
        <v>497</v>
      </c>
      <c r="W69" s="918" t="s">
        <v>498</v>
      </c>
      <c r="X69" s="938" t="s">
        <v>499</v>
      </c>
    </row>
    <row r="70" spans="2:24" ht="15" customHeight="1">
      <c r="B70" s="940" t="s">
        <v>413</v>
      </c>
      <c r="C70" s="926"/>
      <c r="D70" s="926"/>
      <c r="E70" s="926"/>
      <c r="F70" s="926"/>
      <c r="G70" s="927"/>
      <c r="H70" s="941"/>
      <c r="I70" s="920"/>
      <c r="J70" s="924" t="s">
        <v>413</v>
      </c>
      <c r="K70" s="942"/>
      <c r="L70" s="926"/>
      <c r="M70" s="926"/>
      <c r="N70" s="926"/>
      <c r="O70" s="927"/>
      <c r="P70" s="943"/>
      <c r="R70" s="924" t="s">
        <v>413</v>
      </c>
      <c r="S70" s="942"/>
      <c r="T70" s="926"/>
      <c r="U70" s="926"/>
      <c r="V70" s="926"/>
      <c r="W70" s="927"/>
      <c r="X70" s="943"/>
    </row>
    <row r="71" spans="2:24" ht="15" customHeight="1">
      <c r="B71" s="944" t="s">
        <v>223</v>
      </c>
      <c r="C71" s="922"/>
      <c r="D71" s="922"/>
      <c r="E71" s="922"/>
      <c r="F71" s="922"/>
      <c r="G71" s="906"/>
      <c r="H71" s="945"/>
      <c r="I71" s="920"/>
      <c r="J71" s="903" t="s">
        <v>223</v>
      </c>
      <c r="K71" s="946"/>
      <c r="L71" s="922"/>
      <c r="M71" s="922"/>
      <c r="N71" s="922"/>
      <c r="O71" s="906"/>
      <c r="P71" s="947"/>
      <c r="R71" s="903" t="s">
        <v>223</v>
      </c>
      <c r="S71" s="946"/>
      <c r="T71" s="922"/>
      <c r="U71" s="922"/>
      <c r="V71" s="922"/>
      <c r="W71" s="906"/>
      <c r="X71" s="947"/>
    </row>
    <row r="72" spans="2:24" ht="15" customHeight="1">
      <c r="B72" s="944" t="s">
        <v>402</v>
      </c>
      <c r="C72" s="922"/>
      <c r="D72" s="922"/>
      <c r="E72" s="922"/>
      <c r="F72" s="922"/>
      <c r="G72" s="906"/>
      <c r="H72" s="945"/>
      <c r="I72" s="920"/>
      <c r="J72" s="903" t="s">
        <v>402</v>
      </c>
      <c r="K72" s="946"/>
      <c r="L72" s="922"/>
      <c r="M72" s="922"/>
      <c r="N72" s="922"/>
      <c r="O72" s="906"/>
      <c r="P72" s="947"/>
      <c r="R72" s="903" t="s">
        <v>402</v>
      </c>
      <c r="S72" s="946"/>
      <c r="T72" s="922"/>
      <c r="U72" s="922"/>
      <c r="V72" s="922"/>
      <c r="W72" s="906"/>
      <c r="X72" s="947"/>
    </row>
    <row r="73" spans="2:24" ht="15" customHeight="1">
      <c r="B73" s="944" t="s">
        <v>481</v>
      </c>
      <c r="C73" s="922"/>
      <c r="D73" s="922"/>
      <c r="E73" s="922"/>
      <c r="F73" s="922"/>
      <c r="G73" s="906"/>
      <c r="H73" s="945"/>
      <c r="I73" s="920"/>
      <c r="J73" s="903" t="s">
        <v>481</v>
      </c>
      <c r="K73" s="946"/>
      <c r="L73" s="922"/>
      <c r="M73" s="922"/>
      <c r="N73" s="922"/>
      <c r="O73" s="906"/>
      <c r="P73" s="947"/>
      <c r="R73" s="903" t="s">
        <v>481</v>
      </c>
      <c r="S73" s="946"/>
      <c r="T73" s="922"/>
      <c r="U73" s="922"/>
      <c r="V73" s="922"/>
      <c r="W73" s="906"/>
      <c r="X73" s="947"/>
    </row>
    <row r="74" spans="2:24" ht="15" customHeight="1" thickBot="1">
      <c r="B74" s="948" t="s">
        <v>200</v>
      </c>
      <c r="C74" s="949">
        <f t="shared" ref="C74:H74" si="7">SUM(C70:C73)</f>
        <v>0</v>
      </c>
      <c r="D74" s="910">
        <f t="shared" si="7"/>
        <v>0</v>
      </c>
      <c r="E74" s="910">
        <f t="shared" si="7"/>
        <v>0</v>
      </c>
      <c r="F74" s="910">
        <f t="shared" si="7"/>
        <v>0</v>
      </c>
      <c r="G74" s="910">
        <f t="shared" si="7"/>
        <v>0</v>
      </c>
      <c r="H74" s="950">
        <f t="shared" si="7"/>
        <v>0</v>
      </c>
      <c r="I74" s="920"/>
      <c r="J74" s="908" t="s">
        <v>200</v>
      </c>
      <c r="K74" s="909">
        <f t="shared" ref="K74:P74" si="8">SUM(K70:K73)</f>
        <v>0</v>
      </c>
      <c r="L74" s="910">
        <f t="shared" si="8"/>
        <v>0</v>
      </c>
      <c r="M74" s="910">
        <f t="shared" si="8"/>
        <v>0</v>
      </c>
      <c r="N74" s="910">
        <f t="shared" si="8"/>
        <v>0</v>
      </c>
      <c r="O74" s="910">
        <f t="shared" si="8"/>
        <v>0</v>
      </c>
      <c r="P74" s="950">
        <f t="shared" si="8"/>
        <v>0</v>
      </c>
      <c r="R74" s="908" t="s">
        <v>200</v>
      </c>
      <c r="S74" s="909">
        <f t="shared" ref="S74:X74" si="9">SUM(S70:S73)</f>
        <v>0</v>
      </c>
      <c r="T74" s="910">
        <f t="shared" si="9"/>
        <v>0</v>
      </c>
      <c r="U74" s="910">
        <f t="shared" si="9"/>
        <v>0</v>
      </c>
      <c r="V74" s="910">
        <f t="shared" si="9"/>
        <v>0</v>
      </c>
      <c r="W74" s="910">
        <f t="shared" si="9"/>
        <v>0</v>
      </c>
      <c r="X74" s="950">
        <f t="shared" si="9"/>
        <v>0</v>
      </c>
    </row>
    <row r="75" spans="2:24" ht="15" customHeight="1" thickBot="1">
      <c r="B75" s="929"/>
      <c r="C75" s="930"/>
      <c r="D75" s="930"/>
      <c r="E75" s="930"/>
      <c r="F75" s="930"/>
      <c r="G75" s="930"/>
      <c r="H75" s="930"/>
      <c r="I75" s="920"/>
      <c r="J75" s="951"/>
      <c r="K75" s="952"/>
      <c r="L75" s="952"/>
      <c r="M75" s="952"/>
      <c r="N75" s="952"/>
      <c r="O75" s="952"/>
      <c r="P75" s="952"/>
      <c r="R75" s="929"/>
      <c r="S75" s="930"/>
      <c r="T75" s="930"/>
      <c r="U75" s="930"/>
      <c r="V75" s="930"/>
      <c r="W75" s="930"/>
      <c r="X75" s="930"/>
    </row>
    <row r="76" spans="2:24" ht="15" customHeight="1">
      <c r="B76" s="1570" t="s">
        <v>490</v>
      </c>
      <c r="C76" s="1571"/>
      <c r="D76" s="1571"/>
      <c r="E76" s="1571"/>
      <c r="F76" s="1571"/>
      <c r="G76" s="1571"/>
      <c r="H76" s="1572"/>
      <c r="J76" s="1570" t="s">
        <v>491</v>
      </c>
      <c r="K76" s="1571"/>
      <c r="L76" s="1571"/>
      <c r="M76" s="1571"/>
      <c r="N76" s="1571"/>
      <c r="O76" s="1571"/>
      <c r="P76" s="1572"/>
      <c r="R76" s="1570" t="s">
        <v>192</v>
      </c>
      <c r="S76" s="1571"/>
      <c r="T76" s="1571"/>
      <c r="U76" s="1571"/>
      <c r="V76" s="1571"/>
      <c r="W76" s="1571"/>
      <c r="X76" s="1572"/>
    </row>
    <row r="77" spans="2:24" ht="15" customHeight="1">
      <c r="B77" s="1573"/>
      <c r="C77" s="1577" t="s">
        <v>501</v>
      </c>
      <c r="D77" s="935" t="s">
        <v>502</v>
      </c>
      <c r="E77" s="936"/>
      <c r="F77" s="936"/>
      <c r="G77" s="936"/>
      <c r="H77" s="937"/>
      <c r="J77" s="913"/>
      <c r="K77" s="1577" t="s">
        <v>501</v>
      </c>
      <c r="L77" s="935" t="s">
        <v>503</v>
      </c>
      <c r="M77" s="936"/>
      <c r="N77" s="936"/>
      <c r="O77" s="936"/>
      <c r="P77" s="937"/>
      <c r="R77" s="1573"/>
      <c r="S77" s="1577" t="s">
        <v>501</v>
      </c>
      <c r="T77" s="935" t="s">
        <v>503</v>
      </c>
      <c r="U77" s="936"/>
      <c r="V77" s="936"/>
      <c r="W77" s="936"/>
      <c r="X77" s="937"/>
    </row>
    <row r="78" spans="2:24" ht="25.5">
      <c r="B78" s="1574"/>
      <c r="C78" s="1576"/>
      <c r="D78" s="918" t="s">
        <v>495</v>
      </c>
      <c r="E78" s="918" t="s">
        <v>496</v>
      </c>
      <c r="F78" s="918" t="s">
        <v>497</v>
      </c>
      <c r="G78" s="918" t="s">
        <v>498</v>
      </c>
      <c r="H78" s="938" t="s">
        <v>499</v>
      </c>
      <c r="J78" s="953"/>
      <c r="K78" s="1576"/>
      <c r="L78" s="918" t="s">
        <v>495</v>
      </c>
      <c r="M78" s="918" t="s">
        <v>496</v>
      </c>
      <c r="N78" s="918" t="s">
        <v>497</v>
      </c>
      <c r="O78" s="918" t="s">
        <v>498</v>
      </c>
      <c r="P78" s="938" t="s">
        <v>499</v>
      </c>
      <c r="R78" s="1574"/>
      <c r="S78" s="1576"/>
      <c r="T78" s="918" t="s">
        <v>495</v>
      </c>
      <c r="U78" s="918" t="s">
        <v>496</v>
      </c>
      <c r="V78" s="918" t="s">
        <v>497</v>
      </c>
      <c r="W78" s="918" t="s">
        <v>498</v>
      </c>
      <c r="X78" s="938" t="s">
        <v>499</v>
      </c>
    </row>
    <row r="79" spans="2:24" ht="15" customHeight="1">
      <c r="B79" s="924" t="s">
        <v>413</v>
      </c>
      <c r="C79" s="954"/>
      <c r="D79" s="955"/>
      <c r="E79" s="955"/>
      <c r="F79" s="955"/>
      <c r="G79" s="870"/>
      <c r="H79" s="956"/>
      <c r="J79" s="924" t="s">
        <v>413</v>
      </c>
      <c r="K79" s="954">
        <f>SUM(G33:H33)</f>
        <v>0</v>
      </c>
      <c r="L79" s="955"/>
      <c r="M79" s="955"/>
      <c r="N79" s="955"/>
      <c r="O79" s="957"/>
      <c r="P79" s="958"/>
      <c r="R79" s="924" t="s">
        <v>413</v>
      </c>
      <c r="S79" s="954">
        <f>SUM(I33:M33)</f>
        <v>0</v>
      </c>
      <c r="T79" s="955"/>
      <c r="U79" s="955"/>
      <c r="V79" s="955"/>
      <c r="W79" s="957"/>
      <c r="X79" s="958"/>
    </row>
    <row r="80" spans="2:24" ht="15" customHeight="1">
      <c r="B80" s="903" t="s">
        <v>223</v>
      </c>
      <c r="C80" s="954"/>
      <c r="D80" s="867"/>
      <c r="E80" s="867"/>
      <c r="F80" s="867"/>
      <c r="G80" s="870"/>
      <c r="H80" s="956"/>
      <c r="J80" s="903" t="s">
        <v>223</v>
      </c>
      <c r="K80" s="954">
        <f>SUM(G34:H34)</f>
        <v>0</v>
      </c>
      <c r="L80" s="867"/>
      <c r="M80" s="867"/>
      <c r="N80" s="867"/>
      <c r="O80" s="870"/>
      <c r="P80" s="956"/>
      <c r="R80" s="903" t="s">
        <v>223</v>
      </c>
      <c r="S80" s="954">
        <f>SUM(I34:M34)</f>
        <v>0</v>
      </c>
      <c r="T80" s="867"/>
      <c r="U80" s="867"/>
      <c r="V80" s="867"/>
      <c r="W80" s="870"/>
      <c r="X80" s="956"/>
    </row>
    <row r="81" spans="2:24" ht="15" customHeight="1">
      <c r="B81" s="903" t="s">
        <v>402</v>
      </c>
      <c r="C81" s="954"/>
      <c r="D81" s="867"/>
      <c r="E81" s="867"/>
      <c r="F81" s="867"/>
      <c r="G81" s="870"/>
      <c r="H81" s="956"/>
      <c r="J81" s="903" t="s">
        <v>402</v>
      </c>
      <c r="K81" s="954">
        <f>SUM(G35:H35)</f>
        <v>0</v>
      </c>
      <c r="L81" s="867"/>
      <c r="M81" s="867"/>
      <c r="N81" s="867"/>
      <c r="O81" s="870"/>
      <c r="P81" s="956"/>
      <c r="R81" s="903" t="s">
        <v>402</v>
      </c>
      <c r="S81" s="954">
        <f>SUM(I35:M35)</f>
        <v>0</v>
      </c>
      <c r="T81" s="867"/>
      <c r="U81" s="867"/>
      <c r="V81" s="867"/>
      <c r="W81" s="870"/>
      <c r="X81" s="956"/>
    </row>
    <row r="82" spans="2:24" ht="15" customHeight="1">
      <c r="B82" s="903" t="s">
        <v>481</v>
      </c>
      <c r="C82" s="954"/>
      <c r="D82" s="867"/>
      <c r="E82" s="867"/>
      <c r="F82" s="867"/>
      <c r="G82" s="870"/>
      <c r="H82" s="956"/>
      <c r="J82" s="903" t="s">
        <v>481</v>
      </c>
      <c r="K82" s="954">
        <f>SUM(G36:H36)</f>
        <v>0</v>
      </c>
      <c r="L82" s="867"/>
      <c r="M82" s="867"/>
      <c r="N82" s="867"/>
      <c r="O82" s="870"/>
      <c r="P82" s="956"/>
      <c r="R82" s="903" t="s">
        <v>481</v>
      </c>
      <c r="S82" s="954">
        <f>SUM(I36:M36)</f>
        <v>0</v>
      </c>
      <c r="T82" s="867"/>
      <c r="U82" s="867"/>
      <c r="V82" s="867"/>
      <c r="W82" s="870"/>
      <c r="X82" s="956"/>
    </row>
    <row r="83" spans="2:24" ht="15" customHeight="1" thickBot="1">
      <c r="B83" s="908" t="s">
        <v>200</v>
      </c>
      <c r="C83" s="959">
        <f t="shared" ref="C83:H83" si="10">SUM(C79:C82)</f>
        <v>0</v>
      </c>
      <c r="D83" s="960">
        <f t="shared" si="10"/>
        <v>0</v>
      </c>
      <c r="E83" s="960">
        <f t="shared" si="10"/>
        <v>0</v>
      </c>
      <c r="F83" s="960">
        <f t="shared" si="10"/>
        <v>0</v>
      </c>
      <c r="G83" s="960">
        <f t="shared" si="10"/>
        <v>0</v>
      </c>
      <c r="H83" s="950">
        <f t="shared" si="10"/>
        <v>0</v>
      </c>
      <c r="J83" s="908" t="s">
        <v>200</v>
      </c>
      <c r="K83" s="959">
        <f t="shared" ref="K83:P83" si="11">SUM(K79:K82)</f>
        <v>0</v>
      </c>
      <c r="L83" s="960">
        <f t="shared" si="11"/>
        <v>0</v>
      </c>
      <c r="M83" s="960">
        <f t="shared" si="11"/>
        <v>0</v>
      </c>
      <c r="N83" s="960">
        <f t="shared" si="11"/>
        <v>0</v>
      </c>
      <c r="O83" s="960">
        <f t="shared" si="11"/>
        <v>0</v>
      </c>
      <c r="P83" s="950">
        <f t="shared" si="11"/>
        <v>0</v>
      </c>
      <c r="R83" s="908" t="s">
        <v>200</v>
      </c>
      <c r="S83" s="959">
        <f t="shared" ref="S83:X83" si="12">SUM(S79:S82)</f>
        <v>0</v>
      </c>
      <c r="T83" s="960">
        <f t="shared" si="12"/>
        <v>0</v>
      </c>
      <c r="U83" s="960">
        <f t="shared" si="12"/>
        <v>0</v>
      </c>
      <c r="V83" s="960">
        <f t="shared" si="12"/>
        <v>0</v>
      </c>
      <c r="W83" s="960">
        <f t="shared" si="12"/>
        <v>0</v>
      </c>
      <c r="X83" s="950">
        <f t="shared" si="12"/>
        <v>0</v>
      </c>
    </row>
    <row r="84" spans="2:24" ht="15" customHeight="1" thickBot="1">
      <c r="J84" s="961"/>
      <c r="K84" s="961"/>
      <c r="L84" s="961"/>
      <c r="M84" s="961"/>
      <c r="N84" s="961"/>
      <c r="O84" s="961"/>
      <c r="P84" s="961"/>
    </row>
    <row r="85" spans="2:24" ht="15" customHeight="1">
      <c r="B85" s="1570" t="s">
        <v>490</v>
      </c>
      <c r="C85" s="1571"/>
      <c r="D85" s="1571"/>
      <c r="E85" s="1571"/>
      <c r="F85" s="1571"/>
      <c r="G85" s="1571"/>
      <c r="H85" s="1572"/>
      <c r="J85" s="1570" t="s">
        <v>491</v>
      </c>
      <c r="K85" s="1571"/>
      <c r="L85" s="1571"/>
      <c r="M85" s="1571"/>
      <c r="N85" s="1571"/>
      <c r="O85" s="1571"/>
      <c r="P85" s="1572"/>
      <c r="R85" s="1570" t="s">
        <v>192</v>
      </c>
      <c r="S85" s="1571"/>
      <c r="T85" s="1571"/>
      <c r="U85" s="1571"/>
      <c r="V85" s="1571"/>
      <c r="W85" s="1571"/>
      <c r="X85" s="1572"/>
    </row>
    <row r="86" spans="2:24" ht="15" customHeight="1">
      <c r="B86" s="1573"/>
      <c r="C86" s="1577" t="s">
        <v>504</v>
      </c>
      <c r="D86" s="1586" t="s">
        <v>505</v>
      </c>
      <c r="E86" s="1587"/>
      <c r="F86" s="1587"/>
      <c r="G86" s="1587"/>
      <c r="H86" s="1588"/>
      <c r="J86" s="913"/>
      <c r="K86" s="1577" t="s">
        <v>504</v>
      </c>
      <c r="L86" s="935" t="s">
        <v>506</v>
      </c>
      <c r="M86" s="936"/>
      <c r="N86" s="936"/>
      <c r="O86" s="936"/>
      <c r="P86" s="937"/>
      <c r="R86" s="1573"/>
      <c r="S86" s="1577" t="s">
        <v>504</v>
      </c>
      <c r="T86" s="935" t="s">
        <v>506</v>
      </c>
      <c r="U86" s="936"/>
      <c r="V86" s="936"/>
      <c r="W86" s="936"/>
      <c r="X86" s="937"/>
    </row>
    <row r="87" spans="2:24" ht="26.25" thickBot="1">
      <c r="B87" s="1574"/>
      <c r="C87" s="1576"/>
      <c r="D87" s="918" t="s">
        <v>495</v>
      </c>
      <c r="E87" s="918" t="s">
        <v>496</v>
      </c>
      <c r="F87" s="918" t="s">
        <v>497</v>
      </c>
      <c r="G87" s="918" t="s">
        <v>498</v>
      </c>
      <c r="H87" s="962" t="s">
        <v>499</v>
      </c>
      <c r="J87" s="953"/>
      <c r="K87" s="1576"/>
      <c r="L87" s="918" t="s">
        <v>495</v>
      </c>
      <c r="M87" s="918" t="s">
        <v>496</v>
      </c>
      <c r="N87" s="918" t="s">
        <v>497</v>
      </c>
      <c r="O87" s="918" t="s">
        <v>498</v>
      </c>
      <c r="P87" s="938"/>
      <c r="R87" s="1574"/>
      <c r="S87" s="1576"/>
      <c r="T87" s="918" t="s">
        <v>495</v>
      </c>
      <c r="U87" s="918" t="s">
        <v>496</v>
      </c>
      <c r="V87" s="918" t="s">
        <v>497</v>
      </c>
      <c r="W87" s="918" t="s">
        <v>498</v>
      </c>
      <c r="X87" s="938"/>
    </row>
    <row r="88" spans="2:24" ht="15" customHeight="1">
      <c r="B88" s="924" t="s">
        <v>413</v>
      </c>
      <c r="C88" s="954">
        <f t="shared" ref="C88:G91" si="13">IF(C70&gt;0,C79*1000/C70,0)</f>
        <v>0</v>
      </c>
      <c r="D88" s="963">
        <f t="shared" si="13"/>
        <v>0</v>
      </c>
      <c r="E88" s="963">
        <f t="shared" si="13"/>
        <v>0</v>
      </c>
      <c r="F88" s="963">
        <f t="shared" si="13"/>
        <v>0</v>
      </c>
      <c r="G88" s="963">
        <f t="shared" si="13"/>
        <v>0</v>
      </c>
      <c r="H88" s="964"/>
      <c r="J88" s="924" t="s">
        <v>413</v>
      </c>
      <c r="K88" s="954">
        <f t="shared" ref="K88:O91" si="14">IF(K70&gt;0,K79*1000/K70,0)</f>
        <v>0</v>
      </c>
      <c r="L88" s="963">
        <f t="shared" si="14"/>
        <v>0</v>
      </c>
      <c r="M88" s="963">
        <f t="shared" si="14"/>
        <v>0</v>
      </c>
      <c r="N88" s="963">
        <f t="shared" si="14"/>
        <v>0</v>
      </c>
      <c r="O88" s="963">
        <f t="shared" si="14"/>
        <v>0</v>
      </c>
      <c r="P88" s="958"/>
      <c r="R88" s="924" t="s">
        <v>413</v>
      </c>
      <c r="S88" s="954">
        <f t="shared" ref="S88:W91" si="15">IF(S70&gt;0,S79*1000/S70,0)</f>
        <v>0</v>
      </c>
      <c r="T88" s="963">
        <f t="shared" si="15"/>
        <v>0</v>
      </c>
      <c r="U88" s="963">
        <f t="shared" si="15"/>
        <v>0</v>
      </c>
      <c r="V88" s="963">
        <f t="shared" si="15"/>
        <v>0</v>
      </c>
      <c r="W88" s="963">
        <f t="shared" si="15"/>
        <v>0</v>
      </c>
      <c r="X88" s="958"/>
    </row>
    <row r="89" spans="2:24" ht="15" customHeight="1">
      <c r="B89" s="903" t="s">
        <v>223</v>
      </c>
      <c r="C89" s="965">
        <f t="shared" si="13"/>
        <v>0</v>
      </c>
      <c r="D89" s="966">
        <f t="shared" si="13"/>
        <v>0</v>
      </c>
      <c r="E89" s="966">
        <f t="shared" si="13"/>
        <v>0</v>
      </c>
      <c r="F89" s="966">
        <f t="shared" si="13"/>
        <v>0</v>
      </c>
      <c r="G89" s="966">
        <f t="shared" si="13"/>
        <v>0</v>
      </c>
      <c r="H89" s="956"/>
      <c r="J89" s="903" t="s">
        <v>223</v>
      </c>
      <c r="K89" s="965">
        <f t="shared" si="14"/>
        <v>0</v>
      </c>
      <c r="L89" s="966">
        <f t="shared" si="14"/>
        <v>0</v>
      </c>
      <c r="M89" s="966">
        <f t="shared" si="14"/>
        <v>0</v>
      </c>
      <c r="N89" s="966">
        <f t="shared" si="14"/>
        <v>0</v>
      </c>
      <c r="O89" s="966">
        <f t="shared" si="14"/>
        <v>0</v>
      </c>
      <c r="P89" s="956"/>
      <c r="R89" s="903" t="s">
        <v>223</v>
      </c>
      <c r="S89" s="965">
        <f t="shared" si="15"/>
        <v>0</v>
      </c>
      <c r="T89" s="966">
        <f t="shared" si="15"/>
        <v>0</v>
      </c>
      <c r="U89" s="966">
        <f t="shared" si="15"/>
        <v>0</v>
      </c>
      <c r="V89" s="966">
        <f t="shared" si="15"/>
        <v>0</v>
      </c>
      <c r="W89" s="966">
        <f t="shared" si="15"/>
        <v>0</v>
      </c>
      <c r="X89" s="956"/>
    </row>
    <row r="90" spans="2:24" ht="15" customHeight="1">
      <c r="B90" s="903" t="s">
        <v>402</v>
      </c>
      <c r="C90" s="965">
        <f t="shared" si="13"/>
        <v>0</v>
      </c>
      <c r="D90" s="966">
        <f t="shared" si="13"/>
        <v>0</v>
      </c>
      <c r="E90" s="966">
        <f t="shared" si="13"/>
        <v>0</v>
      </c>
      <c r="F90" s="966">
        <f t="shared" si="13"/>
        <v>0</v>
      </c>
      <c r="G90" s="966">
        <f t="shared" si="13"/>
        <v>0</v>
      </c>
      <c r="H90" s="956"/>
      <c r="J90" s="903" t="s">
        <v>402</v>
      </c>
      <c r="K90" s="965">
        <f t="shared" si="14"/>
        <v>0</v>
      </c>
      <c r="L90" s="966">
        <f t="shared" si="14"/>
        <v>0</v>
      </c>
      <c r="M90" s="966">
        <f t="shared" si="14"/>
        <v>0</v>
      </c>
      <c r="N90" s="966">
        <f t="shared" si="14"/>
        <v>0</v>
      </c>
      <c r="O90" s="966">
        <f t="shared" si="14"/>
        <v>0</v>
      </c>
      <c r="P90" s="956"/>
      <c r="R90" s="903" t="s">
        <v>402</v>
      </c>
      <c r="S90" s="965">
        <f t="shared" si="15"/>
        <v>0</v>
      </c>
      <c r="T90" s="966">
        <f t="shared" si="15"/>
        <v>0</v>
      </c>
      <c r="U90" s="966">
        <f t="shared" si="15"/>
        <v>0</v>
      </c>
      <c r="V90" s="966">
        <f t="shared" si="15"/>
        <v>0</v>
      </c>
      <c r="W90" s="966">
        <f t="shared" si="15"/>
        <v>0</v>
      </c>
      <c r="X90" s="956"/>
    </row>
    <row r="91" spans="2:24" ht="15" customHeight="1" thickBot="1">
      <c r="B91" s="967" t="s">
        <v>481</v>
      </c>
      <c r="C91" s="968">
        <f t="shared" si="13"/>
        <v>0</v>
      </c>
      <c r="D91" s="969">
        <f t="shared" si="13"/>
        <v>0</v>
      </c>
      <c r="E91" s="969">
        <f t="shared" si="13"/>
        <v>0</v>
      </c>
      <c r="F91" s="969">
        <f t="shared" si="13"/>
        <v>0</v>
      </c>
      <c r="G91" s="969">
        <f t="shared" si="13"/>
        <v>0</v>
      </c>
      <c r="H91" s="970"/>
      <c r="J91" s="967" t="s">
        <v>481</v>
      </c>
      <c r="K91" s="968">
        <f t="shared" si="14"/>
        <v>0</v>
      </c>
      <c r="L91" s="969">
        <f t="shared" si="14"/>
        <v>0</v>
      </c>
      <c r="M91" s="969">
        <f t="shared" si="14"/>
        <v>0</v>
      </c>
      <c r="N91" s="969">
        <f t="shared" si="14"/>
        <v>0</v>
      </c>
      <c r="O91" s="969">
        <f t="shared" si="14"/>
        <v>0</v>
      </c>
      <c r="P91" s="970"/>
      <c r="R91" s="967" t="s">
        <v>481</v>
      </c>
      <c r="S91" s="968">
        <f t="shared" si="15"/>
        <v>0</v>
      </c>
      <c r="T91" s="969">
        <f t="shared" si="15"/>
        <v>0</v>
      </c>
      <c r="U91" s="969">
        <f t="shared" si="15"/>
        <v>0</v>
      </c>
      <c r="V91" s="969">
        <f t="shared" si="15"/>
        <v>0</v>
      </c>
      <c r="W91" s="969">
        <f t="shared" si="15"/>
        <v>0</v>
      </c>
      <c r="X91" s="970"/>
    </row>
    <row r="92" spans="2:24" ht="15" customHeight="1"/>
    <row r="93" spans="2:24" ht="15" customHeight="1"/>
    <row r="94" spans="2:24" ht="15" customHeight="1">
      <c r="B94" s="849" t="s">
        <v>507</v>
      </c>
    </row>
    <row r="95" spans="2:24" ht="15" customHeight="1" thickBot="1"/>
    <row r="96" spans="2:24" ht="15" customHeight="1">
      <c r="B96" s="971"/>
      <c r="C96" s="900" t="s">
        <v>484</v>
      </c>
      <c r="D96" s="901" t="s">
        <v>485</v>
      </c>
      <c r="E96" s="901" t="s">
        <v>486</v>
      </c>
      <c r="F96" s="901" t="s">
        <v>487</v>
      </c>
      <c r="G96" s="901" t="s">
        <v>488</v>
      </c>
      <c r="H96" s="902" t="s">
        <v>489</v>
      </c>
      <c r="I96" s="849"/>
    </row>
    <row r="97" spans="2:24" ht="15" customHeight="1">
      <c r="B97" s="924" t="s">
        <v>413</v>
      </c>
      <c r="C97" s="925">
        <f>D97+E97</f>
        <v>0</v>
      </c>
      <c r="D97" s="972">
        <f>C107</f>
        <v>0</v>
      </c>
      <c r="E97" s="927"/>
      <c r="F97" s="972">
        <f>K107</f>
        <v>0</v>
      </c>
      <c r="G97" s="972">
        <f>S107</f>
        <v>0</v>
      </c>
      <c r="H97" s="973">
        <f>E97-SUM(F97:G97)</f>
        <v>0</v>
      </c>
      <c r="I97" s="849"/>
    </row>
    <row r="98" spans="2:24" ht="15" customHeight="1">
      <c r="B98" s="903" t="s">
        <v>223</v>
      </c>
      <c r="C98" s="925">
        <f>D98+E98</f>
        <v>0</v>
      </c>
      <c r="D98" s="972">
        <f>C108</f>
        <v>0</v>
      </c>
      <c r="E98" s="927"/>
      <c r="F98" s="972">
        <f>K108</f>
        <v>0</v>
      </c>
      <c r="G98" s="972">
        <f>S108</f>
        <v>0</v>
      </c>
      <c r="H98" s="973">
        <f>E98-SUM(F98:G98)</f>
        <v>0</v>
      </c>
      <c r="I98" s="849"/>
    </row>
    <row r="99" spans="2:24" ht="15" customHeight="1">
      <c r="B99" s="903" t="s">
        <v>402</v>
      </c>
      <c r="C99" s="925">
        <f>D99+E99</f>
        <v>0</v>
      </c>
      <c r="D99" s="972">
        <f>C109</f>
        <v>0</v>
      </c>
      <c r="E99" s="927"/>
      <c r="F99" s="972">
        <f>K109</f>
        <v>0</v>
      </c>
      <c r="G99" s="972">
        <f>S109</f>
        <v>0</v>
      </c>
      <c r="H99" s="973">
        <f>E99-SUM(F99:G99)</f>
        <v>0</v>
      </c>
      <c r="I99" s="849"/>
    </row>
    <row r="100" spans="2:24" ht="15" customHeight="1">
      <c r="B100" s="903" t="s">
        <v>481</v>
      </c>
      <c r="C100" s="925">
        <f>D100+E100</f>
        <v>0</v>
      </c>
      <c r="D100" s="972">
        <f>C110</f>
        <v>0</v>
      </c>
      <c r="E100" s="927"/>
      <c r="F100" s="972">
        <f>K110</f>
        <v>0</v>
      </c>
      <c r="G100" s="972">
        <f>S110</f>
        <v>0</v>
      </c>
      <c r="H100" s="973">
        <f>E100-SUM(F100:G100)</f>
        <v>0</v>
      </c>
      <c r="I100" s="849"/>
    </row>
    <row r="101" spans="2:24" ht="15" customHeight="1" thickBot="1">
      <c r="B101" s="908" t="s">
        <v>200</v>
      </c>
      <c r="C101" s="909">
        <f t="shared" ref="C101:H101" si="16">SUM(C97:C100)</f>
        <v>0</v>
      </c>
      <c r="D101" s="910">
        <f t="shared" si="16"/>
        <v>0</v>
      </c>
      <c r="E101" s="910">
        <f t="shared" si="16"/>
        <v>0</v>
      </c>
      <c r="F101" s="910">
        <f t="shared" si="16"/>
        <v>0</v>
      </c>
      <c r="G101" s="910">
        <f t="shared" si="16"/>
        <v>0</v>
      </c>
      <c r="H101" s="911">
        <f t="shared" si="16"/>
        <v>0</v>
      </c>
      <c r="I101" s="849"/>
    </row>
    <row r="102" spans="2:24" ht="15" customHeight="1">
      <c r="B102" s="849"/>
      <c r="C102" s="849"/>
      <c r="D102" s="849"/>
      <c r="E102" s="849"/>
      <c r="F102" s="849"/>
      <c r="G102" s="849"/>
      <c r="H102" s="849"/>
      <c r="I102" s="849"/>
    </row>
    <row r="103" spans="2:24" ht="15" customHeight="1" thickBot="1"/>
    <row r="104" spans="2:24" ht="15" customHeight="1">
      <c r="B104" s="1570" t="s">
        <v>490</v>
      </c>
      <c r="C104" s="1571"/>
      <c r="D104" s="1571"/>
      <c r="E104" s="1571"/>
      <c r="F104" s="1571"/>
      <c r="G104" s="1571"/>
      <c r="H104" s="1572"/>
      <c r="I104" s="912"/>
      <c r="J104" s="1570" t="s">
        <v>491</v>
      </c>
      <c r="K104" s="1571"/>
      <c r="L104" s="1571"/>
      <c r="M104" s="1571"/>
      <c r="N104" s="1571"/>
      <c r="O104" s="1571"/>
      <c r="P104" s="1572"/>
      <c r="R104" s="1570" t="s">
        <v>192</v>
      </c>
      <c r="S104" s="1571"/>
      <c r="T104" s="1571"/>
      <c r="U104" s="1571"/>
      <c r="V104" s="1571"/>
      <c r="W104" s="1571"/>
      <c r="X104" s="1572"/>
    </row>
    <row r="105" spans="2:24" ht="15" customHeight="1">
      <c r="B105" s="1573"/>
      <c r="C105" s="1577" t="s">
        <v>492</v>
      </c>
      <c r="D105" s="1580" t="s">
        <v>493</v>
      </c>
      <c r="E105" s="1581"/>
      <c r="F105" s="1581"/>
      <c r="G105" s="1581"/>
      <c r="H105" s="1582"/>
      <c r="J105" s="974"/>
      <c r="K105" s="1583" t="s">
        <v>492</v>
      </c>
      <c r="L105" s="931" t="s">
        <v>494</v>
      </c>
      <c r="M105" s="932"/>
      <c r="N105" s="932"/>
      <c r="O105" s="932"/>
      <c r="P105" s="933"/>
      <c r="R105" s="913"/>
      <c r="S105" s="1585" t="s">
        <v>492</v>
      </c>
      <c r="T105" s="935" t="s">
        <v>494</v>
      </c>
      <c r="U105" s="936"/>
      <c r="V105" s="936"/>
      <c r="W105" s="936"/>
      <c r="X105" s="937"/>
    </row>
    <row r="106" spans="2:24" ht="25.5">
      <c r="B106" s="1574"/>
      <c r="C106" s="1576"/>
      <c r="D106" s="918" t="s">
        <v>508</v>
      </c>
      <c r="E106" s="918" t="s">
        <v>497</v>
      </c>
      <c r="F106" s="918" t="s">
        <v>410</v>
      </c>
      <c r="G106" s="918" t="s">
        <v>509</v>
      </c>
      <c r="H106" s="919" t="s">
        <v>499</v>
      </c>
      <c r="I106" s="920"/>
      <c r="J106" s="921"/>
      <c r="K106" s="1584"/>
      <c r="L106" s="918" t="s">
        <v>508</v>
      </c>
      <c r="M106" s="918" t="s">
        <v>497</v>
      </c>
      <c r="N106" s="918" t="s">
        <v>410</v>
      </c>
      <c r="O106" s="918" t="s">
        <v>509</v>
      </c>
      <c r="P106" s="919" t="s">
        <v>499</v>
      </c>
      <c r="R106" s="921"/>
      <c r="S106" s="1584"/>
      <c r="T106" s="975" t="s">
        <v>508</v>
      </c>
      <c r="U106" s="975" t="s">
        <v>497</v>
      </c>
      <c r="V106" s="975" t="s">
        <v>410</v>
      </c>
      <c r="W106" s="975" t="s">
        <v>509</v>
      </c>
      <c r="X106" s="976" t="s">
        <v>499</v>
      </c>
    </row>
    <row r="107" spans="2:24" ht="15" customHeight="1">
      <c r="B107" s="924" t="s">
        <v>413</v>
      </c>
      <c r="C107" s="925">
        <f>SUM(D107:H107)</f>
        <v>0</v>
      </c>
      <c r="D107" s="926"/>
      <c r="E107" s="926"/>
      <c r="F107" s="926"/>
      <c r="G107" s="927"/>
      <c r="H107" s="928"/>
      <c r="I107" s="920"/>
      <c r="J107" s="924" t="s">
        <v>413</v>
      </c>
      <c r="K107" s="925">
        <f>SUM(L107:P107)</f>
        <v>0</v>
      </c>
      <c r="L107" s="926"/>
      <c r="M107" s="926"/>
      <c r="N107" s="926"/>
      <c r="O107" s="927"/>
      <c r="P107" s="928"/>
      <c r="R107" s="924" t="s">
        <v>413</v>
      </c>
      <c r="S107" s="925">
        <f>SUM(T107:X107)</f>
        <v>0</v>
      </c>
      <c r="T107" s="926"/>
      <c r="U107" s="926"/>
      <c r="V107" s="926"/>
      <c r="W107" s="927"/>
      <c r="X107" s="928"/>
    </row>
    <row r="108" spans="2:24" ht="15" customHeight="1">
      <c r="B108" s="903" t="s">
        <v>223</v>
      </c>
      <c r="C108" s="925">
        <f>SUM(D108:H108)</f>
        <v>0</v>
      </c>
      <c r="D108" s="922"/>
      <c r="E108" s="922"/>
      <c r="F108" s="922"/>
      <c r="G108" s="906"/>
      <c r="H108" s="923"/>
      <c r="I108" s="920"/>
      <c r="J108" s="903" t="s">
        <v>223</v>
      </c>
      <c r="K108" s="925">
        <f>SUM(L108:P108)</f>
        <v>0</v>
      </c>
      <c r="L108" s="922"/>
      <c r="M108" s="922"/>
      <c r="N108" s="922"/>
      <c r="O108" s="906"/>
      <c r="P108" s="923"/>
      <c r="R108" s="903" t="s">
        <v>223</v>
      </c>
      <c r="S108" s="925">
        <f>SUM(T108:X108)</f>
        <v>0</v>
      </c>
      <c r="T108" s="922"/>
      <c r="U108" s="922"/>
      <c r="V108" s="922"/>
      <c r="W108" s="906"/>
      <c r="X108" s="923"/>
    </row>
    <row r="109" spans="2:24" ht="15" customHeight="1">
      <c r="B109" s="903" t="s">
        <v>402</v>
      </c>
      <c r="C109" s="925">
        <f>SUM(D109:H109)</f>
        <v>0</v>
      </c>
      <c r="D109" s="922"/>
      <c r="E109" s="922"/>
      <c r="F109" s="922"/>
      <c r="G109" s="906"/>
      <c r="H109" s="923"/>
      <c r="I109" s="920"/>
      <c r="J109" s="903" t="s">
        <v>402</v>
      </c>
      <c r="K109" s="925">
        <f>SUM(L109:P109)</f>
        <v>0</v>
      </c>
      <c r="L109" s="922"/>
      <c r="M109" s="922"/>
      <c r="N109" s="922"/>
      <c r="O109" s="906"/>
      <c r="P109" s="923"/>
      <c r="R109" s="903" t="s">
        <v>402</v>
      </c>
      <c r="S109" s="925">
        <f>SUM(T109:X109)</f>
        <v>0</v>
      </c>
      <c r="T109" s="922"/>
      <c r="U109" s="922"/>
      <c r="V109" s="922"/>
      <c r="W109" s="906"/>
      <c r="X109" s="923"/>
    </row>
    <row r="110" spans="2:24" ht="15" customHeight="1">
      <c r="B110" s="903" t="s">
        <v>481</v>
      </c>
      <c r="C110" s="925">
        <f>SUM(D110:H110)</f>
        <v>0</v>
      </c>
      <c r="D110" s="922"/>
      <c r="E110" s="922"/>
      <c r="F110" s="922"/>
      <c r="G110" s="906"/>
      <c r="H110" s="923"/>
      <c r="I110" s="920"/>
      <c r="J110" s="903" t="s">
        <v>481</v>
      </c>
      <c r="K110" s="925">
        <f>SUM(L110:P110)</f>
        <v>0</v>
      </c>
      <c r="L110" s="922"/>
      <c r="M110" s="922"/>
      <c r="N110" s="922"/>
      <c r="O110" s="906"/>
      <c r="P110" s="923"/>
      <c r="R110" s="903" t="s">
        <v>481</v>
      </c>
      <c r="S110" s="925">
        <f>SUM(T110:X110)</f>
        <v>0</v>
      </c>
      <c r="T110" s="922"/>
      <c r="U110" s="922"/>
      <c r="V110" s="922"/>
      <c r="W110" s="906"/>
      <c r="X110" s="923"/>
    </row>
    <row r="111" spans="2:24" ht="15" customHeight="1" thickBot="1">
      <c r="B111" s="908" t="s">
        <v>200</v>
      </c>
      <c r="C111" s="909">
        <f t="shared" ref="C111:H111" si="17">SUM(C107:C110)</f>
        <v>0</v>
      </c>
      <c r="D111" s="910">
        <f t="shared" si="17"/>
        <v>0</v>
      </c>
      <c r="E111" s="910">
        <f t="shared" si="17"/>
        <v>0</v>
      </c>
      <c r="F111" s="910">
        <f t="shared" si="17"/>
        <v>0</v>
      </c>
      <c r="G111" s="910">
        <f t="shared" si="17"/>
        <v>0</v>
      </c>
      <c r="H111" s="911">
        <f t="shared" si="17"/>
        <v>0</v>
      </c>
      <c r="I111" s="920"/>
      <c r="J111" s="908" t="s">
        <v>200</v>
      </c>
      <c r="K111" s="909">
        <f t="shared" ref="K111:P111" si="18">SUM(K107:K110)</f>
        <v>0</v>
      </c>
      <c r="L111" s="910">
        <f t="shared" si="18"/>
        <v>0</v>
      </c>
      <c r="M111" s="910">
        <f t="shared" si="18"/>
        <v>0</v>
      </c>
      <c r="N111" s="910">
        <f t="shared" si="18"/>
        <v>0</v>
      </c>
      <c r="O111" s="910">
        <f t="shared" si="18"/>
        <v>0</v>
      </c>
      <c r="P111" s="911">
        <f t="shared" si="18"/>
        <v>0</v>
      </c>
      <c r="R111" s="908" t="s">
        <v>200</v>
      </c>
      <c r="S111" s="909">
        <f t="shared" ref="S111:X111" si="19">SUM(S107:S110)</f>
        <v>0</v>
      </c>
      <c r="T111" s="910">
        <f t="shared" si="19"/>
        <v>0</v>
      </c>
      <c r="U111" s="910">
        <f t="shared" si="19"/>
        <v>0</v>
      </c>
      <c r="V111" s="910">
        <f t="shared" si="19"/>
        <v>0</v>
      </c>
      <c r="W111" s="910">
        <f t="shared" si="19"/>
        <v>0</v>
      </c>
      <c r="X111" s="911">
        <f t="shared" si="19"/>
        <v>0</v>
      </c>
    </row>
    <row r="112" spans="2:24" ht="15" customHeight="1" thickBot="1">
      <c r="B112" s="929"/>
      <c r="C112" s="930"/>
      <c r="D112" s="930"/>
      <c r="E112" s="930"/>
      <c r="F112" s="930"/>
      <c r="G112" s="930"/>
      <c r="H112" s="930"/>
      <c r="I112" s="920"/>
      <c r="J112" s="929"/>
      <c r="K112" s="930"/>
      <c r="L112" s="930"/>
      <c r="M112" s="930"/>
      <c r="N112" s="930"/>
      <c r="O112" s="930"/>
      <c r="P112" s="930"/>
      <c r="R112" s="929"/>
      <c r="S112" s="930"/>
      <c r="T112" s="930"/>
      <c r="U112" s="930"/>
      <c r="V112" s="930"/>
      <c r="W112" s="930"/>
      <c r="X112" s="930"/>
    </row>
    <row r="113" spans="2:24" ht="15" customHeight="1">
      <c r="B113" s="1570" t="s">
        <v>490</v>
      </c>
      <c r="C113" s="1571"/>
      <c r="D113" s="1571"/>
      <c r="E113" s="1571"/>
      <c r="F113" s="1571"/>
      <c r="G113" s="1571"/>
      <c r="H113" s="1572"/>
      <c r="I113" s="912"/>
      <c r="J113" s="1570" t="s">
        <v>491</v>
      </c>
      <c r="K113" s="1571"/>
      <c r="L113" s="1571"/>
      <c r="M113" s="1571"/>
      <c r="N113" s="1571"/>
      <c r="O113" s="1571"/>
      <c r="P113" s="1572"/>
      <c r="R113" s="1570" t="s">
        <v>192</v>
      </c>
      <c r="S113" s="1571"/>
      <c r="T113" s="1571"/>
      <c r="U113" s="1571"/>
      <c r="V113" s="1571"/>
      <c r="W113" s="1571"/>
      <c r="X113" s="1572"/>
    </row>
    <row r="114" spans="2:24" ht="15" customHeight="1">
      <c r="B114" s="1573"/>
      <c r="C114" s="1578" t="s">
        <v>500</v>
      </c>
      <c r="D114" s="935" t="s">
        <v>493</v>
      </c>
      <c r="E114" s="936"/>
      <c r="F114" s="936"/>
      <c r="G114" s="936"/>
      <c r="H114" s="937"/>
      <c r="J114" s="977"/>
      <c r="K114" s="1575" t="s">
        <v>500</v>
      </c>
      <c r="L114" s="931" t="s">
        <v>494</v>
      </c>
      <c r="M114" s="932"/>
      <c r="N114" s="932"/>
      <c r="O114" s="932"/>
      <c r="P114" s="933"/>
      <c r="R114" s="934"/>
      <c r="S114" s="1575" t="s">
        <v>500</v>
      </c>
      <c r="T114" s="931" t="s">
        <v>494</v>
      </c>
      <c r="U114" s="932"/>
      <c r="V114" s="932"/>
      <c r="W114" s="932"/>
      <c r="X114" s="933"/>
    </row>
    <row r="115" spans="2:24" ht="25.5">
      <c r="B115" s="1574"/>
      <c r="C115" s="1579"/>
      <c r="D115" s="918" t="s">
        <v>508</v>
      </c>
      <c r="E115" s="918" t="s">
        <v>497</v>
      </c>
      <c r="F115" s="918" t="s">
        <v>410</v>
      </c>
      <c r="G115" s="918" t="s">
        <v>509</v>
      </c>
      <c r="H115" s="919" t="s">
        <v>499</v>
      </c>
      <c r="I115" s="920"/>
      <c r="J115" s="939"/>
      <c r="K115" s="1576"/>
      <c r="L115" s="918" t="s">
        <v>508</v>
      </c>
      <c r="M115" s="918" t="s">
        <v>497</v>
      </c>
      <c r="N115" s="918" t="s">
        <v>410</v>
      </c>
      <c r="O115" s="918" t="s">
        <v>509</v>
      </c>
      <c r="P115" s="919" t="s">
        <v>499</v>
      </c>
      <c r="R115" s="939"/>
      <c r="S115" s="1576"/>
      <c r="T115" s="975" t="s">
        <v>508</v>
      </c>
      <c r="U115" s="975" t="s">
        <v>497</v>
      </c>
      <c r="V115" s="975" t="s">
        <v>410</v>
      </c>
      <c r="W115" s="975" t="s">
        <v>509</v>
      </c>
      <c r="X115" s="976" t="s">
        <v>499</v>
      </c>
    </row>
    <row r="116" spans="2:24" ht="15" customHeight="1">
      <c r="B116" s="940" t="s">
        <v>413</v>
      </c>
      <c r="C116" s="926"/>
      <c r="D116" s="926"/>
      <c r="E116" s="926"/>
      <c r="F116" s="926"/>
      <c r="G116" s="943"/>
      <c r="H116" s="941"/>
      <c r="I116" s="920"/>
      <c r="J116" s="924" t="s">
        <v>413</v>
      </c>
      <c r="K116" s="942"/>
      <c r="L116" s="926"/>
      <c r="M116" s="926"/>
      <c r="N116" s="926"/>
      <c r="O116" s="927"/>
      <c r="P116" s="943"/>
      <c r="R116" s="924" t="s">
        <v>413</v>
      </c>
      <c r="S116" s="942"/>
      <c r="T116" s="926"/>
      <c r="U116" s="926"/>
      <c r="V116" s="926"/>
      <c r="W116" s="927"/>
      <c r="X116" s="943"/>
    </row>
    <row r="117" spans="2:24" ht="15" customHeight="1">
      <c r="B117" s="944" t="s">
        <v>223</v>
      </c>
      <c r="C117" s="922"/>
      <c r="D117" s="922"/>
      <c r="E117" s="922"/>
      <c r="F117" s="922"/>
      <c r="G117" s="947"/>
      <c r="H117" s="945"/>
      <c r="I117" s="920"/>
      <c r="J117" s="903" t="s">
        <v>223</v>
      </c>
      <c r="K117" s="946"/>
      <c r="L117" s="922"/>
      <c r="M117" s="922"/>
      <c r="N117" s="922"/>
      <c r="O117" s="906"/>
      <c r="P117" s="947"/>
      <c r="R117" s="903" t="s">
        <v>223</v>
      </c>
      <c r="S117" s="946"/>
      <c r="T117" s="922"/>
      <c r="U117" s="922"/>
      <c r="V117" s="922"/>
      <c r="W117" s="906"/>
      <c r="X117" s="947"/>
    </row>
    <row r="118" spans="2:24" ht="15" customHeight="1">
      <c r="B118" s="944" t="s">
        <v>402</v>
      </c>
      <c r="C118" s="922"/>
      <c r="D118" s="922"/>
      <c r="E118" s="922"/>
      <c r="F118" s="922"/>
      <c r="G118" s="947"/>
      <c r="H118" s="945"/>
      <c r="I118" s="920"/>
      <c r="J118" s="903" t="s">
        <v>402</v>
      </c>
      <c r="K118" s="946"/>
      <c r="L118" s="922"/>
      <c r="M118" s="922"/>
      <c r="N118" s="922"/>
      <c r="O118" s="906"/>
      <c r="P118" s="947"/>
      <c r="R118" s="903" t="s">
        <v>402</v>
      </c>
      <c r="S118" s="946"/>
      <c r="T118" s="922"/>
      <c r="U118" s="922"/>
      <c r="V118" s="922"/>
      <c r="W118" s="906"/>
      <c r="X118" s="947"/>
    </row>
    <row r="119" spans="2:24" ht="15" customHeight="1">
      <c r="B119" s="944" t="s">
        <v>481</v>
      </c>
      <c r="C119" s="922"/>
      <c r="D119" s="922"/>
      <c r="E119" s="922"/>
      <c r="F119" s="922"/>
      <c r="G119" s="947"/>
      <c r="H119" s="945"/>
      <c r="I119" s="920"/>
      <c r="J119" s="903" t="s">
        <v>481</v>
      </c>
      <c r="K119" s="946"/>
      <c r="L119" s="922"/>
      <c r="M119" s="922"/>
      <c r="N119" s="922"/>
      <c r="O119" s="906"/>
      <c r="P119" s="947"/>
      <c r="R119" s="903" t="s">
        <v>481</v>
      </c>
      <c r="S119" s="946"/>
      <c r="T119" s="922"/>
      <c r="U119" s="922"/>
      <c r="V119" s="922"/>
      <c r="W119" s="906"/>
      <c r="X119" s="947"/>
    </row>
    <row r="120" spans="2:24" ht="15" customHeight="1" thickBot="1">
      <c r="B120" s="948" t="s">
        <v>200</v>
      </c>
      <c r="C120" s="949">
        <f>SUM(C116:C119)</f>
        <v>0</v>
      </c>
      <c r="D120" s="910">
        <f>SUM(D116:D119)</f>
        <v>0</v>
      </c>
      <c r="E120" s="910">
        <f>SUM(E116:E119)</f>
        <v>0</v>
      </c>
      <c r="F120" s="910">
        <f>SUM(F116:F119)</f>
        <v>0</v>
      </c>
      <c r="G120" s="978"/>
      <c r="H120" s="950">
        <f>SUM(H116:H119)</f>
        <v>0</v>
      </c>
      <c r="I120" s="920"/>
      <c r="J120" s="908" t="s">
        <v>200</v>
      </c>
      <c r="K120" s="909">
        <f t="shared" ref="K120:P120" si="20">SUM(K116:K119)</f>
        <v>0</v>
      </c>
      <c r="L120" s="910">
        <f t="shared" si="20"/>
        <v>0</v>
      </c>
      <c r="M120" s="910">
        <f t="shared" si="20"/>
        <v>0</v>
      </c>
      <c r="N120" s="910">
        <f t="shared" si="20"/>
        <v>0</v>
      </c>
      <c r="O120" s="910">
        <f t="shared" si="20"/>
        <v>0</v>
      </c>
      <c r="P120" s="950">
        <f t="shared" si="20"/>
        <v>0</v>
      </c>
      <c r="R120" s="908" t="s">
        <v>200</v>
      </c>
      <c r="S120" s="909">
        <f t="shared" ref="S120:X120" si="21">SUM(S116:S119)</f>
        <v>0</v>
      </c>
      <c r="T120" s="910">
        <f t="shared" si="21"/>
        <v>0</v>
      </c>
      <c r="U120" s="910">
        <f t="shared" si="21"/>
        <v>0</v>
      </c>
      <c r="V120" s="910">
        <f t="shared" si="21"/>
        <v>0</v>
      </c>
      <c r="W120" s="910">
        <f t="shared" si="21"/>
        <v>0</v>
      </c>
      <c r="X120" s="950">
        <f t="shared" si="21"/>
        <v>0</v>
      </c>
    </row>
    <row r="121" spans="2:24" ht="15" customHeight="1" thickBot="1">
      <c r="B121" s="929"/>
      <c r="C121" s="930"/>
      <c r="D121" s="930"/>
      <c r="E121" s="930"/>
      <c r="F121" s="930"/>
      <c r="G121" s="930"/>
      <c r="H121" s="930"/>
      <c r="I121" s="920"/>
      <c r="J121" s="929"/>
      <c r="K121" s="930"/>
      <c r="L121" s="930"/>
      <c r="M121" s="930"/>
      <c r="N121" s="930"/>
      <c r="O121" s="930"/>
      <c r="P121" s="930"/>
      <c r="R121" s="929"/>
      <c r="S121" s="930"/>
      <c r="T121" s="930"/>
      <c r="U121" s="930"/>
      <c r="V121" s="930"/>
      <c r="W121" s="930"/>
      <c r="X121" s="930"/>
    </row>
    <row r="122" spans="2:24" ht="15" customHeight="1">
      <c r="B122" s="1570" t="s">
        <v>490</v>
      </c>
      <c r="C122" s="1571"/>
      <c r="D122" s="1571"/>
      <c r="E122" s="1571"/>
      <c r="F122" s="1571"/>
      <c r="G122" s="1571"/>
      <c r="H122" s="1572"/>
      <c r="J122" s="1570" t="s">
        <v>491</v>
      </c>
      <c r="K122" s="1571"/>
      <c r="L122" s="1571"/>
      <c r="M122" s="1571"/>
      <c r="N122" s="1571"/>
      <c r="O122" s="1571"/>
      <c r="P122" s="1572"/>
      <c r="R122" s="1570" t="s">
        <v>192</v>
      </c>
      <c r="S122" s="1571"/>
      <c r="T122" s="1571"/>
      <c r="U122" s="1571"/>
      <c r="V122" s="1571"/>
      <c r="W122" s="1571"/>
      <c r="X122" s="1572"/>
    </row>
    <row r="123" spans="2:24" ht="15" customHeight="1">
      <c r="B123" s="1573"/>
      <c r="C123" s="1575" t="s">
        <v>501</v>
      </c>
      <c r="D123" s="931" t="s">
        <v>502</v>
      </c>
      <c r="E123" s="932"/>
      <c r="F123" s="932"/>
      <c r="G123" s="932"/>
      <c r="H123" s="933"/>
      <c r="J123" s="913"/>
      <c r="K123" s="1577" t="s">
        <v>501</v>
      </c>
      <c r="L123" s="935" t="s">
        <v>503</v>
      </c>
      <c r="M123" s="936"/>
      <c r="N123" s="936"/>
      <c r="O123" s="936"/>
      <c r="P123" s="937"/>
      <c r="R123" s="974"/>
      <c r="S123" s="1575" t="s">
        <v>501</v>
      </c>
      <c r="T123" s="931" t="s">
        <v>503</v>
      </c>
      <c r="U123" s="932"/>
      <c r="V123" s="932"/>
      <c r="W123" s="932"/>
      <c r="X123" s="933"/>
    </row>
    <row r="124" spans="2:24" ht="25.5">
      <c r="B124" s="1574"/>
      <c r="C124" s="1576"/>
      <c r="D124" s="918" t="s">
        <v>508</v>
      </c>
      <c r="E124" s="918" t="s">
        <v>497</v>
      </c>
      <c r="F124" s="918" t="s">
        <v>410</v>
      </c>
      <c r="G124" s="918" t="s">
        <v>509</v>
      </c>
      <c r="H124" s="919" t="s">
        <v>499</v>
      </c>
      <c r="J124" s="953"/>
      <c r="K124" s="1576"/>
      <c r="L124" s="918" t="s">
        <v>508</v>
      </c>
      <c r="M124" s="918" t="s">
        <v>497</v>
      </c>
      <c r="N124" s="918" t="s">
        <v>410</v>
      </c>
      <c r="O124" s="918" t="s">
        <v>509</v>
      </c>
      <c r="P124" s="919" t="s">
        <v>499</v>
      </c>
      <c r="R124" s="953"/>
      <c r="S124" s="1576"/>
      <c r="T124" s="975" t="s">
        <v>508</v>
      </c>
      <c r="U124" s="975" t="s">
        <v>497</v>
      </c>
      <c r="V124" s="975" t="s">
        <v>410</v>
      </c>
      <c r="W124" s="975" t="s">
        <v>509</v>
      </c>
      <c r="X124" s="976" t="s">
        <v>499</v>
      </c>
    </row>
    <row r="125" spans="2:24" ht="15" customHeight="1">
      <c r="B125" s="924" t="s">
        <v>413</v>
      </c>
      <c r="C125" s="954">
        <f>SUM(D42:F42)</f>
        <v>0</v>
      </c>
      <c r="D125" s="955"/>
      <c r="E125" s="955"/>
      <c r="F125" s="955"/>
      <c r="G125" s="943"/>
      <c r="H125" s="958"/>
      <c r="J125" s="924" t="s">
        <v>413</v>
      </c>
      <c r="K125" s="954">
        <f>SUM(G42:H42)</f>
        <v>0</v>
      </c>
      <c r="L125" s="955"/>
      <c r="M125" s="955"/>
      <c r="N125" s="955"/>
      <c r="O125" s="943"/>
      <c r="P125" s="958"/>
      <c r="R125" s="924" t="s">
        <v>413</v>
      </c>
      <c r="S125" s="954">
        <f>SUM(I42:M42)</f>
        <v>0</v>
      </c>
      <c r="T125" s="955"/>
      <c r="U125" s="955"/>
      <c r="V125" s="955"/>
      <c r="W125" s="943"/>
      <c r="X125" s="958"/>
    </row>
    <row r="126" spans="2:24" ht="15" customHeight="1">
      <c r="B126" s="903" t="s">
        <v>223</v>
      </c>
      <c r="C126" s="954">
        <f>SUM(D43:F43)</f>
        <v>0</v>
      </c>
      <c r="D126" s="867"/>
      <c r="E126" s="867"/>
      <c r="F126" s="867"/>
      <c r="G126" s="947"/>
      <c r="H126" s="956"/>
      <c r="J126" s="903" t="s">
        <v>223</v>
      </c>
      <c r="K126" s="954">
        <f>SUM(G43:H43)</f>
        <v>0</v>
      </c>
      <c r="L126" s="867"/>
      <c r="M126" s="867"/>
      <c r="N126" s="867"/>
      <c r="O126" s="947"/>
      <c r="P126" s="956"/>
      <c r="R126" s="903" t="s">
        <v>223</v>
      </c>
      <c r="S126" s="954">
        <f>SUM(I43:M43)</f>
        <v>0</v>
      </c>
      <c r="T126" s="867"/>
      <c r="U126" s="867"/>
      <c r="V126" s="867"/>
      <c r="W126" s="947"/>
      <c r="X126" s="956"/>
    </row>
    <row r="127" spans="2:24" ht="15" customHeight="1">
      <c r="B127" s="903" t="s">
        <v>402</v>
      </c>
      <c r="C127" s="954">
        <f>SUM(D44:F44)</f>
        <v>0</v>
      </c>
      <c r="D127" s="867"/>
      <c r="E127" s="867"/>
      <c r="F127" s="867"/>
      <c r="G127" s="947"/>
      <c r="H127" s="956"/>
      <c r="J127" s="903" t="s">
        <v>402</v>
      </c>
      <c r="K127" s="954">
        <f>SUM(G44:H44)</f>
        <v>0</v>
      </c>
      <c r="L127" s="867"/>
      <c r="M127" s="867"/>
      <c r="N127" s="867"/>
      <c r="O127" s="947"/>
      <c r="P127" s="956"/>
      <c r="R127" s="903" t="s">
        <v>402</v>
      </c>
      <c r="S127" s="954">
        <f>SUM(I44:M44)</f>
        <v>0</v>
      </c>
      <c r="T127" s="867"/>
      <c r="U127" s="867"/>
      <c r="V127" s="867"/>
      <c r="W127" s="947"/>
      <c r="X127" s="956"/>
    </row>
    <row r="128" spans="2:24" ht="15" customHeight="1">
      <c r="B128" s="903" t="s">
        <v>481</v>
      </c>
      <c r="C128" s="954">
        <f>SUM(D45:F45)</f>
        <v>0</v>
      </c>
      <c r="D128" s="867"/>
      <c r="E128" s="867"/>
      <c r="F128" s="867"/>
      <c r="G128" s="947"/>
      <c r="H128" s="956"/>
      <c r="J128" s="903" t="s">
        <v>481</v>
      </c>
      <c r="K128" s="954">
        <f>SUM(G45:H45)</f>
        <v>0</v>
      </c>
      <c r="L128" s="867"/>
      <c r="M128" s="867"/>
      <c r="N128" s="867"/>
      <c r="O128" s="947"/>
      <c r="P128" s="956"/>
      <c r="R128" s="903" t="s">
        <v>481</v>
      </c>
      <c r="S128" s="954">
        <f>SUM(I45:M45)</f>
        <v>0</v>
      </c>
      <c r="T128" s="867"/>
      <c r="U128" s="867"/>
      <c r="V128" s="867"/>
      <c r="W128" s="947"/>
      <c r="X128" s="956"/>
    </row>
    <row r="129" spans="2:24" ht="15" customHeight="1" thickBot="1">
      <c r="B129" s="908" t="s">
        <v>200</v>
      </c>
      <c r="C129" s="959">
        <f>SUM(C125:C128)</f>
        <v>0</v>
      </c>
      <c r="D129" s="960">
        <f>SUM(D125:D128)</f>
        <v>0</v>
      </c>
      <c r="E129" s="960">
        <f>SUM(E125:E128)</f>
        <v>0</v>
      </c>
      <c r="F129" s="960">
        <f>SUM(F125:F128)</f>
        <v>0</v>
      </c>
      <c r="G129" s="978"/>
      <c r="H129" s="950">
        <f>SUM(H125:H128)</f>
        <v>0</v>
      </c>
      <c r="J129" s="908" t="s">
        <v>200</v>
      </c>
      <c r="K129" s="959">
        <f>SUM(K125:K128)</f>
        <v>0</v>
      </c>
      <c r="L129" s="960">
        <f>SUM(L125:L128)</f>
        <v>0</v>
      </c>
      <c r="M129" s="960">
        <f>SUM(M125:M128)</f>
        <v>0</v>
      </c>
      <c r="N129" s="960">
        <f>SUM(N125:N128)</f>
        <v>0</v>
      </c>
      <c r="O129" s="978"/>
      <c r="P129" s="950">
        <f>SUM(P125:P128)</f>
        <v>0</v>
      </c>
      <c r="R129" s="908" t="s">
        <v>200</v>
      </c>
      <c r="S129" s="959">
        <f>SUM(S125:S128)</f>
        <v>0</v>
      </c>
      <c r="T129" s="960">
        <f>SUM(T125:T128)</f>
        <v>0</v>
      </c>
      <c r="U129" s="960">
        <f>SUM(U125:U128)</f>
        <v>0</v>
      </c>
      <c r="V129" s="960">
        <f>SUM(V125:V128)</f>
        <v>0</v>
      </c>
      <c r="W129" s="978"/>
      <c r="X129" s="950">
        <f>SUM(X125:X128)</f>
        <v>0</v>
      </c>
    </row>
    <row r="130" spans="2:24" ht="15" customHeight="1" thickBot="1"/>
    <row r="131" spans="2:24" ht="15" customHeight="1">
      <c r="B131" s="1570" t="s">
        <v>490</v>
      </c>
      <c r="C131" s="1571"/>
      <c r="D131" s="1571"/>
      <c r="E131" s="1571"/>
      <c r="F131" s="1571"/>
      <c r="G131" s="1571"/>
      <c r="H131" s="1572"/>
      <c r="J131" s="1570" t="s">
        <v>491</v>
      </c>
      <c r="K131" s="1571"/>
      <c r="L131" s="1571"/>
      <c r="M131" s="1571"/>
      <c r="N131" s="1571"/>
      <c r="O131" s="1571"/>
      <c r="P131" s="1572"/>
      <c r="R131" s="1570" t="s">
        <v>192</v>
      </c>
      <c r="S131" s="1571"/>
      <c r="T131" s="1571"/>
      <c r="U131" s="1571"/>
      <c r="V131" s="1571"/>
      <c r="W131" s="1571"/>
      <c r="X131" s="1572"/>
    </row>
    <row r="132" spans="2:24" ht="15" customHeight="1">
      <c r="B132" s="1573"/>
      <c r="C132" s="1575" t="s">
        <v>504</v>
      </c>
      <c r="D132" s="931" t="s">
        <v>505</v>
      </c>
      <c r="E132" s="932"/>
      <c r="F132" s="932"/>
      <c r="G132" s="932"/>
      <c r="H132" s="933"/>
      <c r="J132" s="974"/>
      <c r="K132" s="1575" t="s">
        <v>504</v>
      </c>
      <c r="L132" s="931" t="s">
        <v>506</v>
      </c>
      <c r="M132" s="932"/>
      <c r="N132" s="932"/>
      <c r="O132" s="932"/>
      <c r="P132" s="933"/>
      <c r="R132" s="974"/>
      <c r="S132" s="1575" t="s">
        <v>504</v>
      </c>
      <c r="T132" s="931" t="s">
        <v>506</v>
      </c>
      <c r="U132" s="932"/>
      <c r="V132" s="932"/>
      <c r="W132" s="932"/>
      <c r="X132" s="933"/>
    </row>
    <row r="133" spans="2:24" ht="25.5">
      <c r="B133" s="1574"/>
      <c r="C133" s="1576"/>
      <c r="D133" s="918" t="s">
        <v>508</v>
      </c>
      <c r="E133" s="918" t="s">
        <v>497</v>
      </c>
      <c r="F133" s="918" t="s">
        <v>410</v>
      </c>
      <c r="G133" s="918" t="s">
        <v>509</v>
      </c>
      <c r="H133" s="919" t="s">
        <v>499</v>
      </c>
      <c r="J133" s="953"/>
      <c r="K133" s="1576"/>
      <c r="L133" s="918" t="s">
        <v>508</v>
      </c>
      <c r="M133" s="918" t="s">
        <v>497</v>
      </c>
      <c r="N133" s="918" t="s">
        <v>410</v>
      </c>
      <c r="O133" s="918" t="s">
        <v>509</v>
      </c>
      <c r="P133" s="919" t="s">
        <v>499</v>
      </c>
      <c r="R133" s="953"/>
      <c r="S133" s="1576"/>
      <c r="T133" s="975" t="s">
        <v>508</v>
      </c>
      <c r="U133" s="975" t="s">
        <v>497</v>
      </c>
      <c r="V133" s="975" t="s">
        <v>410</v>
      </c>
      <c r="W133" s="975" t="s">
        <v>509</v>
      </c>
      <c r="X133" s="976" t="s">
        <v>499</v>
      </c>
    </row>
    <row r="134" spans="2:24" ht="15" customHeight="1">
      <c r="B134" s="924" t="s">
        <v>413</v>
      </c>
      <c r="C134" s="954">
        <f t="shared" ref="C134:F137" si="22">IF(C116&gt;0,C125*1000/C116,0)</f>
        <v>0</v>
      </c>
      <c r="D134" s="963">
        <f t="shared" si="22"/>
        <v>0</v>
      </c>
      <c r="E134" s="963">
        <f t="shared" si="22"/>
        <v>0</v>
      </c>
      <c r="F134" s="963">
        <f t="shared" si="22"/>
        <v>0</v>
      </c>
      <c r="G134" s="941"/>
      <c r="H134" s="958"/>
      <c r="J134" s="924" t="s">
        <v>413</v>
      </c>
      <c r="K134" s="954">
        <f t="shared" ref="K134:N137" si="23">IF(K116&gt;0,K125*1000/K116,0)</f>
        <v>0</v>
      </c>
      <c r="L134" s="963">
        <f t="shared" si="23"/>
        <v>0</v>
      </c>
      <c r="M134" s="963">
        <f t="shared" si="23"/>
        <v>0</v>
      </c>
      <c r="N134" s="963">
        <f t="shared" si="23"/>
        <v>0</v>
      </c>
      <c r="O134" s="941"/>
      <c r="P134" s="958"/>
      <c r="R134" s="924" t="s">
        <v>413</v>
      </c>
      <c r="S134" s="954">
        <f t="shared" ref="S134:V137" si="24">IF(S116&gt;0,S125*1000/S116,0)</f>
        <v>0</v>
      </c>
      <c r="T134" s="963">
        <f t="shared" si="24"/>
        <v>0</v>
      </c>
      <c r="U134" s="963">
        <f t="shared" si="24"/>
        <v>0</v>
      </c>
      <c r="V134" s="963">
        <f t="shared" si="24"/>
        <v>0</v>
      </c>
      <c r="W134" s="941"/>
      <c r="X134" s="958"/>
    </row>
    <row r="135" spans="2:24" ht="15" customHeight="1">
      <c r="B135" s="903" t="s">
        <v>223</v>
      </c>
      <c r="C135" s="965">
        <f t="shared" si="22"/>
        <v>0</v>
      </c>
      <c r="D135" s="966">
        <f t="shared" si="22"/>
        <v>0</v>
      </c>
      <c r="E135" s="966">
        <f t="shared" si="22"/>
        <v>0</v>
      </c>
      <c r="F135" s="966">
        <f t="shared" si="22"/>
        <v>0</v>
      </c>
      <c r="G135" s="945"/>
      <c r="H135" s="956"/>
      <c r="J135" s="903" t="s">
        <v>223</v>
      </c>
      <c r="K135" s="965">
        <f t="shared" si="23"/>
        <v>0</v>
      </c>
      <c r="L135" s="966">
        <f t="shared" si="23"/>
        <v>0</v>
      </c>
      <c r="M135" s="966">
        <f t="shared" si="23"/>
        <v>0</v>
      </c>
      <c r="N135" s="966">
        <f t="shared" si="23"/>
        <v>0</v>
      </c>
      <c r="O135" s="945"/>
      <c r="P135" s="956"/>
      <c r="R135" s="903" t="s">
        <v>223</v>
      </c>
      <c r="S135" s="965">
        <f t="shared" si="24"/>
        <v>0</v>
      </c>
      <c r="T135" s="966">
        <f t="shared" si="24"/>
        <v>0</v>
      </c>
      <c r="U135" s="966">
        <f t="shared" si="24"/>
        <v>0</v>
      </c>
      <c r="V135" s="966">
        <f t="shared" si="24"/>
        <v>0</v>
      </c>
      <c r="W135" s="945"/>
      <c r="X135" s="956"/>
    </row>
    <row r="136" spans="2:24" ht="15" customHeight="1">
      <c r="B136" s="903" t="s">
        <v>402</v>
      </c>
      <c r="C136" s="965">
        <f t="shared" si="22"/>
        <v>0</v>
      </c>
      <c r="D136" s="966">
        <f t="shared" si="22"/>
        <v>0</v>
      </c>
      <c r="E136" s="966">
        <f t="shared" si="22"/>
        <v>0</v>
      </c>
      <c r="F136" s="966">
        <f t="shared" si="22"/>
        <v>0</v>
      </c>
      <c r="G136" s="945"/>
      <c r="H136" s="956"/>
      <c r="J136" s="903" t="s">
        <v>402</v>
      </c>
      <c r="K136" s="965">
        <f t="shared" si="23"/>
        <v>0</v>
      </c>
      <c r="L136" s="966">
        <f t="shared" si="23"/>
        <v>0</v>
      </c>
      <c r="M136" s="966">
        <f t="shared" si="23"/>
        <v>0</v>
      </c>
      <c r="N136" s="966">
        <f t="shared" si="23"/>
        <v>0</v>
      </c>
      <c r="O136" s="945"/>
      <c r="P136" s="956"/>
      <c r="R136" s="903" t="s">
        <v>402</v>
      </c>
      <c r="S136" s="965">
        <f t="shared" si="24"/>
        <v>0</v>
      </c>
      <c r="T136" s="966">
        <f t="shared" si="24"/>
        <v>0</v>
      </c>
      <c r="U136" s="966">
        <f t="shared" si="24"/>
        <v>0</v>
      </c>
      <c r="V136" s="966">
        <f t="shared" si="24"/>
        <v>0</v>
      </c>
      <c r="W136" s="945"/>
      <c r="X136" s="956"/>
    </row>
    <row r="137" spans="2:24" ht="15" customHeight="1" thickBot="1">
      <c r="B137" s="967" t="s">
        <v>481</v>
      </c>
      <c r="C137" s="968">
        <f t="shared" si="22"/>
        <v>0</v>
      </c>
      <c r="D137" s="969">
        <f t="shared" si="22"/>
        <v>0</v>
      </c>
      <c r="E137" s="969">
        <f t="shared" si="22"/>
        <v>0</v>
      </c>
      <c r="F137" s="969">
        <f t="shared" si="22"/>
        <v>0</v>
      </c>
      <c r="G137" s="979"/>
      <c r="H137" s="970"/>
      <c r="J137" s="967" t="s">
        <v>481</v>
      </c>
      <c r="K137" s="968">
        <f t="shared" si="23"/>
        <v>0</v>
      </c>
      <c r="L137" s="969">
        <f t="shared" si="23"/>
        <v>0</v>
      </c>
      <c r="M137" s="969">
        <f t="shared" si="23"/>
        <v>0</v>
      </c>
      <c r="N137" s="969">
        <f t="shared" si="23"/>
        <v>0</v>
      </c>
      <c r="O137" s="979"/>
      <c r="P137" s="970"/>
      <c r="R137" s="967" t="s">
        <v>481</v>
      </c>
      <c r="S137" s="968">
        <f t="shared" si="24"/>
        <v>0</v>
      </c>
      <c r="T137" s="969">
        <f t="shared" si="24"/>
        <v>0</v>
      </c>
      <c r="U137" s="969">
        <f t="shared" si="24"/>
        <v>0</v>
      </c>
      <c r="V137" s="969">
        <f t="shared" si="24"/>
        <v>0</v>
      </c>
      <c r="W137" s="979"/>
      <c r="X137" s="970"/>
    </row>
  </sheetData>
  <sheetProtection insertRows="0"/>
  <mergeCells count="67">
    <mergeCell ref="R58:X58"/>
    <mergeCell ref="B7:C8"/>
    <mergeCell ref="B31:C32"/>
    <mergeCell ref="B40:C41"/>
    <mergeCell ref="B58:H58"/>
    <mergeCell ref="J58:P58"/>
    <mergeCell ref="T59:X59"/>
    <mergeCell ref="B67:H67"/>
    <mergeCell ref="J67:P67"/>
    <mergeCell ref="R67:X67"/>
    <mergeCell ref="B68:B69"/>
    <mergeCell ref="C68:C69"/>
    <mergeCell ref="K68:K69"/>
    <mergeCell ref="R68:R69"/>
    <mergeCell ref="S68:S69"/>
    <mergeCell ref="B59:B60"/>
    <mergeCell ref="C59:C60"/>
    <mergeCell ref="D59:H59"/>
    <mergeCell ref="K59:K60"/>
    <mergeCell ref="R59:R60"/>
    <mergeCell ref="S59:S60"/>
    <mergeCell ref="B76:H76"/>
    <mergeCell ref="J76:P76"/>
    <mergeCell ref="R76:X76"/>
    <mergeCell ref="B77:B78"/>
    <mergeCell ref="C77:C78"/>
    <mergeCell ref="K77:K78"/>
    <mergeCell ref="R77:R78"/>
    <mergeCell ref="S77:S78"/>
    <mergeCell ref="B85:H85"/>
    <mergeCell ref="J85:P85"/>
    <mergeCell ref="R85:X85"/>
    <mergeCell ref="B86:B87"/>
    <mergeCell ref="C86:C87"/>
    <mergeCell ref="D86:H86"/>
    <mergeCell ref="K86:K87"/>
    <mergeCell ref="R86:R87"/>
    <mergeCell ref="S86:S87"/>
    <mergeCell ref="B104:H104"/>
    <mergeCell ref="J104:P104"/>
    <mergeCell ref="R104:X104"/>
    <mergeCell ref="B105:B106"/>
    <mergeCell ref="C105:C106"/>
    <mergeCell ref="D105:H105"/>
    <mergeCell ref="K105:K106"/>
    <mergeCell ref="S105:S106"/>
    <mergeCell ref="B113:H113"/>
    <mergeCell ref="J113:P113"/>
    <mergeCell ref="R113:X113"/>
    <mergeCell ref="B114:B115"/>
    <mergeCell ref="C114:C115"/>
    <mergeCell ref="K114:K115"/>
    <mergeCell ref="S114:S115"/>
    <mergeCell ref="B122:H122"/>
    <mergeCell ref="J122:P122"/>
    <mergeCell ref="R122:X122"/>
    <mergeCell ref="B123:B124"/>
    <mergeCell ref="C123:C124"/>
    <mergeCell ref="K123:K124"/>
    <mergeCell ref="S123:S124"/>
    <mergeCell ref="B131:H131"/>
    <mergeCell ref="J131:P131"/>
    <mergeCell ref="R131:X131"/>
    <mergeCell ref="B132:B133"/>
    <mergeCell ref="C132:C133"/>
    <mergeCell ref="K132:K133"/>
    <mergeCell ref="S132:S133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J155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5.85546875" customWidth="1"/>
    <col min="9" max="9" width="8.85546875" customWidth="1"/>
    <col min="10" max="10" width="15.42578125" customWidth="1"/>
  </cols>
  <sheetData>
    <row r="1" spans="1:10" s="74" customFormat="1">
      <c r="A1" s="716" t="s">
        <v>74</v>
      </c>
      <c r="F1" s="125" t="s">
        <v>985</v>
      </c>
    </row>
    <row r="2" spans="1:10" s="74" customFormat="1">
      <c r="A2" s="716"/>
    </row>
    <row r="3" spans="1:10" s="74" customFormat="1">
      <c r="A3" s="716" t="s">
        <v>510</v>
      </c>
    </row>
    <row r="4" spans="1:10" s="74" customFormat="1">
      <c r="A4" s="716"/>
    </row>
    <row r="5" spans="1:10" s="74" customFormat="1"/>
    <row r="6" spans="1:10" s="74" customFormat="1" ht="13.5" thickBot="1"/>
    <row r="7" spans="1:10" s="74" customFormat="1" ht="38.25" customHeight="1">
      <c r="B7" s="1595" t="s">
        <v>77</v>
      </c>
      <c r="C7" s="1596"/>
      <c r="D7" s="1596"/>
      <c r="E7" s="1597"/>
      <c r="F7" s="1604" t="s">
        <v>190</v>
      </c>
      <c r="G7" s="1607" t="s">
        <v>511</v>
      </c>
      <c r="H7" s="1608"/>
      <c r="I7" s="1607" t="s">
        <v>512</v>
      </c>
      <c r="J7" s="1608"/>
    </row>
    <row r="8" spans="1:10" s="74" customFormat="1" ht="51">
      <c r="B8" s="1598"/>
      <c r="C8" s="1599"/>
      <c r="D8" s="1599"/>
      <c r="E8" s="1600"/>
      <c r="F8" s="1605"/>
      <c r="G8" s="980" t="s">
        <v>513</v>
      </c>
      <c r="H8" s="981" t="s">
        <v>514</v>
      </c>
      <c r="I8" s="980" t="s">
        <v>513</v>
      </c>
      <c r="J8" s="981" t="s">
        <v>514</v>
      </c>
    </row>
    <row r="9" spans="1:10" s="74" customFormat="1" ht="13.5" thickBot="1">
      <c r="B9" s="1601"/>
      <c r="C9" s="1602"/>
      <c r="D9" s="1602"/>
      <c r="E9" s="1603"/>
      <c r="F9" s="1606"/>
      <c r="G9" s="982" t="s">
        <v>515</v>
      </c>
      <c r="H9" s="983" t="s">
        <v>515</v>
      </c>
      <c r="I9" s="982" t="s">
        <v>515</v>
      </c>
      <c r="J9" s="983" t="s">
        <v>515</v>
      </c>
    </row>
    <row r="10" spans="1:10" s="74" customFormat="1">
      <c r="B10" s="984"/>
      <c r="C10" s="985" t="s">
        <v>89</v>
      </c>
      <c r="D10" s="985"/>
      <c r="E10" s="986"/>
      <c r="F10" s="987"/>
      <c r="G10" s="988"/>
      <c r="H10" s="989"/>
      <c r="I10" s="988"/>
      <c r="J10" s="989"/>
    </row>
    <row r="11" spans="1:10" s="74" customFormat="1">
      <c r="B11" s="984"/>
      <c r="C11" s="986"/>
      <c r="D11" s="985" t="s">
        <v>429</v>
      </c>
      <c r="E11" s="986"/>
      <c r="F11" s="990"/>
      <c r="G11" s="991"/>
      <c r="H11" s="992"/>
      <c r="I11" s="991"/>
      <c r="J11" s="992"/>
    </row>
    <row r="12" spans="1:10" s="74" customFormat="1">
      <c r="B12" s="993"/>
      <c r="C12" s="986"/>
      <c r="D12" s="986"/>
      <c r="E12" s="986" t="s">
        <v>91</v>
      </c>
      <c r="F12" s="994" t="s">
        <v>516</v>
      </c>
      <c r="G12" s="995"/>
      <c r="H12" s="996"/>
      <c r="I12" s="995"/>
      <c r="J12" s="996">
        <v>39.50991010706953</v>
      </c>
    </row>
    <row r="13" spans="1:10" s="74" customFormat="1">
      <c r="B13" s="993"/>
      <c r="C13" s="986"/>
      <c r="D13" s="986"/>
      <c r="E13" s="986" t="s">
        <v>92</v>
      </c>
      <c r="F13" s="994" t="s">
        <v>517</v>
      </c>
      <c r="G13" s="995"/>
      <c r="H13" s="996"/>
      <c r="I13" s="995"/>
      <c r="J13" s="996">
        <v>0.48182817203743339</v>
      </c>
    </row>
    <row r="14" spans="1:10" s="74" customFormat="1">
      <c r="B14" s="993"/>
      <c r="C14" s="986"/>
      <c r="D14" s="986"/>
      <c r="E14" s="986"/>
      <c r="F14" s="994"/>
      <c r="G14" s="997"/>
      <c r="H14" s="998"/>
      <c r="I14" s="997"/>
      <c r="J14" s="998"/>
    </row>
    <row r="15" spans="1:10" s="74" customFormat="1">
      <c r="B15" s="993"/>
      <c r="C15" s="986"/>
      <c r="D15" s="985" t="s">
        <v>93</v>
      </c>
      <c r="E15" s="986"/>
      <c r="F15" s="994"/>
      <c r="G15" s="997"/>
      <c r="H15" s="998"/>
      <c r="I15" s="997"/>
      <c r="J15" s="998"/>
    </row>
    <row r="16" spans="1:10" s="74" customFormat="1">
      <c r="B16" s="993"/>
      <c r="C16" s="986"/>
      <c r="D16" s="986"/>
      <c r="E16" s="986" t="s">
        <v>94</v>
      </c>
      <c r="F16" s="994" t="s">
        <v>517</v>
      </c>
      <c r="G16" s="995"/>
      <c r="H16" s="996"/>
      <c r="I16" s="995"/>
      <c r="J16" s="996">
        <v>0</v>
      </c>
    </row>
    <row r="17" spans="2:10" s="74" customFormat="1">
      <c r="B17" s="993"/>
      <c r="C17" s="986"/>
      <c r="D17" s="986"/>
      <c r="E17" s="986"/>
      <c r="F17" s="994"/>
      <c r="G17" s="997"/>
      <c r="H17" s="998"/>
      <c r="I17" s="997"/>
      <c r="J17" s="998"/>
    </row>
    <row r="18" spans="2:10" s="74" customFormat="1">
      <c r="B18" s="993"/>
      <c r="C18" s="986"/>
      <c r="D18" s="985" t="s">
        <v>95</v>
      </c>
      <c r="E18" s="986"/>
      <c r="F18" s="994"/>
      <c r="G18" s="997"/>
      <c r="H18" s="998"/>
      <c r="I18" s="997"/>
      <c r="J18" s="998"/>
    </row>
    <row r="19" spans="2:10" s="74" customFormat="1">
      <c r="B19" s="993"/>
      <c r="C19" s="986"/>
      <c r="D19" s="985"/>
      <c r="E19" s="986" t="s">
        <v>96</v>
      </c>
      <c r="F19" s="994" t="s">
        <v>516</v>
      </c>
      <c r="G19" s="995"/>
      <c r="H19" s="996"/>
      <c r="I19" s="995"/>
      <c r="J19" s="996">
        <v>120.45704300935833</v>
      </c>
    </row>
    <row r="20" spans="2:10" s="74" customFormat="1">
      <c r="B20" s="993"/>
      <c r="C20" s="986"/>
      <c r="D20" s="985"/>
      <c r="E20" s="986" t="s">
        <v>97</v>
      </c>
      <c r="F20" s="994" t="s">
        <v>516</v>
      </c>
      <c r="G20" s="995"/>
      <c r="H20" s="996"/>
      <c r="I20" s="995"/>
      <c r="J20" s="996">
        <v>120.45704300935833</v>
      </c>
    </row>
    <row r="21" spans="2:10" s="74" customFormat="1">
      <c r="B21" s="993"/>
      <c r="C21" s="986"/>
      <c r="D21" s="985"/>
      <c r="E21" s="986" t="s">
        <v>98</v>
      </c>
      <c r="F21" s="994" t="s">
        <v>516</v>
      </c>
      <c r="G21" s="995"/>
      <c r="H21" s="996"/>
      <c r="I21" s="995"/>
      <c r="J21" s="996">
        <v>120.45704300935833</v>
      </c>
    </row>
    <row r="22" spans="2:10" s="74" customFormat="1">
      <c r="B22" s="993"/>
      <c r="C22" s="986"/>
      <c r="D22" s="985"/>
      <c r="E22" s="986" t="s">
        <v>99</v>
      </c>
      <c r="F22" s="994" t="s">
        <v>517</v>
      </c>
      <c r="G22" s="995"/>
      <c r="H22" s="996"/>
      <c r="I22" s="995"/>
      <c r="J22" s="996">
        <v>1.6107756705297416</v>
      </c>
    </row>
    <row r="23" spans="2:10" s="74" customFormat="1">
      <c r="B23" s="993"/>
      <c r="C23" s="986"/>
      <c r="D23" s="986"/>
      <c r="E23" s="986"/>
      <c r="F23" s="994"/>
      <c r="G23" s="997"/>
      <c r="H23" s="998"/>
      <c r="I23" s="997"/>
      <c r="J23" s="998"/>
    </row>
    <row r="24" spans="2:10" s="74" customFormat="1">
      <c r="B24" s="993"/>
      <c r="C24" s="986"/>
      <c r="D24" s="985" t="s">
        <v>100</v>
      </c>
      <c r="E24" s="986"/>
      <c r="F24" s="994"/>
      <c r="G24" s="997"/>
      <c r="H24" s="998"/>
      <c r="I24" s="997"/>
      <c r="J24" s="998"/>
    </row>
    <row r="25" spans="2:10" s="74" customFormat="1">
      <c r="B25" s="993"/>
      <c r="C25" s="986"/>
      <c r="D25" s="985"/>
      <c r="E25" s="986" t="s">
        <v>101</v>
      </c>
      <c r="F25" s="994" t="s">
        <v>517</v>
      </c>
      <c r="G25" s="995"/>
      <c r="H25" s="996"/>
      <c r="I25" s="995"/>
      <c r="J25" s="996">
        <v>5.4205669354211254</v>
      </c>
    </row>
    <row r="26" spans="2:10" s="74" customFormat="1">
      <c r="B26" s="993"/>
      <c r="C26" s="986"/>
      <c r="D26" s="985"/>
      <c r="E26" s="986" t="s">
        <v>102</v>
      </c>
      <c r="F26" s="994" t="s">
        <v>517</v>
      </c>
      <c r="G26" s="995"/>
      <c r="H26" s="996"/>
      <c r="I26" s="995"/>
      <c r="J26" s="996">
        <v>5.4205669354211254</v>
      </c>
    </row>
    <row r="27" spans="2:10" s="74" customFormat="1">
      <c r="B27" s="993"/>
      <c r="C27" s="986"/>
      <c r="D27" s="985"/>
      <c r="E27" s="986" t="s">
        <v>103</v>
      </c>
      <c r="F27" s="994" t="s">
        <v>517</v>
      </c>
      <c r="G27" s="995"/>
      <c r="H27" s="996"/>
      <c r="I27" s="995"/>
      <c r="J27" s="996">
        <v>5.4205669354211254</v>
      </c>
    </row>
    <row r="28" spans="2:10" s="74" customFormat="1">
      <c r="B28" s="993"/>
      <c r="C28" s="986"/>
      <c r="D28" s="985"/>
      <c r="E28" s="986" t="s">
        <v>104</v>
      </c>
      <c r="F28" s="994" t="s">
        <v>517</v>
      </c>
      <c r="G28" s="995"/>
      <c r="H28" s="996"/>
      <c r="I28" s="995"/>
      <c r="J28" s="996">
        <v>4.5773676343556167</v>
      </c>
    </row>
    <row r="29" spans="2:10" s="74" customFormat="1">
      <c r="B29" s="993"/>
      <c r="C29" s="986"/>
      <c r="D29" s="985"/>
      <c r="E29" s="986" t="s">
        <v>105</v>
      </c>
      <c r="F29" s="994" t="s">
        <v>517</v>
      </c>
      <c r="G29" s="999"/>
      <c r="H29" s="1000"/>
      <c r="I29" s="999"/>
      <c r="J29" s="1000"/>
    </row>
    <row r="30" spans="2:10" s="74" customFormat="1">
      <c r="B30" s="993"/>
      <c r="C30" s="986"/>
      <c r="D30" s="985"/>
      <c r="E30" s="986" t="s">
        <v>106</v>
      </c>
      <c r="F30" s="994" t="s">
        <v>517</v>
      </c>
      <c r="G30" s="999"/>
      <c r="H30" s="1000"/>
      <c r="I30" s="999"/>
      <c r="J30" s="1000"/>
    </row>
    <row r="31" spans="2:10" s="74" customFormat="1" ht="13.5" thickBot="1">
      <c r="B31" s="1001"/>
      <c r="C31" s="1002"/>
      <c r="D31" s="1002"/>
      <c r="E31" s="1002"/>
      <c r="F31" s="1003"/>
      <c r="G31" s="1004"/>
      <c r="H31" s="1005"/>
      <c r="I31" s="1004"/>
      <c r="J31" s="1005"/>
    </row>
    <row r="32" spans="2:10" s="74" customFormat="1">
      <c r="B32" s="1006"/>
      <c r="C32" s="1007" t="s">
        <v>107</v>
      </c>
      <c r="D32" s="1007"/>
      <c r="E32" s="1008"/>
      <c r="F32" s="1009"/>
      <c r="G32" s="997"/>
      <c r="H32" s="998"/>
      <c r="I32" s="997"/>
      <c r="J32" s="998"/>
    </row>
    <row r="33" spans="2:10" s="74" customFormat="1">
      <c r="B33" s="993"/>
      <c r="C33" s="986"/>
      <c r="D33" s="985" t="s">
        <v>429</v>
      </c>
      <c r="E33" s="986"/>
      <c r="F33" s="1009"/>
      <c r="G33" s="997"/>
      <c r="H33" s="998"/>
      <c r="I33" s="997"/>
      <c r="J33" s="998"/>
    </row>
    <row r="34" spans="2:10" s="74" customFormat="1">
      <c r="B34" s="993"/>
      <c r="C34" s="986"/>
      <c r="D34" s="985"/>
      <c r="E34" s="986" t="s">
        <v>108</v>
      </c>
      <c r="F34" s="994" t="s">
        <v>516</v>
      </c>
      <c r="G34" s="995"/>
      <c r="H34" s="996"/>
      <c r="I34" s="995"/>
      <c r="J34" s="996">
        <v>40.834937580172472</v>
      </c>
    </row>
    <row r="35" spans="2:10" s="74" customFormat="1">
      <c r="B35" s="993"/>
      <c r="C35" s="986"/>
      <c r="D35" s="985"/>
      <c r="E35" s="986" t="s">
        <v>109</v>
      </c>
      <c r="F35" s="994" t="s">
        <v>516</v>
      </c>
      <c r="G35" s="995"/>
      <c r="H35" s="996"/>
      <c r="I35" s="995"/>
      <c r="J35" s="996">
        <v>40.834937580172472</v>
      </c>
    </row>
    <row r="36" spans="2:10" s="74" customFormat="1">
      <c r="B36" s="993"/>
      <c r="C36" s="986"/>
      <c r="D36" s="986"/>
      <c r="E36" s="986" t="s">
        <v>110</v>
      </c>
      <c r="F36" s="994" t="s">
        <v>516</v>
      </c>
      <c r="G36" s="995"/>
      <c r="H36" s="996"/>
      <c r="I36" s="995"/>
      <c r="J36" s="996">
        <v>0</v>
      </c>
    </row>
    <row r="37" spans="2:10" s="74" customFormat="1">
      <c r="B37" s="993"/>
      <c r="C37" s="986"/>
      <c r="D37" s="986"/>
      <c r="E37" s="986" t="s">
        <v>111</v>
      </c>
      <c r="F37" s="994" t="s">
        <v>516</v>
      </c>
      <c r="G37" s="995"/>
      <c r="H37" s="996"/>
      <c r="I37" s="995"/>
      <c r="J37" s="996">
        <v>0</v>
      </c>
    </row>
    <row r="38" spans="2:10" s="74" customFormat="1">
      <c r="B38" s="993"/>
      <c r="C38" s="986"/>
      <c r="D38" s="986"/>
      <c r="E38" s="986"/>
      <c r="F38" s="994"/>
      <c r="G38" s="997"/>
      <c r="H38" s="998"/>
      <c r="I38" s="997"/>
      <c r="J38" s="998"/>
    </row>
    <row r="39" spans="2:10" s="74" customFormat="1">
      <c r="B39" s="993"/>
      <c r="C39" s="986"/>
      <c r="D39" s="985" t="s">
        <v>93</v>
      </c>
      <c r="E39" s="986"/>
      <c r="F39" s="994"/>
      <c r="G39" s="997"/>
      <c r="H39" s="998"/>
      <c r="I39" s="997"/>
      <c r="J39" s="998"/>
    </row>
    <row r="40" spans="2:10" s="74" customFormat="1">
      <c r="B40" s="993"/>
      <c r="C40" s="986"/>
      <c r="D40" s="1008"/>
      <c r="E40" s="986" t="s">
        <v>112</v>
      </c>
      <c r="F40" s="994" t="s">
        <v>517</v>
      </c>
      <c r="G40" s="995"/>
      <c r="H40" s="996"/>
      <c r="I40" s="995"/>
      <c r="J40" s="996">
        <v>0</v>
      </c>
    </row>
    <row r="41" spans="2:10" s="74" customFormat="1">
      <c r="B41" s="993"/>
      <c r="C41" s="986"/>
      <c r="D41" s="985"/>
      <c r="E41" s="986" t="s">
        <v>113</v>
      </c>
      <c r="F41" s="994" t="s">
        <v>517</v>
      </c>
      <c r="G41" s="995"/>
      <c r="H41" s="996"/>
      <c r="I41" s="995"/>
      <c r="J41" s="996">
        <v>0</v>
      </c>
    </row>
    <row r="42" spans="2:10" s="74" customFormat="1">
      <c r="B42" s="993"/>
      <c r="C42" s="986"/>
      <c r="D42" s="986"/>
      <c r="E42" s="986"/>
      <c r="F42" s="994"/>
      <c r="G42" s="997"/>
      <c r="H42" s="998"/>
      <c r="I42" s="997"/>
      <c r="J42" s="998"/>
    </row>
    <row r="43" spans="2:10" s="74" customFormat="1">
      <c r="B43" s="993"/>
      <c r="C43" s="986"/>
      <c r="D43" s="985" t="s">
        <v>114</v>
      </c>
      <c r="E43" s="986"/>
      <c r="F43" s="994"/>
      <c r="G43" s="997"/>
      <c r="H43" s="998"/>
      <c r="I43" s="997"/>
      <c r="J43" s="998"/>
    </row>
    <row r="44" spans="2:10" s="74" customFormat="1">
      <c r="B44" s="993"/>
      <c r="C44" s="986"/>
      <c r="D44" s="985"/>
      <c r="E44" s="986" t="s">
        <v>115</v>
      </c>
      <c r="F44" s="994" t="s">
        <v>516</v>
      </c>
      <c r="G44" s="995"/>
      <c r="H44" s="996"/>
      <c r="I44" s="995"/>
      <c r="J44" s="996">
        <v>80.103933601223289</v>
      </c>
    </row>
    <row r="45" spans="2:10" s="74" customFormat="1">
      <c r="B45" s="993"/>
      <c r="C45" s="986"/>
      <c r="D45" s="985"/>
      <c r="E45" s="986" t="s">
        <v>116</v>
      </c>
      <c r="F45" s="994" t="s">
        <v>516</v>
      </c>
      <c r="G45" s="995"/>
      <c r="H45" s="996"/>
      <c r="I45" s="995"/>
      <c r="J45" s="996">
        <v>0</v>
      </c>
    </row>
    <row r="46" spans="2:10" s="74" customFormat="1">
      <c r="B46" s="993"/>
      <c r="C46" s="986"/>
      <c r="D46" s="985"/>
      <c r="E46" s="986"/>
      <c r="F46" s="994"/>
      <c r="G46" s="997"/>
      <c r="H46" s="998"/>
      <c r="I46" s="997"/>
      <c r="J46" s="998"/>
    </row>
    <row r="47" spans="2:10" s="74" customFormat="1">
      <c r="B47" s="993"/>
      <c r="C47" s="986"/>
      <c r="D47" s="985" t="s">
        <v>117</v>
      </c>
      <c r="E47" s="986"/>
      <c r="F47" s="994"/>
      <c r="G47" s="997"/>
      <c r="H47" s="998"/>
      <c r="I47" s="997"/>
      <c r="J47" s="998"/>
    </row>
    <row r="48" spans="2:10" s="74" customFormat="1">
      <c r="B48" s="993"/>
      <c r="C48" s="986"/>
      <c r="D48" s="985"/>
      <c r="E48" s="986" t="s">
        <v>118</v>
      </c>
      <c r="F48" s="994" t="s">
        <v>516</v>
      </c>
      <c r="G48" s="995"/>
      <c r="H48" s="996"/>
      <c r="I48" s="995"/>
      <c r="J48" s="996">
        <v>0</v>
      </c>
    </row>
    <row r="49" spans="2:10" s="74" customFormat="1">
      <c r="B49" s="993"/>
      <c r="C49" s="986"/>
      <c r="D49" s="985"/>
      <c r="E49" s="986"/>
      <c r="F49" s="994"/>
      <c r="G49" s="997"/>
      <c r="H49" s="998"/>
      <c r="I49" s="997"/>
      <c r="J49" s="998"/>
    </row>
    <row r="50" spans="2:10" s="74" customFormat="1">
      <c r="B50" s="993"/>
      <c r="C50" s="986"/>
      <c r="D50" s="985" t="s">
        <v>100</v>
      </c>
      <c r="E50" s="986"/>
      <c r="F50" s="994"/>
      <c r="G50" s="997"/>
      <c r="H50" s="998"/>
      <c r="I50" s="997"/>
      <c r="J50" s="998"/>
    </row>
    <row r="51" spans="2:10" s="74" customFormat="1">
      <c r="B51" s="993"/>
      <c r="C51" s="986"/>
      <c r="D51" s="985"/>
      <c r="E51" s="986" t="s">
        <v>119</v>
      </c>
      <c r="F51" s="994" t="s">
        <v>517</v>
      </c>
      <c r="G51" s="995"/>
      <c r="H51" s="996"/>
      <c r="I51" s="995"/>
      <c r="J51" s="996">
        <v>13.250274731029416</v>
      </c>
    </row>
    <row r="52" spans="2:10" s="74" customFormat="1">
      <c r="B52" s="993"/>
      <c r="C52" s="986"/>
      <c r="D52" s="985"/>
      <c r="E52" s="986" t="s">
        <v>120</v>
      </c>
      <c r="F52" s="994" t="s">
        <v>517</v>
      </c>
      <c r="G52" s="995"/>
      <c r="H52" s="996"/>
      <c r="I52" s="995"/>
      <c r="J52" s="996">
        <v>29.271061451274075</v>
      </c>
    </row>
    <row r="53" spans="2:10" s="74" customFormat="1">
      <c r="B53" s="993"/>
      <c r="C53" s="986"/>
      <c r="D53" s="985"/>
      <c r="E53" s="986" t="s">
        <v>121</v>
      </c>
      <c r="F53" s="994" t="s">
        <v>517</v>
      </c>
      <c r="G53" s="995"/>
      <c r="H53" s="996"/>
      <c r="I53" s="995"/>
      <c r="J53" s="996">
        <v>1.5659415591216583</v>
      </c>
    </row>
    <row r="54" spans="2:10" s="74" customFormat="1">
      <c r="B54" s="993"/>
      <c r="C54" s="986"/>
      <c r="D54" s="985"/>
      <c r="E54" s="986" t="s">
        <v>122</v>
      </c>
      <c r="F54" s="994" t="s">
        <v>517</v>
      </c>
      <c r="G54" s="995"/>
      <c r="H54" s="996"/>
      <c r="I54" s="995"/>
      <c r="J54" s="996">
        <v>4.9387387633836912</v>
      </c>
    </row>
    <row r="55" spans="2:10" s="74" customFormat="1">
      <c r="B55" s="993"/>
      <c r="C55" s="986"/>
      <c r="D55" s="985"/>
      <c r="E55" s="986" t="s">
        <v>123</v>
      </c>
      <c r="F55" s="994" t="s">
        <v>517</v>
      </c>
      <c r="G55" s="995"/>
      <c r="H55" s="996"/>
      <c r="I55" s="995"/>
      <c r="J55" s="996">
        <v>15.538958548207226</v>
      </c>
    </row>
    <row r="56" spans="2:10" s="74" customFormat="1">
      <c r="B56" s="993"/>
      <c r="C56" s="986"/>
      <c r="D56" s="985"/>
      <c r="E56" s="986" t="s">
        <v>124</v>
      </c>
      <c r="F56" s="994" t="s">
        <v>517</v>
      </c>
      <c r="G56" s="999"/>
      <c r="H56" s="1000"/>
      <c r="I56" s="999"/>
      <c r="J56" s="1000"/>
    </row>
    <row r="57" spans="2:10" s="74" customFormat="1">
      <c r="B57" s="993"/>
      <c r="C57" s="986"/>
      <c r="D57" s="985"/>
      <c r="E57" s="986" t="s">
        <v>125</v>
      </c>
      <c r="F57" s="994" t="s">
        <v>517</v>
      </c>
      <c r="G57" s="999"/>
      <c r="H57" s="1000"/>
      <c r="I57" s="999"/>
      <c r="J57" s="1000"/>
    </row>
    <row r="58" spans="2:10" s="74" customFormat="1">
      <c r="B58" s="993"/>
      <c r="C58" s="986"/>
      <c r="D58" s="986"/>
      <c r="E58" s="986" t="s">
        <v>126</v>
      </c>
      <c r="F58" s="994" t="s">
        <v>517</v>
      </c>
      <c r="G58" s="995"/>
      <c r="H58" s="996"/>
      <c r="I58" s="995"/>
      <c r="J58" s="996">
        <v>0</v>
      </c>
    </row>
    <row r="59" spans="2:10" s="74" customFormat="1">
      <c r="B59" s="993"/>
      <c r="C59" s="986"/>
      <c r="D59" s="986"/>
      <c r="E59" s="986" t="s">
        <v>127</v>
      </c>
      <c r="F59" s="994" t="s">
        <v>517</v>
      </c>
      <c r="G59" s="995"/>
      <c r="H59" s="996"/>
      <c r="I59" s="995"/>
      <c r="J59" s="996">
        <v>0</v>
      </c>
    </row>
    <row r="60" spans="2:10" s="74" customFormat="1">
      <c r="B60" s="993"/>
      <c r="C60" s="986"/>
      <c r="D60" s="985"/>
      <c r="E60" s="986" t="s">
        <v>128</v>
      </c>
      <c r="F60" s="994" t="s">
        <v>517</v>
      </c>
      <c r="G60" s="995"/>
      <c r="H60" s="996"/>
      <c r="I60" s="995"/>
      <c r="J60" s="996">
        <v>0</v>
      </c>
    </row>
    <row r="61" spans="2:10" s="74" customFormat="1">
      <c r="B61" s="993"/>
      <c r="C61" s="986"/>
      <c r="D61" s="985"/>
      <c r="E61" s="986" t="s">
        <v>129</v>
      </c>
      <c r="F61" s="994" t="s">
        <v>517</v>
      </c>
      <c r="G61" s="995"/>
      <c r="H61" s="996"/>
      <c r="I61" s="995"/>
      <c r="J61" s="996">
        <v>0</v>
      </c>
    </row>
    <row r="62" spans="2:10" s="74" customFormat="1">
      <c r="B62" s="993"/>
      <c r="C62" s="986"/>
      <c r="D62" s="985"/>
      <c r="E62" s="986" t="s">
        <v>130</v>
      </c>
      <c r="F62" s="994" t="s">
        <v>517</v>
      </c>
      <c r="G62" s="995"/>
      <c r="H62" s="996"/>
      <c r="I62" s="995"/>
      <c r="J62" s="996">
        <v>0</v>
      </c>
    </row>
    <row r="63" spans="2:10" s="74" customFormat="1">
      <c r="B63" s="993"/>
      <c r="C63" s="986"/>
      <c r="D63" s="985"/>
      <c r="E63" s="986" t="s">
        <v>131</v>
      </c>
      <c r="F63" s="994" t="s">
        <v>517</v>
      </c>
      <c r="G63" s="999"/>
      <c r="H63" s="1000"/>
      <c r="I63" s="999"/>
      <c r="J63" s="1000"/>
    </row>
    <row r="64" spans="2:10" s="74" customFormat="1">
      <c r="B64" s="993"/>
      <c r="C64" s="986"/>
      <c r="D64" s="985"/>
      <c r="E64" s="986" t="s">
        <v>132</v>
      </c>
      <c r="F64" s="994" t="s">
        <v>517</v>
      </c>
      <c r="G64" s="999"/>
      <c r="H64" s="1000"/>
      <c r="I64" s="999"/>
      <c r="J64" s="1000"/>
    </row>
    <row r="65" spans="2:10" s="74" customFormat="1">
      <c r="B65" s="993"/>
      <c r="C65" s="986"/>
      <c r="D65" s="985"/>
      <c r="E65" s="986"/>
      <c r="F65" s="1009"/>
      <c r="G65" s="997"/>
      <c r="H65" s="998"/>
      <c r="I65" s="997"/>
      <c r="J65" s="998"/>
    </row>
    <row r="66" spans="2:10" s="74" customFormat="1">
      <c r="B66" s="993"/>
      <c r="C66" s="986"/>
      <c r="D66" s="985" t="s">
        <v>133</v>
      </c>
      <c r="E66" s="986"/>
      <c r="F66" s="1009"/>
      <c r="G66" s="997"/>
      <c r="H66" s="998"/>
      <c r="I66" s="997"/>
      <c r="J66" s="998"/>
    </row>
    <row r="67" spans="2:10" s="74" customFormat="1">
      <c r="B67" s="993"/>
      <c r="C67" s="986"/>
      <c r="D67" s="985"/>
      <c r="E67" s="986" t="s">
        <v>134</v>
      </c>
      <c r="F67" s="994" t="s">
        <v>517</v>
      </c>
      <c r="G67" s="995"/>
      <c r="H67" s="996"/>
      <c r="I67" s="995"/>
      <c r="J67" s="996">
        <v>3.4932542472713912</v>
      </c>
    </row>
    <row r="68" spans="2:10" s="74" customFormat="1">
      <c r="B68" s="993"/>
      <c r="C68" s="986"/>
      <c r="D68" s="985"/>
      <c r="E68" s="986" t="s">
        <v>135</v>
      </c>
      <c r="F68" s="994" t="s">
        <v>517</v>
      </c>
      <c r="G68" s="995"/>
      <c r="H68" s="996"/>
      <c r="I68" s="995"/>
      <c r="J68" s="996">
        <v>11.322962042879682</v>
      </c>
    </row>
    <row r="69" spans="2:10" s="74" customFormat="1">
      <c r="B69" s="993"/>
      <c r="C69" s="986"/>
      <c r="D69" s="985"/>
      <c r="E69" s="986" t="s">
        <v>136</v>
      </c>
      <c r="F69" s="994" t="s">
        <v>517</v>
      </c>
      <c r="G69" s="995"/>
      <c r="H69" s="996"/>
      <c r="I69" s="995"/>
      <c r="J69" s="996">
        <v>0</v>
      </c>
    </row>
    <row r="70" spans="2:10" s="74" customFormat="1">
      <c r="B70" s="993"/>
      <c r="C70" s="986"/>
      <c r="D70" s="985"/>
      <c r="E70" s="986" t="s">
        <v>137</v>
      </c>
      <c r="F70" s="994" t="s">
        <v>517</v>
      </c>
      <c r="G70" s="995"/>
      <c r="H70" s="996"/>
      <c r="I70" s="995"/>
      <c r="J70" s="996">
        <v>0</v>
      </c>
    </row>
    <row r="71" spans="2:10" s="74" customFormat="1" ht="13.5" thickBot="1">
      <c r="B71" s="1001"/>
      <c r="C71" s="1002"/>
      <c r="D71" s="1002"/>
      <c r="E71" s="1002"/>
      <c r="F71" s="1003"/>
      <c r="G71" s="1004"/>
      <c r="H71" s="1005"/>
      <c r="I71" s="1004"/>
      <c r="J71" s="1005"/>
    </row>
    <row r="72" spans="2:10" s="74" customFormat="1">
      <c r="B72" s="1006"/>
      <c r="C72" s="1007" t="s">
        <v>138</v>
      </c>
      <c r="D72" s="1007"/>
      <c r="E72" s="1008"/>
      <c r="F72" s="1009"/>
      <c r="G72" s="997"/>
      <c r="H72" s="998"/>
      <c r="I72" s="997"/>
      <c r="J72" s="998"/>
    </row>
    <row r="73" spans="2:10" s="74" customFormat="1">
      <c r="B73" s="993"/>
      <c r="C73" s="986"/>
      <c r="D73" s="985" t="s">
        <v>429</v>
      </c>
      <c r="E73" s="986"/>
      <c r="F73" s="994"/>
      <c r="G73" s="997"/>
      <c r="H73" s="998"/>
      <c r="I73" s="997"/>
      <c r="J73" s="998"/>
    </row>
    <row r="74" spans="2:10" s="74" customFormat="1">
      <c r="B74" s="993"/>
      <c r="C74" s="986"/>
      <c r="D74" s="986"/>
      <c r="E74" s="986" t="s">
        <v>139</v>
      </c>
      <c r="F74" s="994" t="s">
        <v>516</v>
      </c>
      <c r="G74" s="995"/>
      <c r="H74" s="996"/>
      <c r="I74" s="995"/>
      <c r="J74" s="996">
        <v>93.233751289243358</v>
      </c>
    </row>
    <row r="75" spans="2:10" s="74" customFormat="1">
      <c r="B75" s="993"/>
      <c r="C75" s="986"/>
      <c r="D75" s="985"/>
      <c r="E75" s="986" t="s">
        <v>140</v>
      </c>
      <c r="F75" s="994" t="s">
        <v>516</v>
      </c>
      <c r="G75" s="995"/>
      <c r="H75" s="996"/>
      <c r="I75" s="995"/>
      <c r="J75" s="996">
        <v>148.5235340305388</v>
      </c>
    </row>
    <row r="76" spans="2:10" s="74" customFormat="1">
      <c r="B76" s="993"/>
      <c r="C76" s="986"/>
      <c r="D76" s="985"/>
      <c r="E76" s="986" t="s">
        <v>141</v>
      </c>
      <c r="F76" s="994" t="s">
        <v>516</v>
      </c>
      <c r="G76" s="995"/>
      <c r="H76" s="996"/>
      <c r="I76" s="995"/>
      <c r="J76" s="996">
        <v>175.86728279366315</v>
      </c>
    </row>
    <row r="77" spans="2:10" s="74" customFormat="1">
      <c r="B77" s="993"/>
      <c r="C77" s="986"/>
      <c r="D77" s="985"/>
      <c r="E77" s="986" t="s">
        <v>142</v>
      </c>
      <c r="F77" s="994" t="s">
        <v>516</v>
      </c>
      <c r="G77" s="995"/>
      <c r="H77" s="996"/>
      <c r="I77" s="995"/>
      <c r="J77" s="996">
        <v>175.86728279366315</v>
      </c>
    </row>
    <row r="78" spans="2:10" s="74" customFormat="1">
      <c r="B78" s="993"/>
      <c r="C78" s="986"/>
      <c r="D78" s="985"/>
      <c r="E78" s="986"/>
      <c r="F78" s="994"/>
      <c r="G78" s="997"/>
      <c r="H78" s="998"/>
      <c r="I78" s="997"/>
      <c r="J78" s="998"/>
    </row>
    <row r="79" spans="2:10" s="74" customFormat="1">
      <c r="B79" s="993"/>
      <c r="C79" s="986"/>
      <c r="D79" s="985" t="s">
        <v>93</v>
      </c>
      <c r="E79" s="986"/>
      <c r="F79" s="994"/>
      <c r="G79" s="997"/>
      <c r="H79" s="998"/>
      <c r="I79" s="997"/>
      <c r="J79" s="998"/>
    </row>
    <row r="80" spans="2:10" s="74" customFormat="1">
      <c r="B80" s="993"/>
      <c r="C80" s="986"/>
      <c r="D80" s="986"/>
      <c r="E80" s="986" t="s">
        <v>143</v>
      </c>
      <c r="F80" s="994" t="s">
        <v>517</v>
      </c>
      <c r="G80" s="995"/>
      <c r="H80" s="996"/>
      <c r="I80" s="995"/>
      <c r="J80" s="996">
        <v>0</v>
      </c>
    </row>
    <row r="81" spans="2:10" s="74" customFormat="1">
      <c r="B81" s="993"/>
      <c r="C81" s="986"/>
      <c r="D81" s="986"/>
      <c r="E81" s="986" t="s">
        <v>144</v>
      </c>
      <c r="F81" s="994" t="s">
        <v>517</v>
      </c>
      <c r="G81" s="995"/>
      <c r="H81" s="996"/>
      <c r="I81" s="995"/>
      <c r="J81" s="996">
        <v>0</v>
      </c>
    </row>
    <row r="82" spans="2:10" s="74" customFormat="1">
      <c r="B82" s="993"/>
      <c r="C82" s="986"/>
      <c r="D82" s="985"/>
      <c r="E82" s="986" t="s">
        <v>145</v>
      </c>
      <c r="F82" s="994" t="s">
        <v>517</v>
      </c>
      <c r="G82" s="995"/>
      <c r="H82" s="996"/>
      <c r="I82" s="995"/>
      <c r="J82" s="996">
        <v>0</v>
      </c>
    </row>
    <row r="83" spans="2:10" s="74" customFormat="1">
      <c r="B83" s="993"/>
      <c r="C83" s="986"/>
      <c r="D83" s="985"/>
      <c r="E83" s="986" t="s">
        <v>146</v>
      </c>
      <c r="F83" s="994" t="s">
        <v>517</v>
      </c>
      <c r="G83" s="995"/>
      <c r="H83" s="996"/>
      <c r="I83" s="995"/>
      <c r="J83" s="996">
        <v>0</v>
      </c>
    </row>
    <row r="84" spans="2:10" s="74" customFormat="1">
      <c r="B84" s="993"/>
      <c r="C84" s="986"/>
      <c r="D84" s="986"/>
      <c r="E84" s="986"/>
      <c r="F84" s="994"/>
      <c r="G84" s="997"/>
      <c r="H84" s="998"/>
      <c r="I84" s="997"/>
      <c r="J84" s="998"/>
    </row>
    <row r="85" spans="2:10" s="74" customFormat="1">
      <c r="B85" s="984"/>
      <c r="C85" s="986"/>
      <c r="D85" s="985" t="s">
        <v>114</v>
      </c>
      <c r="E85" s="986"/>
      <c r="F85" s="994"/>
      <c r="G85" s="997"/>
      <c r="H85" s="998"/>
      <c r="I85" s="997"/>
      <c r="J85" s="998"/>
    </row>
    <row r="86" spans="2:10" s="74" customFormat="1">
      <c r="B86" s="984"/>
      <c r="C86" s="986"/>
      <c r="D86" s="985"/>
      <c r="E86" s="986" t="s">
        <v>147</v>
      </c>
      <c r="F86" s="994" t="s">
        <v>516</v>
      </c>
      <c r="G86" s="995"/>
      <c r="H86" s="996"/>
      <c r="I86" s="995"/>
      <c r="J86" s="996">
        <v>243.56414096492253</v>
      </c>
    </row>
    <row r="87" spans="2:10" s="74" customFormat="1">
      <c r="B87" s="984"/>
      <c r="C87" s="986"/>
      <c r="D87" s="985"/>
      <c r="E87" s="986" t="s">
        <v>148</v>
      </c>
      <c r="F87" s="994" t="s">
        <v>516</v>
      </c>
      <c r="G87" s="995"/>
      <c r="H87" s="996"/>
      <c r="I87" s="995"/>
      <c r="J87" s="996">
        <v>243.56414096492253</v>
      </c>
    </row>
    <row r="88" spans="2:10" s="74" customFormat="1">
      <c r="B88" s="984"/>
      <c r="C88" s="986"/>
      <c r="D88" s="985"/>
      <c r="E88" s="986" t="s">
        <v>149</v>
      </c>
      <c r="F88" s="994" t="s">
        <v>516</v>
      </c>
      <c r="G88" s="995"/>
      <c r="H88" s="996"/>
      <c r="I88" s="995"/>
      <c r="J88" s="996">
        <v>0</v>
      </c>
    </row>
    <row r="89" spans="2:10" s="74" customFormat="1">
      <c r="B89" s="984"/>
      <c r="C89" s="986"/>
      <c r="D89" s="985"/>
      <c r="E89" s="986" t="s">
        <v>150</v>
      </c>
      <c r="F89" s="994" t="s">
        <v>516</v>
      </c>
      <c r="G89" s="995"/>
      <c r="H89" s="996"/>
      <c r="I89" s="995"/>
      <c r="J89" s="996">
        <v>1143.1373381588107</v>
      </c>
    </row>
    <row r="90" spans="2:10" s="74" customFormat="1">
      <c r="B90" s="984"/>
      <c r="C90" s="986"/>
      <c r="D90" s="985"/>
      <c r="E90" s="986" t="s">
        <v>151</v>
      </c>
      <c r="F90" s="994" t="s">
        <v>516</v>
      </c>
      <c r="G90" s="995"/>
      <c r="H90" s="996"/>
      <c r="I90" s="995"/>
      <c r="J90" s="996">
        <v>1143.1373381588107</v>
      </c>
    </row>
    <row r="91" spans="2:10" s="74" customFormat="1">
      <c r="B91" s="984"/>
      <c r="C91" s="986"/>
      <c r="D91" s="985"/>
      <c r="E91" s="986" t="s">
        <v>152</v>
      </c>
      <c r="F91" s="994" t="s">
        <v>516</v>
      </c>
      <c r="G91" s="995"/>
      <c r="H91" s="996"/>
      <c r="I91" s="995"/>
      <c r="J91" s="996">
        <v>0</v>
      </c>
    </row>
    <row r="92" spans="2:10" s="74" customFormat="1">
      <c r="B92" s="984"/>
      <c r="C92" s="986"/>
      <c r="D92" s="986"/>
      <c r="E92" s="986"/>
      <c r="F92" s="994"/>
      <c r="G92" s="997"/>
      <c r="H92" s="998"/>
      <c r="I92" s="997"/>
      <c r="J92" s="998"/>
    </row>
    <row r="93" spans="2:10" s="74" customFormat="1">
      <c r="B93" s="984"/>
      <c r="C93" s="986"/>
      <c r="D93" s="985" t="s">
        <v>117</v>
      </c>
      <c r="E93" s="986"/>
      <c r="F93" s="994"/>
      <c r="G93" s="997"/>
      <c r="H93" s="998"/>
      <c r="I93" s="997"/>
      <c r="J93" s="998"/>
    </row>
    <row r="94" spans="2:10" s="74" customFormat="1">
      <c r="B94" s="984"/>
      <c r="C94" s="986"/>
      <c r="D94" s="986"/>
      <c r="E94" s="986" t="s">
        <v>153</v>
      </c>
      <c r="F94" s="994" t="s">
        <v>516</v>
      </c>
      <c r="G94" s="995"/>
      <c r="H94" s="996"/>
      <c r="I94" s="995"/>
      <c r="J94" s="996">
        <v>0</v>
      </c>
    </row>
    <row r="95" spans="2:10" s="74" customFormat="1">
      <c r="B95" s="984"/>
      <c r="C95" s="986"/>
      <c r="D95" s="985"/>
      <c r="E95" s="986"/>
      <c r="F95" s="994"/>
      <c r="G95" s="997"/>
      <c r="H95" s="998"/>
      <c r="I95" s="997"/>
      <c r="J95" s="998"/>
    </row>
    <row r="96" spans="2:10" s="74" customFormat="1">
      <c r="B96" s="984"/>
      <c r="C96" s="986"/>
      <c r="D96" s="985" t="s">
        <v>100</v>
      </c>
      <c r="E96" s="986"/>
      <c r="F96" s="994"/>
      <c r="G96" s="997"/>
      <c r="H96" s="998"/>
      <c r="I96" s="997"/>
      <c r="J96" s="998"/>
    </row>
    <row r="97" spans="2:10" s="74" customFormat="1">
      <c r="B97" s="984"/>
      <c r="C97" s="986"/>
      <c r="D97" s="985"/>
      <c r="E97" s="1008" t="s">
        <v>154</v>
      </c>
      <c r="F97" s="994" t="s">
        <v>517</v>
      </c>
      <c r="G97" s="995"/>
      <c r="H97" s="996"/>
      <c r="I97" s="995"/>
      <c r="J97" s="996">
        <v>175.26499757861637</v>
      </c>
    </row>
    <row r="98" spans="2:10" s="74" customFormat="1">
      <c r="B98" s="984"/>
      <c r="C98" s="986"/>
      <c r="D98" s="985"/>
      <c r="E98" s="1008" t="s">
        <v>155</v>
      </c>
      <c r="F98" s="994" t="s">
        <v>517</v>
      </c>
      <c r="G98" s="995"/>
      <c r="H98" s="996"/>
      <c r="I98" s="995"/>
      <c r="J98" s="996">
        <v>175.26499757861637</v>
      </c>
    </row>
    <row r="99" spans="2:10" s="74" customFormat="1">
      <c r="B99" s="984"/>
      <c r="C99" s="986"/>
      <c r="D99" s="985"/>
      <c r="E99" s="1008" t="s">
        <v>156</v>
      </c>
      <c r="F99" s="994" t="s">
        <v>517</v>
      </c>
      <c r="G99" s="995"/>
      <c r="H99" s="996"/>
      <c r="I99" s="995"/>
      <c r="J99" s="996">
        <v>0</v>
      </c>
    </row>
    <row r="100" spans="2:10" s="74" customFormat="1">
      <c r="B100" s="984"/>
      <c r="C100" s="986"/>
      <c r="D100" s="985"/>
      <c r="E100" s="1008" t="s">
        <v>157</v>
      </c>
      <c r="F100" s="994" t="s">
        <v>517</v>
      </c>
      <c r="G100" s="995"/>
      <c r="H100" s="996"/>
      <c r="I100" s="995"/>
      <c r="J100" s="996">
        <v>0</v>
      </c>
    </row>
    <row r="101" spans="2:10" s="74" customFormat="1">
      <c r="B101" s="984"/>
      <c r="C101" s="986"/>
      <c r="D101" s="985"/>
      <c r="E101" s="1008" t="s">
        <v>158</v>
      </c>
      <c r="F101" s="994" t="s">
        <v>517</v>
      </c>
      <c r="G101" s="995"/>
      <c r="H101" s="996"/>
      <c r="I101" s="995"/>
      <c r="J101" s="996">
        <v>557.59565209031973</v>
      </c>
    </row>
    <row r="102" spans="2:10" s="74" customFormat="1">
      <c r="B102" s="984"/>
      <c r="C102" s="986"/>
      <c r="D102" s="985"/>
      <c r="E102" s="1008" t="s">
        <v>159</v>
      </c>
      <c r="F102" s="994" t="s">
        <v>517</v>
      </c>
      <c r="G102" s="999"/>
      <c r="H102" s="1000"/>
      <c r="I102" s="999"/>
      <c r="J102" s="1000"/>
    </row>
    <row r="103" spans="2:10" s="74" customFormat="1">
      <c r="B103" s="984"/>
      <c r="C103" s="986"/>
      <c r="D103" s="985"/>
      <c r="E103" s="1008" t="s">
        <v>160</v>
      </c>
      <c r="F103" s="994" t="s">
        <v>517</v>
      </c>
      <c r="G103" s="995"/>
      <c r="H103" s="996"/>
      <c r="I103" s="995"/>
      <c r="J103" s="996">
        <v>661.18870907836788</v>
      </c>
    </row>
    <row r="104" spans="2:10" s="74" customFormat="1">
      <c r="B104" s="984"/>
      <c r="C104" s="986"/>
      <c r="D104" s="985"/>
      <c r="E104" s="1008" t="s">
        <v>161</v>
      </c>
      <c r="F104" s="994" t="s">
        <v>517</v>
      </c>
      <c r="G104" s="999"/>
      <c r="H104" s="1000"/>
      <c r="I104" s="999"/>
      <c r="J104" s="1000"/>
    </row>
    <row r="105" spans="2:10" s="74" customFormat="1">
      <c r="B105" s="984"/>
      <c r="C105" s="986"/>
      <c r="D105" s="985"/>
      <c r="E105" s="986"/>
      <c r="F105" s="994"/>
      <c r="G105" s="997"/>
      <c r="H105" s="998"/>
      <c r="I105" s="997"/>
      <c r="J105" s="998"/>
    </row>
    <row r="106" spans="2:10" s="74" customFormat="1">
      <c r="B106" s="984"/>
      <c r="C106" s="986"/>
      <c r="D106" s="985" t="s">
        <v>133</v>
      </c>
      <c r="E106" s="986"/>
      <c r="F106" s="994"/>
      <c r="G106" s="997"/>
      <c r="H106" s="998"/>
      <c r="I106" s="997"/>
      <c r="J106" s="998"/>
    </row>
    <row r="107" spans="2:10" s="74" customFormat="1">
      <c r="B107" s="984"/>
      <c r="C107" s="986"/>
      <c r="D107" s="986"/>
      <c r="E107" s="1008" t="s">
        <v>162</v>
      </c>
      <c r="F107" s="994" t="s">
        <v>517</v>
      </c>
      <c r="G107" s="995"/>
      <c r="H107" s="996"/>
      <c r="I107" s="995"/>
      <c r="J107" s="996">
        <v>504.59455316620199</v>
      </c>
    </row>
    <row r="108" spans="2:10" s="74" customFormat="1">
      <c r="B108" s="984"/>
      <c r="C108" s="986"/>
      <c r="D108" s="986"/>
      <c r="E108" s="1008" t="s">
        <v>163</v>
      </c>
      <c r="F108" s="994" t="s">
        <v>517</v>
      </c>
      <c r="G108" s="995"/>
      <c r="H108" s="996"/>
      <c r="I108" s="995"/>
      <c r="J108" s="996">
        <v>541.93623649910307</v>
      </c>
    </row>
    <row r="109" spans="2:10" s="74" customFormat="1">
      <c r="B109" s="984"/>
      <c r="C109" s="986"/>
      <c r="D109" s="986"/>
      <c r="E109" s="986" t="s">
        <v>164</v>
      </c>
      <c r="F109" s="994" t="s">
        <v>517</v>
      </c>
      <c r="G109" s="999"/>
      <c r="H109" s="1000"/>
      <c r="I109" s="999"/>
      <c r="J109" s="1000"/>
    </row>
    <row r="110" spans="2:10" s="74" customFormat="1">
      <c r="B110" s="984"/>
      <c r="C110" s="986"/>
      <c r="D110" s="986"/>
      <c r="E110" s="1008" t="s">
        <v>165</v>
      </c>
      <c r="F110" s="994" t="s">
        <v>517</v>
      </c>
      <c r="G110" s="995"/>
      <c r="H110" s="996"/>
      <c r="I110" s="995"/>
      <c r="J110" s="996">
        <v>2117.5143590615103</v>
      </c>
    </row>
    <row r="111" spans="2:10" s="74" customFormat="1">
      <c r="B111" s="984"/>
      <c r="C111" s="986"/>
      <c r="D111" s="985"/>
      <c r="E111" s="986" t="s">
        <v>166</v>
      </c>
      <c r="F111" s="994" t="s">
        <v>517</v>
      </c>
      <c r="G111" s="999"/>
      <c r="H111" s="1000"/>
      <c r="I111" s="999"/>
      <c r="J111" s="1000"/>
    </row>
    <row r="112" spans="2:10" s="74" customFormat="1" ht="13.5" thickBot="1">
      <c r="B112" s="1001"/>
      <c r="C112" s="1002"/>
      <c r="D112" s="1002"/>
      <c r="E112" s="1002"/>
      <c r="F112" s="1003"/>
      <c r="G112" s="1010"/>
      <c r="H112" s="1011"/>
      <c r="I112" s="1010"/>
      <c r="J112" s="1011"/>
    </row>
    <row r="113" spans="2:10" s="74" customFormat="1">
      <c r="B113" s="1006"/>
      <c r="C113" s="1007" t="s">
        <v>167</v>
      </c>
      <c r="D113" s="1007"/>
      <c r="E113" s="1008"/>
      <c r="F113" s="1009"/>
      <c r="G113" s="997"/>
      <c r="H113" s="998"/>
      <c r="I113" s="997"/>
      <c r="J113" s="998"/>
    </row>
    <row r="114" spans="2:10" s="74" customFormat="1">
      <c r="B114" s="984"/>
      <c r="C114" s="986"/>
      <c r="D114" s="985" t="s">
        <v>429</v>
      </c>
      <c r="E114" s="986"/>
      <c r="F114" s="994"/>
      <c r="G114" s="997"/>
      <c r="H114" s="998"/>
      <c r="I114" s="997"/>
      <c r="J114" s="998"/>
    </row>
    <row r="115" spans="2:10" s="74" customFormat="1">
      <c r="B115" s="984"/>
      <c r="C115" s="986"/>
      <c r="D115" s="985"/>
      <c r="E115" s="986" t="s">
        <v>168</v>
      </c>
      <c r="F115" s="994" t="s">
        <v>516</v>
      </c>
      <c r="G115" s="995"/>
      <c r="H115" s="996"/>
      <c r="I115" s="995"/>
      <c r="J115" s="996">
        <v>677.32995284162189</v>
      </c>
    </row>
    <row r="116" spans="2:10" s="74" customFormat="1">
      <c r="B116" s="984"/>
      <c r="C116" s="986"/>
      <c r="D116" s="985"/>
      <c r="E116" s="986" t="s">
        <v>169</v>
      </c>
      <c r="F116" s="994" t="s">
        <v>516</v>
      </c>
      <c r="G116" s="995"/>
      <c r="H116" s="996"/>
      <c r="I116" s="995"/>
      <c r="J116" s="996">
        <v>1163.9764065994295</v>
      </c>
    </row>
    <row r="117" spans="2:10" s="74" customFormat="1">
      <c r="B117" s="984"/>
      <c r="C117" s="986"/>
      <c r="D117" s="985"/>
      <c r="E117" s="1008"/>
      <c r="F117" s="994"/>
      <c r="G117" s="997"/>
      <c r="H117" s="998"/>
      <c r="I117" s="997"/>
      <c r="J117" s="998"/>
    </row>
    <row r="118" spans="2:10" s="74" customFormat="1">
      <c r="B118" s="984"/>
      <c r="C118" s="986"/>
      <c r="D118" s="985" t="s">
        <v>93</v>
      </c>
      <c r="E118" s="986"/>
      <c r="F118" s="1009"/>
      <c r="G118" s="997"/>
      <c r="H118" s="998"/>
      <c r="I118" s="997"/>
      <c r="J118" s="998"/>
    </row>
    <row r="119" spans="2:10" s="74" customFormat="1">
      <c r="B119" s="984"/>
      <c r="C119" s="986"/>
      <c r="D119" s="985"/>
      <c r="E119" s="986" t="s">
        <v>170</v>
      </c>
      <c r="F119" s="994" t="s">
        <v>517</v>
      </c>
      <c r="G119" s="995"/>
      <c r="H119" s="996"/>
      <c r="I119" s="995"/>
      <c r="J119" s="996">
        <v>0</v>
      </c>
    </row>
    <row r="120" spans="2:10" s="74" customFormat="1">
      <c r="B120" s="984"/>
      <c r="C120" s="986"/>
      <c r="D120" s="985"/>
      <c r="E120" s="986" t="s">
        <v>171</v>
      </c>
      <c r="F120" s="994" t="s">
        <v>517</v>
      </c>
      <c r="G120" s="995"/>
      <c r="H120" s="996"/>
      <c r="I120" s="995"/>
      <c r="J120" s="996">
        <v>0</v>
      </c>
    </row>
    <row r="121" spans="2:10" s="74" customFormat="1">
      <c r="B121" s="984"/>
      <c r="C121" s="986"/>
      <c r="D121" s="985"/>
      <c r="E121" s="1008" t="s">
        <v>172</v>
      </c>
      <c r="F121" s="994" t="s">
        <v>517</v>
      </c>
      <c r="G121" s="995"/>
      <c r="H121" s="996"/>
      <c r="I121" s="995"/>
      <c r="J121" s="996">
        <v>0</v>
      </c>
    </row>
    <row r="122" spans="2:10" s="74" customFormat="1">
      <c r="B122" s="984"/>
      <c r="C122" s="986"/>
      <c r="D122" s="986"/>
      <c r="E122" s="986"/>
      <c r="F122" s="994"/>
      <c r="G122" s="997"/>
      <c r="H122" s="998"/>
      <c r="I122" s="997"/>
      <c r="J122" s="998"/>
    </row>
    <row r="123" spans="2:10" s="74" customFormat="1">
      <c r="B123" s="984"/>
      <c r="C123" s="986"/>
      <c r="D123" s="985" t="s">
        <v>114</v>
      </c>
      <c r="E123" s="986"/>
      <c r="F123" s="1009"/>
      <c r="G123" s="997"/>
      <c r="H123" s="998"/>
      <c r="I123" s="997"/>
      <c r="J123" s="998"/>
    </row>
    <row r="124" spans="2:10" s="74" customFormat="1">
      <c r="B124" s="984"/>
      <c r="C124" s="986"/>
      <c r="D124" s="986"/>
      <c r="E124" s="986" t="s">
        <v>173</v>
      </c>
      <c r="F124" s="994" t="s">
        <v>516</v>
      </c>
      <c r="G124" s="995"/>
      <c r="H124" s="996"/>
      <c r="I124" s="995"/>
      <c r="J124" s="996">
        <v>1174.4561693412438</v>
      </c>
    </row>
    <row r="125" spans="2:10" s="74" customFormat="1">
      <c r="B125" s="984"/>
      <c r="C125" s="986"/>
      <c r="D125" s="986"/>
      <c r="E125" s="986" t="s">
        <v>174</v>
      </c>
      <c r="F125" s="994" t="s">
        <v>516</v>
      </c>
      <c r="G125" s="995"/>
      <c r="H125" s="996"/>
      <c r="I125" s="995"/>
      <c r="J125" s="996">
        <v>1174.4561693412438</v>
      </c>
    </row>
    <row r="126" spans="2:10" s="74" customFormat="1">
      <c r="B126" s="984"/>
      <c r="C126" s="986"/>
      <c r="D126" s="986"/>
      <c r="E126" s="986" t="s">
        <v>175</v>
      </c>
      <c r="F126" s="994" t="s">
        <v>516</v>
      </c>
      <c r="G126" s="995"/>
      <c r="H126" s="996"/>
      <c r="I126" s="995"/>
      <c r="J126" s="996">
        <v>0</v>
      </c>
    </row>
    <row r="127" spans="2:10" s="74" customFormat="1">
      <c r="B127" s="984"/>
      <c r="C127" s="986"/>
      <c r="D127" s="986"/>
      <c r="E127" s="986"/>
      <c r="F127" s="990"/>
      <c r="G127" s="997"/>
      <c r="H127" s="998"/>
      <c r="I127" s="997"/>
      <c r="J127" s="998"/>
    </row>
    <row r="128" spans="2:10" s="74" customFormat="1">
      <c r="B128" s="984"/>
      <c r="C128" s="986"/>
      <c r="D128" s="985" t="s">
        <v>117</v>
      </c>
      <c r="E128" s="986"/>
      <c r="F128" s="990"/>
      <c r="G128" s="997"/>
      <c r="H128" s="998"/>
      <c r="I128" s="997"/>
      <c r="J128" s="998"/>
    </row>
    <row r="129" spans="2:10" s="74" customFormat="1">
      <c r="B129" s="984"/>
      <c r="C129" s="986"/>
      <c r="D129" s="986"/>
      <c r="E129" s="1008" t="s">
        <v>176</v>
      </c>
      <c r="F129" s="994" t="s">
        <v>516</v>
      </c>
      <c r="G129" s="995"/>
      <c r="H129" s="996"/>
      <c r="I129" s="995"/>
      <c r="J129" s="996">
        <v>0</v>
      </c>
    </row>
    <row r="130" spans="2:10" s="74" customFormat="1">
      <c r="B130" s="984"/>
      <c r="C130" s="986"/>
      <c r="D130" s="986"/>
      <c r="E130" s="986"/>
      <c r="F130" s="990"/>
      <c r="G130" s="997"/>
      <c r="H130" s="998"/>
      <c r="I130" s="997"/>
      <c r="J130" s="998"/>
    </row>
    <row r="131" spans="2:10" s="74" customFormat="1">
      <c r="B131" s="984"/>
      <c r="C131" s="986"/>
      <c r="D131" s="985" t="s">
        <v>100</v>
      </c>
      <c r="E131" s="986"/>
      <c r="F131" s="990"/>
      <c r="G131" s="997"/>
      <c r="H131" s="998"/>
      <c r="I131" s="997"/>
      <c r="J131" s="998"/>
    </row>
    <row r="132" spans="2:10" s="74" customFormat="1">
      <c r="B132" s="984"/>
      <c r="C132" s="986"/>
      <c r="D132" s="986"/>
      <c r="E132" s="986" t="s">
        <v>177</v>
      </c>
      <c r="F132" s="994" t="s">
        <v>517</v>
      </c>
      <c r="G132" s="995"/>
      <c r="H132" s="996"/>
      <c r="I132" s="995"/>
      <c r="J132" s="996">
        <v>1048.3376453104456</v>
      </c>
    </row>
    <row r="133" spans="2:10" s="74" customFormat="1">
      <c r="B133" s="984"/>
      <c r="C133" s="986"/>
      <c r="D133" s="986"/>
      <c r="E133" s="986" t="s">
        <v>178</v>
      </c>
      <c r="F133" s="994" t="s">
        <v>517</v>
      </c>
      <c r="G133" s="999"/>
      <c r="H133" s="1000"/>
      <c r="I133" s="999"/>
      <c r="J133" s="1000"/>
    </row>
    <row r="134" spans="2:10" s="74" customFormat="1">
      <c r="B134" s="984"/>
      <c r="C134" s="986"/>
      <c r="D134" s="986"/>
      <c r="E134" s="986"/>
      <c r="F134" s="990"/>
      <c r="G134" s="997"/>
      <c r="H134" s="998"/>
      <c r="I134" s="997"/>
      <c r="J134" s="998"/>
    </row>
    <row r="135" spans="2:10" s="74" customFormat="1">
      <c r="B135" s="984"/>
      <c r="C135" s="986"/>
      <c r="D135" s="985" t="s">
        <v>133</v>
      </c>
      <c r="E135" s="986"/>
      <c r="F135" s="994"/>
      <c r="G135" s="997"/>
      <c r="H135" s="998"/>
      <c r="I135" s="997"/>
      <c r="J135" s="998"/>
    </row>
    <row r="136" spans="2:10" s="74" customFormat="1">
      <c r="B136" s="984"/>
      <c r="C136" s="986"/>
      <c r="D136" s="986"/>
      <c r="E136" s="1008" t="s">
        <v>179</v>
      </c>
      <c r="F136" s="994" t="s">
        <v>517</v>
      </c>
      <c r="G136" s="995"/>
      <c r="H136" s="996"/>
      <c r="I136" s="995"/>
      <c r="J136" s="996">
        <v>2117.5143590615103</v>
      </c>
    </row>
    <row r="137" spans="2:10" s="74" customFormat="1">
      <c r="B137" s="984"/>
      <c r="C137" s="986"/>
      <c r="D137" s="986"/>
      <c r="E137" s="1008" t="s">
        <v>180</v>
      </c>
      <c r="F137" s="994" t="s">
        <v>517</v>
      </c>
      <c r="G137" s="999"/>
      <c r="H137" s="1000"/>
      <c r="I137" s="999"/>
      <c r="J137" s="1000"/>
    </row>
    <row r="138" spans="2:10" s="74" customFormat="1" ht="13.5" thickBot="1">
      <c r="B138" s="1001"/>
      <c r="C138" s="1002"/>
      <c r="D138" s="1002"/>
      <c r="E138" s="1002"/>
      <c r="F138" s="1003"/>
      <c r="G138" s="1010"/>
      <c r="H138" s="1011"/>
      <c r="I138" s="1010"/>
      <c r="J138" s="1011"/>
    </row>
    <row r="139" spans="2:10" s="74" customFormat="1">
      <c r="B139" s="1006"/>
      <c r="C139" s="1007" t="s">
        <v>181</v>
      </c>
      <c r="D139" s="1007"/>
      <c r="E139" s="1008"/>
      <c r="F139" s="1009"/>
      <c r="G139" s="997"/>
      <c r="H139" s="998"/>
      <c r="I139" s="997"/>
      <c r="J139" s="998"/>
    </row>
    <row r="140" spans="2:10" s="74" customFormat="1">
      <c r="B140" s="984"/>
      <c r="C140" s="986"/>
      <c r="D140" s="985" t="s">
        <v>182</v>
      </c>
      <c r="E140" s="986"/>
      <c r="F140" s="994"/>
      <c r="G140" s="997"/>
      <c r="H140" s="998"/>
      <c r="I140" s="997"/>
      <c r="J140" s="998"/>
    </row>
    <row r="141" spans="2:10" s="74" customFormat="1">
      <c r="B141" s="984"/>
      <c r="C141" s="986"/>
      <c r="D141" s="986"/>
      <c r="E141" s="1008" t="s">
        <v>183</v>
      </c>
      <c r="F141" s="994" t="s">
        <v>517</v>
      </c>
      <c r="G141" s="999"/>
      <c r="H141" s="1000"/>
      <c r="I141" s="999"/>
      <c r="J141" s="1000"/>
    </row>
    <row r="142" spans="2:10" s="74" customFormat="1">
      <c r="B142" s="984"/>
      <c r="C142" s="986"/>
      <c r="D142" s="986"/>
      <c r="E142" s="1008" t="s">
        <v>184</v>
      </c>
      <c r="F142" s="994" t="s">
        <v>517</v>
      </c>
      <c r="G142" s="999"/>
      <c r="H142" s="1000"/>
      <c r="I142" s="999"/>
      <c r="J142" s="1000"/>
    </row>
    <row r="143" spans="2:10" s="74" customFormat="1">
      <c r="B143" s="984"/>
      <c r="C143" s="1008"/>
      <c r="D143" s="985"/>
      <c r="E143" s="986"/>
      <c r="F143" s="994"/>
      <c r="G143" s="997"/>
      <c r="H143" s="998"/>
      <c r="I143" s="997"/>
      <c r="J143" s="998"/>
    </row>
    <row r="144" spans="2:10" s="74" customFormat="1">
      <c r="B144" s="984"/>
      <c r="C144" s="986"/>
      <c r="D144" s="985" t="s">
        <v>185</v>
      </c>
      <c r="E144" s="986"/>
      <c r="F144" s="994"/>
      <c r="G144" s="997"/>
      <c r="H144" s="998"/>
      <c r="I144" s="997"/>
      <c r="J144" s="998"/>
    </row>
    <row r="145" spans="2:10" s="74" customFormat="1">
      <c r="B145" s="984"/>
      <c r="C145" s="986"/>
      <c r="D145" s="986"/>
      <c r="E145" s="1008" t="s">
        <v>186</v>
      </c>
      <c r="F145" s="994" t="s">
        <v>517</v>
      </c>
      <c r="G145" s="999"/>
      <c r="H145" s="1000"/>
      <c r="I145" s="999"/>
      <c r="J145" s="1000"/>
    </row>
    <row r="146" spans="2:10" s="74" customFormat="1">
      <c r="B146" s="984"/>
      <c r="C146" s="986"/>
      <c r="D146" s="986"/>
      <c r="E146" s="1008" t="s">
        <v>187</v>
      </c>
      <c r="F146" s="994" t="s">
        <v>517</v>
      </c>
      <c r="G146" s="999"/>
      <c r="H146" s="1000"/>
      <c r="I146" s="999"/>
      <c r="J146" s="1000"/>
    </row>
    <row r="147" spans="2:10" s="74" customFormat="1" ht="13.5" thickBot="1">
      <c r="B147" s="1001"/>
      <c r="C147" s="1002"/>
      <c r="D147" s="1002"/>
      <c r="E147" s="1002"/>
      <c r="F147" s="1003"/>
      <c r="G147" s="1012"/>
      <c r="H147" s="1013"/>
      <c r="I147" s="1012"/>
      <c r="J147" s="1014"/>
    </row>
    <row r="148" spans="2:10" s="74" customFormat="1" ht="13.5" thickBot="1">
      <c r="B148" s="1008"/>
      <c r="C148" s="1008"/>
      <c r="D148" s="1008"/>
      <c r="E148" s="1008"/>
      <c r="F148" s="1008"/>
      <c r="G148" s="740"/>
      <c r="H148" s="740"/>
      <c r="I148" s="740"/>
      <c r="J148" s="745"/>
    </row>
    <row r="149" spans="2:10" s="74" customFormat="1">
      <c r="B149" s="1015"/>
      <c r="C149" s="1007" t="s">
        <v>518</v>
      </c>
      <c r="D149" s="1007"/>
      <c r="E149" s="1016"/>
      <c r="F149" s="1017"/>
      <c r="G149" s="1018"/>
      <c r="H149" s="1019"/>
      <c r="I149" s="1018"/>
      <c r="J149" s="1019"/>
    </row>
    <row r="150" spans="2:10" s="74" customFormat="1">
      <c r="B150" s="993"/>
      <c r="C150" s="986"/>
      <c r="D150" s="985"/>
      <c r="E150" s="985" t="s">
        <v>120</v>
      </c>
      <c r="F150" s="994"/>
      <c r="G150" s="1020"/>
      <c r="H150" s="1021"/>
      <c r="I150" s="1020"/>
      <c r="J150" s="1021"/>
    </row>
    <row r="151" spans="2:10" s="74" customFormat="1">
      <c r="B151" s="993"/>
      <c r="C151" s="986"/>
      <c r="D151" s="985"/>
      <c r="E151" s="1022" t="s">
        <v>519</v>
      </c>
      <c r="F151" s="994" t="s">
        <v>517</v>
      </c>
      <c r="G151" s="995"/>
      <c r="H151" s="996"/>
      <c r="I151" s="995"/>
      <c r="J151" s="996">
        <v>29.271061451274075</v>
      </c>
    </row>
    <row r="152" spans="2:10" s="74" customFormat="1">
      <c r="B152" s="993"/>
      <c r="C152" s="986"/>
      <c r="D152" s="985"/>
      <c r="E152" s="1022" t="s">
        <v>520</v>
      </c>
      <c r="F152" s="994" t="s">
        <v>517</v>
      </c>
      <c r="G152" s="995"/>
      <c r="H152" s="996"/>
      <c r="I152" s="995"/>
      <c r="J152" s="996">
        <v>7.4683366665802167</v>
      </c>
    </row>
    <row r="153" spans="2:10" s="74" customFormat="1">
      <c r="B153" s="993"/>
      <c r="C153" s="986"/>
      <c r="D153" s="985"/>
      <c r="E153" s="985" t="s">
        <v>129</v>
      </c>
      <c r="F153" s="994"/>
      <c r="G153" s="1020"/>
      <c r="H153" s="1021"/>
      <c r="I153" s="1020"/>
      <c r="J153" s="1021"/>
    </row>
    <row r="154" spans="2:10" s="74" customFormat="1">
      <c r="B154" s="993"/>
      <c r="C154" s="986"/>
      <c r="D154" s="985"/>
      <c r="E154" s="1022" t="s">
        <v>519</v>
      </c>
      <c r="F154" s="994" t="s">
        <v>517</v>
      </c>
      <c r="G154" s="995"/>
      <c r="H154" s="996"/>
      <c r="I154" s="995"/>
      <c r="J154" s="996">
        <v>0</v>
      </c>
    </row>
    <row r="155" spans="2:10" s="74" customFormat="1" ht="13.5" thickBot="1">
      <c r="B155" s="1023"/>
      <c r="C155" s="1024"/>
      <c r="D155" s="1025"/>
      <c r="E155" s="1026" t="s">
        <v>520</v>
      </c>
      <c r="F155" s="1027" t="s">
        <v>517</v>
      </c>
      <c r="G155" s="1028"/>
      <c r="H155" s="1029"/>
      <c r="I155" s="1028"/>
      <c r="J155" s="1029">
        <v>0</v>
      </c>
    </row>
  </sheetData>
  <mergeCells count="4">
    <mergeCell ref="B7:E9"/>
    <mergeCell ref="F7:F9"/>
    <mergeCell ref="G7:H7"/>
    <mergeCell ref="I7:J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>
      <selection activeCell="J3" sqref="J3:L3"/>
    </sheetView>
  </sheetViews>
  <sheetFormatPr defaultColWidth="10.85546875" defaultRowHeight="15"/>
  <cols>
    <col min="1" max="16384" width="10.85546875" style="2"/>
  </cols>
  <sheetData>
    <row r="3" spans="10:16" ht="24" customHeight="1">
      <c r="J3" s="1609" t="s">
        <v>521</v>
      </c>
      <c r="K3" s="1610"/>
      <c r="L3" s="1611"/>
      <c r="N3" s="1609" t="s">
        <v>522</v>
      </c>
      <c r="O3" s="1610"/>
      <c r="P3" s="1611"/>
    </row>
    <row r="4" spans="10:16">
      <c r="J4" s="1612" t="s">
        <v>523</v>
      </c>
      <c r="K4" s="1613"/>
      <c r="L4" s="1614"/>
      <c r="N4" s="1612" t="s">
        <v>524</v>
      </c>
      <c r="O4" s="1613"/>
      <c r="P4" s="1614"/>
    </row>
    <row r="5" spans="10:16">
      <c r="J5" s="23" t="s">
        <v>402</v>
      </c>
      <c r="K5" s="27"/>
      <c r="L5" s="22"/>
      <c r="N5" s="23"/>
      <c r="O5" s="21" t="s">
        <v>203</v>
      </c>
      <c r="P5" s="22"/>
    </row>
    <row r="6" spans="10:16">
      <c r="J6" s="24" t="s">
        <v>401</v>
      </c>
      <c r="K6" s="25"/>
      <c r="L6" s="26"/>
      <c r="N6" s="23" t="s">
        <v>222</v>
      </c>
      <c r="O6" s="27"/>
      <c r="P6" s="22"/>
    </row>
    <row r="7" spans="10:16">
      <c r="N7" s="23" t="s">
        <v>525</v>
      </c>
      <c r="O7" s="27"/>
      <c r="P7" s="22"/>
    </row>
    <row r="8" spans="10:16">
      <c r="N8" s="23" t="s">
        <v>223</v>
      </c>
      <c r="O8" s="27"/>
      <c r="P8" s="22"/>
    </row>
    <row r="9" spans="10:16">
      <c r="N9" s="23" t="s">
        <v>402</v>
      </c>
      <c r="O9" s="27"/>
      <c r="P9" s="22"/>
    </row>
    <row r="10" spans="10:16">
      <c r="N10" s="24" t="s">
        <v>481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workbookViewId="0">
      <selection sqref="A1:XFD1048576"/>
    </sheetView>
  </sheetViews>
  <sheetFormatPr defaultColWidth="8.85546875" defaultRowHeight="12.75"/>
  <cols>
    <col min="1" max="2" width="8.85546875" style="74" customWidth="1"/>
    <col min="3" max="3" width="19" style="74" customWidth="1"/>
    <col min="4" max="16384" width="8.85546875" style="74"/>
  </cols>
  <sheetData>
    <row r="1" spans="1:38">
      <c r="A1" s="716" t="s">
        <v>526</v>
      </c>
      <c r="F1" s="125" t="s">
        <v>985</v>
      </c>
      <c r="H1" s="74" t="s">
        <v>1139</v>
      </c>
    </row>
    <row r="3" spans="1:38">
      <c r="A3" s="716" t="s">
        <v>81</v>
      </c>
    </row>
    <row r="5" spans="1:38">
      <c r="C5" s="1030" t="s">
        <v>527</v>
      </c>
      <c r="D5" s="1031"/>
      <c r="E5" s="1031"/>
      <c r="F5" s="1031"/>
      <c r="G5" s="1031"/>
      <c r="H5" s="1031"/>
      <c r="I5" s="1030"/>
      <c r="J5" s="1031"/>
      <c r="K5" s="1031"/>
      <c r="L5" s="1031"/>
      <c r="M5" s="1031"/>
      <c r="N5" s="1031"/>
      <c r="O5" s="1031"/>
      <c r="P5" s="1031"/>
      <c r="Q5" s="1031"/>
      <c r="R5" s="1031"/>
      <c r="S5" s="1031"/>
      <c r="T5" s="1031"/>
      <c r="U5" s="1031"/>
      <c r="V5" s="1031"/>
      <c r="W5" s="1031"/>
      <c r="X5" s="1031"/>
      <c r="Y5" s="1031"/>
      <c r="Z5" s="1031"/>
      <c r="AA5" s="1031"/>
      <c r="AB5" s="1031"/>
      <c r="AC5" s="1031"/>
      <c r="AD5" s="1031"/>
      <c r="AE5" s="1031"/>
      <c r="AF5" s="1031"/>
      <c r="AG5" s="1031"/>
      <c r="AH5" s="1031"/>
      <c r="AI5" s="1031"/>
      <c r="AJ5" s="1031"/>
      <c r="AK5" s="1031"/>
      <c r="AL5" s="1032"/>
    </row>
    <row r="6" spans="1:38" ht="13.5" thickBot="1">
      <c r="C6" s="1033"/>
      <c r="D6" s="1034"/>
      <c r="E6" s="1034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4"/>
      <c r="Q6" s="1034"/>
      <c r="R6" s="1034"/>
      <c r="S6" s="1034"/>
      <c r="T6" s="1034"/>
      <c r="U6" s="1034"/>
      <c r="V6" s="1034"/>
      <c r="W6" s="1034"/>
      <c r="X6" s="1034"/>
      <c r="Y6" s="1034"/>
      <c r="Z6" s="1034"/>
      <c r="AA6" s="1034"/>
      <c r="AB6" s="1034"/>
      <c r="AC6" s="1034"/>
      <c r="AD6" s="1034"/>
      <c r="AE6" s="1034"/>
      <c r="AF6" s="1034"/>
      <c r="AG6" s="1034"/>
      <c r="AH6" s="1034"/>
      <c r="AI6" s="1034"/>
      <c r="AJ6" s="1034"/>
      <c r="AK6" s="1034"/>
      <c r="AL6" s="1035"/>
    </row>
    <row r="7" spans="1:38">
      <c r="C7" s="1033"/>
      <c r="D7" s="1632" t="s">
        <v>528</v>
      </c>
      <c r="E7" s="1633"/>
      <c r="F7" s="1633"/>
      <c r="G7" s="1633"/>
      <c r="H7" s="1633"/>
      <c r="I7" s="1633"/>
      <c r="J7" s="1633"/>
      <c r="K7" s="1633"/>
      <c r="L7" s="1633"/>
      <c r="M7" s="1633"/>
      <c r="N7" s="1633"/>
      <c r="O7" s="1633"/>
      <c r="P7" s="1633"/>
      <c r="Q7" s="1633"/>
      <c r="R7" s="1633"/>
      <c r="S7" s="1633"/>
      <c r="T7" s="1633"/>
      <c r="U7" s="1633"/>
      <c r="V7" s="1633"/>
      <c r="W7" s="1633"/>
      <c r="X7" s="1634"/>
      <c r="Y7" s="1629" t="s">
        <v>529</v>
      </c>
      <c r="Z7" s="1629" t="s">
        <v>530</v>
      </c>
      <c r="AA7" s="1629" t="s">
        <v>531</v>
      </c>
      <c r="AB7" s="1629" t="s">
        <v>532</v>
      </c>
      <c r="AC7" s="1629" t="s">
        <v>533</v>
      </c>
      <c r="AD7" s="1629" t="s">
        <v>534</v>
      </c>
      <c r="AE7" s="1629" t="s">
        <v>535</v>
      </c>
      <c r="AF7" s="1629" t="s">
        <v>536</v>
      </c>
      <c r="AG7" s="1629" t="s">
        <v>537</v>
      </c>
      <c r="AH7" s="1629" t="s">
        <v>538</v>
      </c>
      <c r="AI7" s="1629" t="s">
        <v>539</v>
      </c>
      <c r="AJ7" s="1617" t="s">
        <v>540</v>
      </c>
      <c r="AK7" s="1620" t="s">
        <v>541</v>
      </c>
      <c r="AL7" s="1036"/>
    </row>
    <row r="8" spans="1:38">
      <c r="C8" s="1033"/>
      <c r="D8" s="1623" t="s">
        <v>542</v>
      </c>
      <c r="E8" s="1624"/>
      <c r="F8" s="1624"/>
      <c r="G8" s="1624"/>
      <c r="H8" s="1624"/>
      <c r="I8" s="1625"/>
      <c r="J8" s="1626" t="s">
        <v>543</v>
      </c>
      <c r="K8" s="1627"/>
      <c r="L8" s="1627"/>
      <c r="M8" s="1627"/>
      <c r="N8" s="1627"/>
      <c r="O8" s="1627"/>
      <c r="P8" s="1627"/>
      <c r="Q8" s="1627"/>
      <c r="R8" s="1627"/>
      <c r="S8" s="1627"/>
      <c r="T8" s="1627"/>
      <c r="U8" s="1627"/>
      <c r="V8" s="1627"/>
      <c r="W8" s="1627"/>
      <c r="X8" s="1628"/>
      <c r="Y8" s="1630"/>
      <c r="Z8" s="1630"/>
      <c r="AA8" s="1630"/>
      <c r="AB8" s="1630"/>
      <c r="AC8" s="1630"/>
      <c r="AD8" s="1630"/>
      <c r="AE8" s="1630"/>
      <c r="AF8" s="1630"/>
      <c r="AG8" s="1630"/>
      <c r="AH8" s="1630"/>
      <c r="AI8" s="1630"/>
      <c r="AJ8" s="1618"/>
      <c r="AK8" s="1621"/>
      <c r="AL8" s="1036"/>
    </row>
    <row r="9" spans="1:38" s="1037" customFormat="1" ht="125.25">
      <c r="C9" s="1038" t="s">
        <v>544</v>
      </c>
      <c r="D9" s="1039" t="s">
        <v>545</v>
      </c>
      <c r="E9" s="1039" t="s">
        <v>546</v>
      </c>
      <c r="F9" s="1039" t="s">
        <v>547</v>
      </c>
      <c r="G9" s="1039" t="s">
        <v>548</v>
      </c>
      <c r="H9" s="1039" t="s">
        <v>549</v>
      </c>
      <c r="I9" s="1039" t="s">
        <v>550</v>
      </c>
      <c r="J9" s="1039" t="s">
        <v>551</v>
      </c>
      <c r="K9" s="1040" t="s">
        <v>552</v>
      </c>
      <c r="L9" s="1040" t="s">
        <v>553</v>
      </c>
      <c r="M9" s="1040" t="s">
        <v>554</v>
      </c>
      <c r="N9" s="1040" t="s">
        <v>555</v>
      </c>
      <c r="O9" s="1040" t="s">
        <v>556</v>
      </c>
      <c r="P9" s="1040" t="s">
        <v>557</v>
      </c>
      <c r="Q9" s="1040" t="s">
        <v>558</v>
      </c>
      <c r="R9" s="1040" t="s">
        <v>559</v>
      </c>
      <c r="S9" s="1040" t="s">
        <v>560</v>
      </c>
      <c r="T9" s="1040" t="s">
        <v>561</v>
      </c>
      <c r="U9" s="1040" t="s">
        <v>562</v>
      </c>
      <c r="V9" s="1040" t="s">
        <v>563</v>
      </c>
      <c r="W9" s="1040" t="s">
        <v>564</v>
      </c>
      <c r="X9" s="1040" t="s">
        <v>565</v>
      </c>
      <c r="Y9" s="1631"/>
      <c r="Z9" s="1631"/>
      <c r="AA9" s="1631"/>
      <c r="AB9" s="1631"/>
      <c r="AC9" s="1631"/>
      <c r="AD9" s="1631"/>
      <c r="AE9" s="1631"/>
      <c r="AF9" s="1631"/>
      <c r="AG9" s="1631"/>
      <c r="AH9" s="1631"/>
      <c r="AI9" s="1631"/>
      <c r="AJ9" s="1619"/>
      <c r="AK9" s="1622"/>
      <c r="AL9" s="1041"/>
    </row>
    <row r="10" spans="1:38">
      <c r="C10" s="1042"/>
      <c r="D10" s="1043" t="s">
        <v>566</v>
      </c>
      <c r="E10" s="1043" t="s">
        <v>566</v>
      </c>
      <c r="F10" s="1043" t="s">
        <v>566</v>
      </c>
      <c r="G10" s="1043" t="s">
        <v>566</v>
      </c>
      <c r="H10" s="1043" t="s">
        <v>566</v>
      </c>
      <c r="I10" s="1043" t="s">
        <v>566</v>
      </c>
      <c r="J10" s="1043" t="s">
        <v>566</v>
      </c>
      <c r="K10" s="1043" t="s">
        <v>566</v>
      </c>
      <c r="L10" s="1043" t="s">
        <v>566</v>
      </c>
      <c r="M10" s="1043" t="s">
        <v>566</v>
      </c>
      <c r="N10" s="1043" t="s">
        <v>566</v>
      </c>
      <c r="O10" s="1043" t="s">
        <v>566</v>
      </c>
      <c r="P10" s="1043" t="s">
        <v>566</v>
      </c>
      <c r="Q10" s="1043" t="s">
        <v>566</v>
      </c>
      <c r="R10" s="1043" t="s">
        <v>566</v>
      </c>
      <c r="S10" s="1043" t="s">
        <v>566</v>
      </c>
      <c r="T10" s="1043" t="s">
        <v>566</v>
      </c>
      <c r="U10" s="1043" t="s">
        <v>566</v>
      </c>
      <c r="V10" s="1043" t="s">
        <v>566</v>
      </c>
      <c r="W10" s="1043" t="s">
        <v>566</v>
      </c>
      <c r="X10" s="1043" t="s">
        <v>566</v>
      </c>
      <c r="Y10" s="1043" t="s">
        <v>566</v>
      </c>
      <c r="Z10" s="1043" t="s">
        <v>566</v>
      </c>
      <c r="AA10" s="1043" t="s">
        <v>566</v>
      </c>
      <c r="AB10" s="1043" t="s">
        <v>566</v>
      </c>
      <c r="AC10" s="1043" t="s">
        <v>566</v>
      </c>
      <c r="AD10" s="1043" t="s">
        <v>566</v>
      </c>
      <c r="AE10" s="1043" t="s">
        <v>566</v>
      </c>
      <c r="AF10" s="1043" t="s">
        <v>566</v>
      </c>
      <c r="AG10" s="1043" t="s">
        <v>566</v>
      </c>
      <c r="AH10" s="1043" t="s">
        <v>566</v>
      </c>
      <c r="AI10" s="1043" t="s">
        <v>566</v>
      </c>
      <c r="AJ10" s="1044" t="s">
        <v>566</v>
      </c>
      <c r="AK10" s="1045" t="s">
        <v>566</v>
      </c>
      <c r="AL10" s="1035"/>
    </row>
    <row r="11" spans="1:38">
      <c r="C11" s="1046"/>
      <c r="D11" s="1047"/>
      <c r="E11" s="1047"/>
      <c r="F11" s="1047"/>
      <c r="G11" s="1047"/>
      <c r="H11" s="1047"/>
      <c r="I11" s="1047"/>
      <c r="J11" s="1047"/>
      <c r="K11" s="1047"/>
      <c r="L11" s="1047"/>
      <c r="M11" s="1047"/>
      <c r="N11" s="1047"/>
      <c r="O11" s="1047"/>
      <c r="P11" s="1047"/>
      <c r="Q11" s="1047"/>
      <c r="R11" s="1047"/>
      <c r="S11" s="1047"/>
      <c r="T11" s="1047"/>
      <c r="U11" s="1047"/>
      <c r="V11" s="1047"/>
      <c r="W11" s="1047"/>
      <c r="X11" s="1047"/>
      <c r="Y11" s="1047"/>
      <c r="Z11" s="1047"/>
      <c r="AA11" s="1047"/>
      <c r="AB11" s="1047"/>
      <c r="AC11" s="1047"/>
      <c r="AD11" s="1047"/>
      <c r="AE11" s="1047"/>
      <c r="AF11" s="1047"/>
      <c r="AG11" s="1047"/>
      <c r="AH11" s="1047"/>
      <c r="AI11" s="1047"/>
      <c r="AJ11" s="1048"/>
      <c r="AK11" s="1049"/>
      <c r="AL11" s="1035"/>
    </row>
    <row r="12" spans="1:38">
      <c r="C12" s="1050" t="s">
        <v>567</v>
      </c>
      <c r="D12" s="1051">
        <v>46.459524808852009</v>
      </c>
      <c r="E12" s="1051">
        <v>62.531667485618783</v>
      </c>
      <c r="F12" s="1051">
        <v>2.3969412916799993</v>
      </c>
      <c r="G12" s="1051">
        <v>26.514424209436648</v>
      </c>
      <c r="H12" s="1051">
        <v>11.606716180984</v>
      </c>
      <c r="I12" s="1051">
        <v>3.1208690599999995</v>
      </c>
      <c r="J12" s="1051">
        <v>0.63889207162799966</v>
      </c>
      <c r="K12" s="1051">
        <v>5.1305774955097965</v>
      </c>
      <c r="L12" s="1051">
        <v>2.2167176620892537</v>
      </c>
      <c r="M12" s="1051">
        <v>16.939612814221448</v>
      </c>
      <c r="N12" s="1051">
        <v>4.4300162415596507</v>
      </c>
      <c r="O12" s="1051">
        <v>1.5094657008872003</v>
      </c>
      <c r="P12" s="1051">
        <v>1.3239399267640004</v>
      </c>
      <c r="Q12" s="1051">
        <v>1.562325762189239</v>
      </c>
      <c r="R12" s="1051">
        <v>6.1510443854799997</v>
      </c>
      <c r="S12" s="1051">
        <v>10.240069047105548</v>
      </c>
      <c r="T12" s="1051">
        <v>4.5836090382398558</v>
      </c>
      <c r="U12" s="1051">
        <v>1.4397993171236436</v>
      </c>
      <c r="V12" s="1051">
        <v>2.0706365899867683</v>
      </c>
      <c r="W12" s="1051">
        <v>7.5444930721556567</v>
      </c>
      <c r="X12" s="1051">
        <v>1.6451252035656032</v>
      </c>
      <c r="Y12" s="1051">
        <v>1.32151902</v>
      </c>
      <c r="Z12" s="1051">
        <v>9.5</v>
      </c>
      <c r="AA12" s="1051">
        <v>0.79378199999999999</v>
      </c>
      <c r="AB12" s="1051">
        <v>9.751431000299192</v>
      </c>
      <c r="AC12" s="1051">
        <v>-8.3266726846886741E-16</v>
      </c>
      <c r="AD12" s="1051">
        <v>1.0145090392</v>
      </c>
      <c r="AE12" s="1051">
        <v>4.3032873328058328</v>
      </c>
      <c r="AF12" s="1051">
        <v>41.912756859700004</v>
      </c>
      <c r="AG12" s="1051">
        <v>27.091992000000001</v>
      </c>
      <c r="AH12" s="1051">
        <v>4.4000000000000004</v>
      </c>
      <c r="AI12" s="1051">
        <v>-9.5</v>
      </c>
      <c r="AJ12" s="1051">
        <v>2.3542553829179269</v>
      </c>
      <c r="AK12" s="1051">
        <v>313</v>
      </c>
      <c r="AL12" s="1052"/>
    </row>
    <row r="13" spans="1:38">
      <c r="C13" s="1050" t="s">
        <v>568</v>
      </c>
      <c r="D13" s="1053"/>
      <c r="E13" s="1053"/>
      <c r="F13" s="1053"/>
      <c r="G13" s="1053"/>
      <c r="H13" s="1053"/>
      <c r="I13" s="1053"/>
      <c r="J13" s="1053"/>
      <c r="K13" s="1053"/>
      <c r="L13" s="1053"/>
      <c r="M13" s="1053"/>
      <c r="N13" s="1053"/>
      <c r="O13" s="1053"/>
      <c r="P13" s="1053"/>
      <c r="Q13" s="1053"/>
      <c r="R13" s="1053"/>
      <c r="S13" s="1053"/>
      <c r="T13" s="1053"/>
      <c r="U13" s="1053"/>
      <c r="V13" s="1053"/>
      <c r="W13" s="1053"/>
      <c r="X13" s="1053"/>
      <c r="Y13" s="1053"/>
      <c r="Z13" s="1053"/>
      <c r="AA13" s="1053"/>
      <c r="AB13" s="1053"/>
      <c r="AC13" s="1053"/>
      <c r="AD13" s="1053"/>
      <c r="AE13" s="1053"/>
      <c r="AF13" s="1053"/>
      <c r="AG13" s="1053"/>
      <c r="AH13" s="1053"/>
      <c r="AI13" s="1053"/>
      <c r="AJ13" s="1053"/>
      <c r="AK13" s="1054">
        <v>0</v>
      </c>
      <c r="AL13" s="1052"/>
    </row>
    <row r="14" spans="1:38">
      <c r="C14" s="1050" t="s">
        <v>567</v>
      </c>
      <c r="D14" s="1051">
        <v>46.459524808852009</v>
      </c>
      <c r="E14" s="1051">
        <v>62.531667485618783</v>
      </c>
      <c r="F14" s="1051">
        <v>2.3969412916799993</v>
      </c>
      <c r="G14" s="1051">
        <v>26.514424209436648</v>
      </c>
      <c r="H14" s="1051">
        <v>11.606716180984</v>
      </c>
      <c r="I14" s="1051">
        <v>3.1208690599999995</v>
      </c>
      <c r="J14" s="1051">
        <v>0.63889207162799966</v>
      </c>
      <c r="K14" s="1051">
        <v>5.1305774955097965</v>
      </c>
      <c r="L14" s="1051">
        <v>2.2167176620892537</v>
      </c>
      <c r="M14" s="1051">
        <v>16.939612814221448</v>
      </c>
      <c r="N14" s="1051">
        <v>4.4300162415596507</v>
      </c>
      <c r="O14" s="1051">
        <v>1.5094657008872003</v>
      </c>
      <c r="P14" s="1051">
        <v>1.3239399267640004</v>
      </c>
      <c r="Q14" s="1051">
        <v>1.562325762189239</v>
      </c>
      <c r="R14" s="1051">
        <v>6.1510443854799997</v>
      </c>
      <c r="S14" s="1051">
        <v>10.240069047105548</v>
      </c>
      <c r="T14" s="1051">
        <v>4.5836090382398558</v>
      </c>
      <c r="U14" s="1051">
        <v>1.4397993171236436</v>
      </c>
      <c r="V14" s="1051">
        <v>2.0706365899867683</v>
      </c>
      <c r="W14" s="1051">
        <v>7.5444930721556567</v>
      </c>
      <c r="X14" s="1051">
        <v>1.6451252035656032</v>
      </c>
      <c r="Y14" s="1051">
        <v>1.32151902</v>
      </c>
      <c r="Z14" s="1051">
        <v>9.5</v>
      </c>
      <c r="AA14" s="1051">
        <v>0.79378199999999999</v>
      </c>
      <c r="AB14" s="1051">
        <v>9.751431000299192</v>
      </c>
      <c r="AC14" s="1051">
        <v>-8.3266726846886741E-16</v>
      </c>
      <c r="AD14" s="1051">
        <v>1.0145090392</v>
      </c>
      <c r="AE14" s="1051">
        <v>4.3032873328058328</v>
      </c>
      <c r="AF14" s="1051">
        <v>41.912756859700004</v>
      </c>
      <c r="AG14" s="1051">
        <v>27.091992000000001</v>
      </c>
      <c r="AH14" s="1051">
        <v>4.4000000000000004</v>
      </c>
      <c r="AI14" s="1051">
        <v>-9.5</v>
      </c>
      <c r="AJ14" s="1051">
        <v>2.3542553829179269</v>
      </c>
      <c r="AK14" s="1051">
        <v>313</v>
      </c>
      <c r="AL14" s="1052"/>
    </row>
    <row r="15" spans="1:38">
      <c r="C15" s="1050"/>
      <c r="D15" s="1051"/>
      <c r="E15" s="1051"/>
      <c r="F15" s="1051"/>
      <c r="G15" s="1051"/>
      <c r="H15" s="1051"/>
      <c r="I15" s="1051"/>
      <c r="J15" s="1051"/>
      <c r="K15" s="1051"/>
      <c r="L15" s="1051"/>
      <c r="M15" s="1051"/>
      <c r="N15" s="1051"/>
      <c r="O15" s="1051"/>
      <c r="P15" s="1051"/>
      <c r="Q15" s="1051"/>
      <c r="R15" s="1051"/>
      <c r="S15" s="1051"/>
      <c r="T15" s="1051"/>
      <c r="U15" s="1051"/>
      <c r="V15" s="1051"/>
      <c r="W15" s="1051"/>
      <c r="X15" s="1051"/>
      <c r="Y15" s="1051"/>
      <c r="Z15" s="1051"/>
      <c r="AA15" s="1051"/>
      <c r="AB15" s="1051"/>
      <c r="AC15" s="1051"/>
      <c r="AD15" s="1051"/>
      <c r="AE15" s="1051"/>
      <c r="AF15" s="1051"/>
      <c r="AG15" s="1051"/>
      <c r="AH15" s="1051"/>
      <c r="AI15" s="1051"/>
      <c r="AJ15" s="1051"/>
      <c r="AK15" s="1051"/>
      <c r="AL15" s="1052"/>
    </row>
    <row r="16" spans="1:38">
      <c r="C16" s="1050" t="s">
        <v>569</v>
      </c>
      <c r="D16" s="1051">
        <v>14.151282694386488</v>
      </c>
      <c r="E16" s="1051">
        <v>41.901947565729692</v>
      </c>
      <c r="F16" s="1051">
        <v>2.5346743360699997</v>
      </c>
      <c r="G16" s="1051">
        <v>29.351257701719597</v>
      </c>
      <c r="H16" s="1051">
        <v>11.519941237081493</v>
      </c>
      <c r="I16" s="1051">
        <v>5.8257634456637231</v>
      </c>
      <c r="J16" s="1051">
        <v>1.3252198300408482</v>
      </c>
      <c r="K16" s="1051">
        <v>3.7900776636320539</v>
      </c>
      <c r="L16" s="1051">
        <v>4.791652885966827</v>
      </c>
      <c r="M16" s="1051">
        <v>16.963168868641358</v>
      </c>
      <c r="N16" s="1051">
        <v>4.4092795317044633</v>
      </c>
      <c r="O16" s="1051">
        <v>1.8923039644686004</v>
      </c>
      <c r="P16" s="1051">
        <v>1.9938320736628832</v>
      </c>
      <c r="Q16" s="1051">
        <v>1.5195982432433788</v>
      </c>
      <c r="R16" s="1051">
        <v>4.8615322519232107</v>
      </c>
      <c r="S16" s="1051">
        <v>13.529966622211505</v>
      </c>
      <c r="T16" s="1051">
        <v>4.2317714531526214</v>
      </c>
      <c r="U16" s="1051">
        <v>1.9208223019260779</v>
      </c>
      <c r="V16" s="1051">
        <v>2.2641922279217139</v>
      </c>
      <c r="W16" s="1051">
        <v>7.1645215567985527</v>
      </c>
      <c r="X16" s="1051">
        <v>1.8087584738886002</v>
      </c>
      <c r="Y16" s="1051">
        <v>1.5637426000000001</v>
      </c>
      <c r="Z16" s="1051">
        <v>0</v>
      </c>
      <c r="AA16" s="1051">
        <v>5.3809152985718995</v>
      </c>
      <c r="AB16" s="1051">
        <v>15.699185752649853</v>
      </c>
      <c r="AC16" s="1051">
        <v>0</v>
      </c>
      <c r="AD16" s="1051">
        <v>0</v>
      </c>
      <c r="AE16" s="1051">
        <v>1.8407559641693809</v>
      </c>
      <c r="AF16" s="1051">
        <v>40.602506950469994</v>
      </c>
      <c r="AG16" s="1051">
        <v>26.111617219999999</v>
      </c>
      <c r="AH16" s="1051">
        <v>4.5662790900000001</v>
      </c>
      <c r="AI16" s="1051">
        <v>0</v>
      </c>
      <c r="AJ16" s="1051">
        <v>-5.7906823056947019</v>
      </c>
      <c r="AK16" s="1051">
        <v>267.72588550000012</v>
      </c>
      <c r="AL16" s="1055"/>
    </row>
    <row r="17" spans="3:38">
      <c r="C17" s="1050"/>
      <c r="D17" s="1051"/>
      <c r="E17" s="1051"/>
      <c r="F17" s="1051"/>
      <c r="G17" s="1051"/>
      <c r="H17" s="1051"/>
      <c r="I17" s="1051"/>
      <c r="J17" s="1051"/>
      <c r="K17" s="1051"/>
      <c r="L17" s="1051"/>
      <c r="M17" s="1051"/>
      <c r="N17" s="1051"/>
      <c r="O17" s="1051"/>
      <c r="P17" s="1051"/>
      <c r="Q17" s="1051"/>
      <c r="R17" s="1051"/>
      <c r="S17" s="1051"/>
      <c r="T17" s="1051"/>
      <c r="U17" s="1051"/>
      <c r="V17" s="1051"/>
      <c r="W17" s="1051"/>
      <c r="X17" s="1051"/>
      <c r="Y17" s="1051"/>
      <c r="Z17" s="1051"/>
      <c r="AA17" s="1051"/>
      <c r="AB17" s="1051"/>
      <c r="AC17" s="1051"/>
      <c r="AD17" s="1051"/>
      <c r="AE17" s="1051"/>
      <c r="AF17" s="1051"/>
      <c r="AG17" s="1051"/>
      <c r="AH17" s="1051"/>
      <c r="AI17" s="1051"/>
      <c r="AJ17" s="1051"/>
      <c r="AK17" s="1051"/>
      <c r="AL17" s="1055"/>
    </row>
    <row r="18" spans="3:38">
      <c r="C18" s="1050" t="s">
        <v>570</v>
      </c>
      <c r="D18" s="1051">
        <v>17.394742274489687</v>
      </c>
      <c r="E18" s="1051">
        <v>35.088115916993331</v>
      </c>
      <c r="F18" s="1051">
        <v>1.9914601539999999</v>
      </c>
      <c r="G18" s="1051">
        <v>27.186515151318229</v>
      </c>
      <c r="H18" s="1051">
        <v>10.780594265829606</v>
      </c>
      <c r="I18" s="1051">
        <v>3.2645322649343638</v>
      </c>
      <c r="J18" s="1051">
        <v>0.42116821067413113</v>
      </c>
      <c r="K18" s="1051">
        <v>7.2462549143267321</v>
      </c>
      <c r="L18" s="1051">
        <v>6.1037403167946209</v>
      </c>
      <c r="M18" s="1051">
        <v>11.676644510200507</v>
      </c>
      <c r="N18" s="1051">
        <v>3.7007240906480638</v>
      </c>
      <c r="O18" s="1051">
        <v>1.9451231500906572</v>
      </c>
      <c r="P18" s="1051">
        <v>1.4674598631707632</v>
      </c>
      <c r="Q18" s="1051">
        <v>2.007539016691029</v>
      </c>
      <c r="R18" s="1051">
        <v>4.1312202910262137</v>
      </c>
      <c r="S18" s="1051">
        <v>7.0587166141664746</v>
      </c>
      <c r="T18" s="1051">
        <v>4.89466808916952</v>
      </c>
      <c r="U18" s="1051">
        <v>1.2662056907617996</v>
      </c>
      <c r="V18" s="1051">
        <v>2.0034273403142651</v>
      </c>
      <c r="W18" s="1051">
        <v>6.7695236474636857</v>
      </c>
      <c r="X18" s="1051">
        <v>2.2294360003843123</v>
      </c>
      <c r="Y18" s="1051">
        <v>5.8295019999999997</v>
      </c>
      <c r="Z18" s="1051">
        <v>45.6</v>
      </c>
      <c r="AA18" s="1051">
        <v>9.2171990705459876</v>
      </c>
      <c r="AB18" s="1051">
        <v>8.6510472243001466</v>
      </c>
      <c r="AC18" s="1051">
        <v>0</v>
      </c>
      <c r="AD18" s="1051">
        <v>0</v>
      </c>
      <c r="AE18" s="1051">
        <v>0</v>
      </c>
      <c r="AF18" s="1051">
        <v>42.388523990000003</v>
      </c>
      <c r="AG18" s="1051">
        <v>25.863890000000001</v>
      </c>
      <c r="AH18" s="1051">
        <v>4.7382850099999994</v>
      </c>
      <c r="AI18" s="1051">
        <v>-45.6</v>
      </c>
      <c r="AJ18" s="1051">
        <v>-5.0462590682941197</v>
      </c>
      <c r="AK18" s="1051">
        <v>250.27</v>
      </c>
      <c r="AL18" s="1055"/>
    </row>
    <row r="19" spans="3:38" ht="13.5" thickBot="1">
      <c r="C19" s="1056"/>
      <c r="D19" s="1057"/>
      <c r="E19" s="1057"/>
      <c r="F19" s="1057"/>
      <c r="G19" s="1057"/>
      <c r="H19" s="1057"/>
      <c r="I19" s="1057"/>
      <c r="J19" s="1057"/>
      <c r="K19" s="1057"/>
      <c r="L19" s="1057"/>
      <c r="M19" s="1057"/>
      <c r="N19" s="1057"/>
      <c r="O19" s="1057"/>
      <c r="P19" s="1057"/>
      <c r="Q19" s="1057"/>
      <c r="R19" s="1057"/>
      <c r="S19" s="1057"/>
      <c r="T19" s="1057"/>
      <c r="U19" s="1057"/>
      <c r="V19" s="1057"/>
      <c r="W19" s="1057"/>
      <c r="X19" s="1057"/>
      <c r="Y19" s="1057"/>
      <c r="Z19" s="1057"/>
      <c r="AA19" s="1057"/>
      <c r="AB19" s="1057"/>
      <c r="AC19" s="1057"/>
      <c r="AD19" s="1057"/>
      <c r="AE19" s="1057"/>
      <c r="AF19" s="1057"/>
      <c r="AG19" s="1057"/>
      <c r="AH19" s="1057"/>
      <c r="AI19" s="1057"/>
      <c r="AJ19" s="1058"/>
      <c r="AK19" s="1059"/>
      <c r="AL19" s="1052"/>
    </row>
    <row r="20" spans="3:38">
      <c r="C20" s="1034"/>
      <c r="D20" s="1060"/>
      <c r="E20" s="1060"/>
      <c r="F20" s="1060"/>
      <c r="G20" s="1060"/>
      <c r="H20" s="1060"/>
      <c r="I20" s="1060"/>
      <c r="J20" s="1060"/>
      <c r="K20" s="1060"/>
      <c r="L20" s="1060"/>
      <c r="M20" s="1060"/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52"/>
    </row>
    <row r="21" spans="3:38">
      <c r="C21" s="1061" t="s">
        <v>571</v>
      </c>
      <c r="D21" s="1061"/>
      <c r="E21" s="1061"/>
      <c r="F21" s="1062"/>
      <c r="G21" s="1063"/>
      <c r="H21" s="1063"/>
      <c r="I21" s="1063"/>
      <c r="J21" s="1063"/>
      <c r="K21" s="1063"/>
      <c r="L21" s="1063"/>
      <c r="M21" s="1063"/>
      <c r="N21" s="1063"/>
      <c r="O21" s="1063"/>
      <c r="P21" s="1063"/>
      <c r="Q21" s="1063"/>
      <c r="R21" s="1064"/>
      <c r="S21" s="1061"/>
      <c r="T21" s="1061"/>
      <c r="U21" s="1061"/>
      <c r="V21" s="1061"/>
      <c r="W21" s="1061"/>
      <c r="X21" s="1061"/>
      <c r="Y21" s="1061"/>
      <c r="Z21" s="1061"/>
      <c r="AA21" s="1061"/>
      <c r="AB21" s="1060"/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52"/>
    </row>
    <row r="22" spans="3:38">
      <c r="C22" s="1061">
        <v>1</v>
      </c>
      <c r="D22" s="1615" t="s">
        <v>572</v>
      </c>
      <c r="E22" s="1616"/>
      <c r="F22" s="1616"/>
      <c r="G22" s="1616"/>
      <c r="H22" s="1616"/>
      <c r="I22" s="1616"/>
      <c r="J22" s="1616"/>
      <c r="K22" s="1616"/>
      <c r="L22" s="1616"/>
      <c r="M22" s="1616"/>
      <c r="N22" s="1616"/>
      <c r="O22" s="1616"/>
      <c r="P22" s="1616"/>
      <c r="Q22" s="1616"/>
      <c r="R22" s="1616"/>
      <c r="S22" s="1616"/>
      <c r="T22" s="1616"/>
      <c r="U22" s="1616"/>
      <c r="V22" s="1616"/>
      <c r="W22" s="1616"/>
      <c r="X22" s="1616"/>
      <c r="Y22" s="1616"/>
      <c r="Z22" s="1616"/>
      <c r="AA22" s="1616"/>
      <c r="AB22" s="1060"/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52"/>
    </row>
    <row r="23" spans="3:38">
      <c r="C23" s="1061">
        <v>2</v>
      </c>
      <c r="D23" s="1615" t="s">
        <v>573</v>
      </c>
      <c r="E23" s="1616"/>
      <c r="F23" s="1616"/>
      <c r="G23" s="1616"/>
      <c r="H23" s="1616"/>
      <c r="I23" s="1616"/>
      <c r="J23" s="1616"/>
      <c r="K23" s="1616"/>
      <c r="L23" s="1616"/>
      <c r="M23" s="1616"/>
      <c r="N23" s="1616"/>
      <c r="O23" s="1616"/>
      <c r="P23" s="1616"/>
      <c r="Q23" s="1616"/>
      <c r="R23" s="1616"/>
      <c r="S23" s="1616"/>
      <c r="T23" s="1616"/>
      <c r="U23" s="1616"/>
      <c r="V23" s="1616"/>
      <c r="W23" s="1616"/>
      <c r="X23" s="1616"/>
      <c r="Y23" s="1616"/>
      <c r="Z23" s="1616"/>
      <c r="AA23" s="1616"/>
      <c r="AB23" s="1060"/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52"/>
    </row>
    <row r="24" spans="3:38">
      <c r="C24" s="1061">
        <v>3</v>
      </c>
      <c r="D24" s="1615" t="s">
        <v>574</v>
      </c>
      <c r="E24" s="1616"/>
      <c r="F24" s="1616"/>
      <c r="G24" s="1616"/>
      <c r="H24" s="1616"/>
      <c r="I24" s="1616"/>
      <c r="J24" s="1616"/>
      <c r="K24" s="1616"/>
      <c r="L24" s="1616"/>
      <c r="M24" s="1616"/>
      <c r="N24" s="1616"/>
      <c r="O24" s="1616"/>
      <c r="P24" s="1616"/>
      <c r="Q24" s="1616"/>
      <c r="R24" s="1616"/>
      <c r="S24" s="1616"/>
      <c r="T24" s="1616"/>
      <c r="U24" s="1616"/>
      <c r="V24" s="1616"/>
      <c r="W24" s="1616"/>
      <c r="X24" s="1616"/>
      <c r="Y24" s="1616"/>
      <c r="Z24" s="1616"/>
      <c r="AA24" s="1616"/>
      <c r="AB24" s="1060"/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52"/>
    </row>
    <row r="25" spans="3:38">
      <c r="C25" s="1061">
        <v>4</v>
      </c>
      <c r="D25" s="1615" t="s">
        <v>575</v>
      </c>
      <c r="E25" s="1616"/>
      <c r="F25" s="1616"/>
      <c r="G25" s="1616"/>
      <c r="H25" s="1616"/>
      <c r="I25" s="1616"/>
      <c r="J25" s="1616"/>
      <c r="K25" s="1616"/>
      <c r="L25" s="1616"/>
      <c r="M25" s="1616"/>
      <c r="N25" s="1616"/>
      <c r="O25" s="1616"/>
      <c r="P25" s="1616"/>
      <c r="Q25" s="1616"/>
      <c r="R25" s="1616"/>
      <c r="S25" s="1616"/>
      <c r="T25" s="1616"/>
      <c r="U25" s="1616"/>
      <c r="V25" s="1616"/>
      <c r="W25" s="1616"/>
      <c r="X25" s="1616"/>
      <c r="Y25" s="1616"/>
      <c r="Z25" s="1616"/>
      <c r="AA25" s="1616"/>
      <c r="AB25" s="1060"/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52"/>
    </row>
    <row r="26" spans="3:38">
      <c r="C26" s="1061">
        <v>5</v>
      </c>
      <c r="D26" s="1615" t="s">
        <v>576</v>
      </c>
      <c r="E26" s="1616"/>
      <c r="F26" s="1616"/>
      <c r="G26" s="1616"/>
      <c r="H26" s="1616"/>
      <c r="I26" s="1616"/>
      <c r="J26" s="1616"/>
      <c r="K26" s="1616"/>
      <c r="L26" s="1616"/>
      <c r="M26" s="1616"/>
      <c r="N26" s="1616"/>
      <c r="O26" s="1616"/>
      <c r="P26" s="1616"/>
      <c r="Q26" s="1616"/>
      <c r="R26" s="1616"/>
      <c r="S26" s="1616"/>
      <c r="T26" s="1616"/>
      <c r="U26" s="1616"/>
      <c r="V26" s="1616"/>
      <c r="W26" s="1616"/>
      <c r="X26" s="1616"/>
      <c r="Y26" s="1616"/>
      <c r="Z26" s="1616"/>
      <c r="AA26" s="1616"/>
      <c r="AB26" s="1060"/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52"/>
    </row>
    <row r="27" spans="3:38">
      <c r="C27" s="1065"/>
      <c r="D27" s="1066"/>
      <c r="E27" s="1066"/>
      <c r="F27" s="1066"/>
      <c r="G27" s="1066"/>
      <c r="H27" s="1066"/>
      <c r="I27" s="1066"/>
      <c r="J27" s="1066"/>
      <c r="K27" s="1066"/>
      <c r="L27" s="1066"/>
      <c r="M27" s="1066"/>
      <c r="N27" s="1066"/>
      <c r="O27" s="1066"/>
      <c r="P27" s="1066"/>
      <c r="Q27" s="1066"/>
      <c r="R27" s="1066"/>
      <c r="S27" s="1066"/>
      <c r="T27" s="1066"/>
      <c r="U27" s="1066"/>
      <c r="V27" s="1066"/>
      <c r="W27" s="1066"/>
      <c r="X27" s="1066"/>
      <c r="Y27" s="1066"/>
      <c r="Z27" s="1066"/>
      <c r="AA27" s="1066"/>
      <c r="AB27" s="1066"/>
      <c r="AC27" s="1066"/>
      <c r="AD27" s="1066"/>
      <c r="AE27" s="1066"/>
      <c r="AF27" s="1066"/>
      <c r="AG27" s="1066"/>
      <c r="AH27" s="1066"/>
      <c r="AI27" s="1066"/>
      <c r="AJ27" s="1066"/>
      <c r="AK27" s="1066"/>
      <c r="AL27" s="1067"/>
    </row>
  </sheetData>
  <mergeCells count="21">
    <mergeCell ref="Y7:Y9"/>
    <mergeCell ref="Z7:Z9"/>
    <mergeCell ref="AA7:AA9"/>
    <mergeCell ref="AB7:AB9"/>
    <mergeCell ref="AC7:AC9"/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49"/>
  <sheetViews>
    <sheetView workbookViewId="0">
      <selection sqref="A1:XFD1048576"/>
    </sheetView>
  </sheetViews>
  <sheetFormatPr defaultColWidth="8.85546875" defaultRowHeight="12.75"/>
  <cols>
    <col min="1" max="1" width="11.85546875" style="74" customWidth="1"/>
    <col min="2" max="2" width="8.85546875" style="74" customWidth="1"/>
    <col min="3" max="3" width="29.85546875" style="74" customWidth="1"/>
    <col min="4" max="4" width="8.85546875" style="74" customWidth="1"/>
    <col min="5" max="5" width="25.42578125" style="74" customWidth="1"/>
    <col min="6" max="6" width="13.5703125" style="74" bestFit="1" customWidth="1"/>
    <col min="7" max="8" width="8.85546875" style="74"/>
    <col min="9" max="9" width="13.5703125" style="74" bestFit="1" customWidth="1"/>
    <col min="10" max="10" width="8.85546875" style="74"/>
    <col min="11" max="11" width="9.85546875" style="74" customWidth="1"/>
    <col min="12" max="12" width="8.85546875" style="74"/>
    <col min="13" max="13" width="12.5703125" style="74" bestFit="1" customWidth="1"/>
    <col min="14" max="14" width="13.5703125" style="74" bestFit="1" customWidth="1"/>
    <col min="15" max="15" width="10.42578125" style="74" customWidth="1"/>
    <col min="16" max="16384" width="8.85546875" style="74"/>
  </cols>
  <sheetData>
    <row r="1" spans="1:18">
      <c r="A1" s="716" t="s">
        <v>526</v>
      </c>
      <c r="E1" s="125" t="s">
        <v>985</v>
      </c>
    </row>
    <row r="2" spans="1:18">
      <c r="A2" s="716"/>
    </row>
    <row r="3" spans="1:18">
      <c r="A3" s="716" t="s">
        <v>81</v>
      </c>
    </row>
    <row r="5" spans="1:18" ht="16.5" thickBot="1">
      <c r="A5" s="1068" t="s">
        <v>577</v>
      </c>
      <c r="B5" s="569"/>
      <c r="C5" s="569"/>
      <c r="D5" s="585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</row>
    <row r="6" spans="1:18" ht="15.75" thickBot="1">
      <c r="A6" s="569"/>
      <c r="B6" s="569"/>
      <c r="C6" s="569"/>
      <c r="D6" s="585"/>
      <c r="E6" s="569"/>
      <c r="F6" s="569"/>
      <c r="G6" s="569"/>
      <c r="H6" s="569"/>
      <c r="I6" s="569"/>
      <c r="J6" s="569"/>
      <c r="K6" s="569"/>
      <c r="L6" s="569"/>
      <c r="M6" s="1712" t="s">
        <v>580</v>
      </c>
      <c r="N6" s="1713"/>
      <c r="O6" s="1713"/>
      <c r="P6" s="1713"/>
      <c r="Q6" s="1714"/>
      <c r="R6" s="569"/>
    </row>
    <row r="7" spans="1:18" s="1073" customFormat="1" ht="17.25" customHeight="1" thickBot="1">
      <c r="A7" s="1069"/>
      <c r="B7" s="1069"/>
      <c r="C7" s="1069"/>
      <c r="D7" s="1070"/>
      <c r="E7" s="1715" t="s">
        <v>578</v>
      </c>
      <c r="F7" s="1716"/>
      <c r="G7" s="1717"/>
      <c r="H7" s="1071"/>
      <c r="I7" s="1718" t="s">
        <v>579</v>
      </c>
      <c r="J7" s="1719"/>
      <c r="K7" s="1720"/>
      <c r="L7" s="1069"/>
      <c r="M7" s="1721" t="s">
        <v>578</v>
      </c>
      <c r="N7" s="1722"/>
      <c r="O7" s="1723"/>
      <c r="P7" s="1072"/>
      <c r="Q7" s="1727" t="s">
        <v>548</v>
      </c>
      <c r="R7" s="1070"/>
    </row>
    <row r="8" spans="1:18" ht="30.75" thickBot="1">
      <c r="A8" s="1074"/>
      <c r="B8" s="1074"/>
      <c r="C8" s="1074"/>
      <c r="D8" s="1075"/>
      <c r="E8" s="1076"/>
      <c r="F8" s="1077" t="s">
        <v>581</v>
      </c>
      <c r="G8" s="1078"/>
      <c r="H8" s="1071"/>
      <c r="I8" s="1079" t="s">
        <v>581</v>
      </c>
      <c r="J8" s="1080"/>
      <c r="K8" s="1081" t="s">
        <v>582</v>
      </c>
      <c r="L8" s="1082"/>
      <c r="M8" s="1724"/>
      <c r="N8" s="1725"/>
      <c r="O8" s="1726"/>
      <c r="P8" s="1082"/>
      <c r="Q8" s="1728"/>
      <c r="R8" s="1083"/>
    </row>
    <row r="9" spans="1:18" ht="16.5" thickBot="1">
      <c r="A9" s="1706" t="s">
        <v>583</v>
      </c>
      <c r="B9" s="1707"/>
      <c r="C9" s="1708"/>
      <c r="D9" s="1084"/>
      <c r="E9" s="1079" t="s">
        <v>584</v>
      </c>
      <c r="F9" s="1079" t="s">
        <v>585</v>
      </c>
      <c r="G9" s="1085" t="s">
        <v>586</v>
      </c>
      <c r="H9" s="1086"/>
      <c r="I9" s="1079" t="s">
        <v>586</v>
      </c>
      <c r="J9" s="1075"/>
      <c r="K9" s="1087" t="s">
        <v>586</v>
      </c>
      <c r="L9" s="1082"/>
      <c r="M9" s="1088" t="s">
        <v>584</v>
      </c>
      <c r="N9" s="1089" t="s">
        <v>585</v>
      </c>
      <c r="O9" s="1090" t="s">
        <v>586</v>
      </c>
      <c r="P9" s="1083"/>
      <c r="Q9" s="1091" t="s">
        <v>586</v>
      </c>
      <c r="R9" s="1083"/>
    </row>
    <row r="10" spans="1:18" ht="16.5" thickBot="1">
      <c r="A10" s="1709"/>
      <c r="B10" s="1710"/>
      <c r="C10" s="1711"/>
      <c r="D10" s="1084"/>
      <c r="E10" s="1092" t="s">
        <v>566</v>
      </c>
      <c r="F10" s="1093" t="s">
        <v>566</v>
      </c>
      <c r="G10" s="1094" t="s">
        <v>566</v>
      </c>
      <c r="H10" s="1071"/>
      <c r="I10" s="1095" t="s">
        <v>566</v>
      </c>
      <c r="J10" s="1075"/>
      <c r="K10" s="1096" t="s">
        <v>566</v>
      </c>
      <c r="L10" s="1082"/>
      <c r="M10" s="1097" t="s">
        <v>566</v>
      </c>
      <c r="N10" s="1098" t="s">
        <v>566</v>
      </c>
      <c r="O10" s="1096" t="s">
        <v>566</v>
      </c>
      <c r="P10" s="1082"/>
      <c r="Q10" s="1096" t="s">
        <v>566</v>
      </c>
      <c r="R10" s="1083"/>
    </row>
    <row r="11" spans="1:18" ht="17.25" customHeight="1">
      <c r="A11" s="1690" t="s">
        <v>587</v>
      </c>
      <c r="B11" s="1671" t="s">
        <v>423</v>
      </c>
      <c r="C11" s="1672"/>
      <c r="D11" s="1099"/>
      <c r="E11" s="1692">
        <v>0</v>
      </c>
      <c r="F11" s="1694">
        <v>0.36181519995774197</v>
      </c>
      <c r="G11" s="1696">
        <f>SUM(E11:F11)</f>
        <v>0.36181519995774197</v>
      </c>
      <c r="H11" s="1100"/>
      <c r="I11" s="1101">
        <v>0.44431694812253475</v>
      </c>
      <c r="J11" s="1075"/>
      <c r="K11" s="1101">
        <v>0</v>
      </c>
      <c r="L11" s="1083"/>
      <c r="M11" s="1083"/>
      <c r="N11" s="1083"/>
      <c r="O11" s="1083"/>
      <c r="P11" s="1083"/>
      <c r="Q11" s="1083"/>
      <c r="R11" s="1083"/>
    </row>
    <row r="12" spans="1:18" ht="17.25" customHeight="1">
      <c r="A12" s="1691"/>
      <c r="B12" s="1697" t="s">
        <v>424</v>
      </c>
      <c r="C12" s="1698"/>
      <c r="D12" s="1099"/>
      <c r="E12" s="1693"/>
      <c r="F12" s="1695"/>
      <c r="G12" s="1685"/>
      <c r="H12" s="1100"/>
      <c r="I12" s="1102">
        <v>4.7953367704089898</v>
      </c>
      <c r="J12" s="1075"/>
      <c r="K12" s="1102">
        <v>0</v>
      </c>
      <c r="L12" s="1083"/>
      <c r="M12" s="1083"/>
      <c r="N12" s="1083"/>
      <c r="O12" s="1083"/>
      <c r="P12" s="1083"/>
      <c r="Q12" s="1083"/>
      <c r="R12" s="1083"/>
    </row>
    <row r="13" spans="1:18" ht="17.25" customHeight="1">
      <c r="A13" s="1699" t="s">
        <v>345</v>
      </c>
      <c r="B13" s="1700" t="s">
        <v>588</v>
      </c>
      <c r="C13" s="1701"/>
      <c r="D13" s="1099"/>
      <c r="E13" s="1103">
        <v>0.39717937245801499</v>
      </c>
      <c r="F13" s="1104">
        <v>0.118111357439522</v>
      </c>
      <c r="G13" s="1105">
        <f>SUM(E13:F13)</f>
        <v>0.51529072989753699</v>
      </c>
      <c r="H13" s="1100"/>
      <c r="I13" s="1102">
        <v>1.19960729316716</v>
      </c>
      <c r="J13" s="1075"/>
      <c r="K13" s="1102">
        <v>0.20706630150757177</v>
      </c>
      <c r="L13" s="1083"/>
      <c r="M13" s="1083"/>
      <c r="N13" s="1083"/>
      <c r="O13" s="1083"/>
      <c r="P13" s="1083"/>
      <c r="Q13" s="1083"/>
      <c r="R13" s="1083"/>
    </row>
    <row r="14" spans="1:18" ht="17.25" customHeight="1">
      <c r="A14" s="1690"/>
      <c r="B14" s="1686" t="s">
        <v>589</v>
      </c>
      <c r="C14" s="1687"/>
      <c r="D14" s="1099"/>
      <c r="E14" s="1702">
        <v>0.229663769257235</v>
      </c>
      <c r="F14" s="1704">
        <v>0.112411254057019</v>
      </c>
      <c r="G14" s="1683">
        <f>SUM(E14:F14)</f>
        <v>0.34207502331425399</v>
      </c>
      <c r="H14" s="1100"/>
      <c r="I14" s="1102">
        <v>9.2383940591736491E-3</v>
      </c>
      <c r="J14" s="1075"/>
      <c r="K14" s="1102">
        <v>0</v>
      </c>
      <c r="L14" s="1083"/>
      <c r="M14" s="1083"/>
      <c r="N14" s="1083"/>
      <c r="O14" s="1083"/>
      <c r="P14" s="1083"/>
      <c r="Q14" s="1083"/>
      <c r="R14" s="1083"/>
    </row>
    <row r="15" spans="1:18" ht="17.25" customHeight="1">
      <c r="A15" s="1690"/>
      <c r="B15" s="1686" t="s">
        <v>590</v>
      </c>
      <c r="C15" s="1687"/>
      <c r="D15" s="1099"/>
      <c r="E15" s="1703">
        <v>0</v>
      </c>
      <c r="F15" s="1705">
        <v>0</v>
      </c>
      <c r="G15" s="1684"/>
      <c r="H15" s="1100"/>
      <c r="I15" s="1102">
        <v>9.2962537572156698</v>
      </c>
      <c r="J15" s="1075"/>
      <c r="K15" s="1102">
        <v>0</v>
      </c>
      <c r="L15" s="1083"/>
      <c r="M15" s="1083"/>
      <c r="N15" s="1083"/>
      <c r="O15" s="1083"/>
      <c r="P15" s="1083"/>
      <c r="Q15" s="1083"/>
      <c r="R15" s="1083"/>
    </row>
    <row r="16" spans="1:18" ht="17.25" customHeight="1" thickBot="1">
      <c r="A16" s="1691"/>
      <c r="B16" s="1688" t="s">
        <v>428</v>
      </c>
      <c r="C16" s="1689"/>
      <c r="D16" s="1099"/>
      <c r="E16" s="1693">
        <v>0</v>
      </c>
      <c r="F16" s="1695">
        <v>0</v>
      </c>
      <c r="G16" s="1685"/>
      <c r="H16" s="1100"/>
      <c r="I16" s="1106">
        <v>0.20110809962398224</v>
      </c>
      <c r="J16" s="1075"/>
      <c r="K16" s="1106">
        <v>0</v>
      </c>
      <c r="L16" s="1083"/>
      <c r="M16" s="1083"/>
      <c r="N16" s="1083"/>
      <c r="O16" s="1083"/>
      <c r="P16" s="1083"/>
      <c r="Q16" s="1083"/>
      <c r="R16" s="1083"/>
    </row>
    <row r="17" spans="1:18" ht="17.25" customHeight="1">
      <c r="A17" s="1668" t="s">
        <v>591</v>
      </c>
      <c r="B17" s="1671" t="s">
        <v>429</v>
      </c>
      <c r="C17" s="1672"/>
      <c r="D17" s="1107"/>
      <c r="E17" s="1103">
        <v>2.6450309304946802E-2</v>
      </c>
      <c r="F17" s="1104">
        <v>0.32631011622364703</v>
      </c>
      <c r="G17" s="1105">
        <f t="shared" ref="G17:G27" si="0">SUM(E17:F17)</f>
        <v>0.35276042552859382</v>
      </c>
      <c r="H17" s="1100"/>
      <c r="I17" s="1101">
        <v>1.9214642911566087</v>
      </c>
      <c r="J17" s="1075"/>
      <c r="K17" s="1108">
        <v>0.1739622662704251</v>
      </c>
      <c r="L17" s="1083"/>
      <c r="M17" s="1083"/>
      <c r="N17" s="1083"/>
      <c r="O17" s="1083"/>
      <c r="P17" s="1083"/>
      <c r="Q17" s="1083"/>
      <c r="R17" s="1083"/>
    </row>
    <row r="18" spans="1:18" ht="17.25" customHeight="1">
      <c r="A18" s="1669"/>
      <c r="B18" s="1673" t="s">
        <v>592</v>
      </c>
      <c r="C18" s="1674"/>
      <c r="D18" s="1109"/>
      <c r="E18" s="1110">
        <v>0</v>
      </c>
      <c r="F18" s="1111">
        <v>0.15632920001592032</v>
      </c>
      <c r="G18" s="1112">
        <f t="shared" si="0"/>
        <v>0.15632920001592032</v>
      </c>
      <c r="H18" s="1100"/>
      <c r="I18" s="1102">
        <v>4.34436105494588</v>
      </c>
      <c r="J18" s="1075"/>
      <c r="K18" s="1102">
        <v>0</v>
      </c>
      <c r="L18" s="1083"/>
      <c r="M18" s="1083"/>
      <c r="N18" s="1083"/>
      <c r="O18" s="1083"/>
      <c r="P18" s="1083"/>
      <c r="Q18" s="1083"/>
      <c r="R18" s="1083"/>
    </row>
    <row r="19" spans="1:18" ht="17.25" customHeight="1" thickBot="1">
      <c r="A19" s="1670"/>
      <c r="B19" s="1675" t="s">
        <v>593</v>
      </c>
      <c r="C19" s="1676"/>
      <c r="D19" s="1107"/>
      <c r="E19" s="1113">
        <v>0.52095547972967593</v>
      </c>
      <c r="F19" s="1114">
        <v>3.7559833450097067</v>
      </c>
      <c r="G19" s="1115">
        <f t="shared" si="0"/>
        <v>4.2769388247393829</v>
      </c>
      <c r="H19" s="1100"/>
      <c r="I19" s="1106">
        <v>0.55050054364771606</v>
      </c>
      <c r="J19" s="1075"/>
      <c r="K19" s="1116">
        <v>0</v>
      </c>
      <c r="L19" s="1083"/>
      <c r="M19" s="1083"/>
      <c r="N19" s="1083"/>
      <c r="O19" s="1083"/>
      <c r="P19" s="1083"/>
      <c r="Q19" s="1083"/>
      <c r="R19" s="1083"/>
    </row>
    <row r="20" spans="1:18" ht="17.25" customHeight="1">
      <c r="A20" s="1677" t="s">
        <v>402</v>
      </c>
      <c r="B20" s="1679" t="s">
        <v>429</v>
      </c>
      <c r="C20" s="1680"/>
      <c r="D20" s="1107"/>
      <c r="E20" s="1117">
        <v>0</v>
      </c>
      <c r="F20" s="1118">
        <v>0</v>
      </c>
      <c r="G20" s="1119">
        <f t="shared" si="0"/>
        <v>0</v>
      </c>
      <c r="H20" s="1100"/>
      <c r="I20" s="1101">
        <v>0.45049410821776609</v>
      </c>
      <c r="J20" s="1075"/>
      <c r="K20" s="1101">
        <v>0</v>
      </c>
      <c r="L20" s="1083"/>
      <c r="M20" s="1083"/>
      <c r="N20" s="1083"/>
      <c r="O20" s="1083"/>
      <c r="P20" s="1083"/>
      <c r="Q20" s="1083"/>
      <c r="R20" s="1083"/>
    </row>
    <row r="21" spans="1:18" ht="17.25" customHeight="1">
      <c r="A21" s="1668"/>
      <c r="B21" s="1120" t="s">
        <v>594</v>
      </c>
      <c r="C21" s="1121"/>
      <c r="D21" s="1099"/>
      <c r="E21" s="1103">
        <v>0</v>
      </c>
      <c r="F21" s="1104">
        <v>0</v>
      </c>
      <c r="G21" s="1105">
        <f t="shared" si="0"/>
        <v>0</v>
      </c>
      <c r="H21" s="1100"/>
      <c r="I21" s="1108">
        <v>1.2794757770246144E-4</v>
      </c>
      <c r="J21" s="1075"/>
      <c r="K21" s="1108">
        <v>0</v>
      </c>
      <c r="L21" s="1083"/>
      <c r="M21" s="1083"/>
      <c r="N21" s="1083"/>
      <c r="O21" s="1083"/>
      <c r="P21" s="1083"/>
      <c r="Q21" s="1083"/>
      <c r="R21" s="1083"/>
    </row>
    <row r="22" spans="1:18" ht="17.25" customHeight="1">
      <c r="A22" s="1669"/>
      <c r="B22" s="1120" t="s">
        <v>595</v>
      </c>
      <c r="C22" s="1121"/>
      <c r="D22" s="1099"/>
      <c r="E22" s="1110">
        <v>0</v>
      </c>
      <c r="F22" s="1111">
        <v>0</v>
      </c>
      <c r="G22" s="1112">
        <f t="shared" si="0"/>
        <v>0</v>
      </c>
      <c r="H22" s="1100"/>
      <c r="I22" s="1102">
        <v>0.50689587057303287</v>
      </c>
      <c r="J22" s="1075"/>
      <c r="K22" s="1102">
        <v>0</v>
      </c>
      <c r="L22" s="1083"/>
      <c r="M22" s="1083"/>
      <c r="N22" s="1083"/>
      <c r="O22" s="1083"/>
      <c r="P22" s="1083"/>
      <c r="Q22" s="1083"/>
      <c r="R22" s="1083"/>
    </row>
    <row r="23" spans="1:18" ht="17.25" customHeight="1" thickBot="1">
      <c r="A23" s="1678"/>
      <c r="B23" s="1675" t="s">
        <v>593</v>
      </c>
      <c r="C23" s="1676"/>
      <c r="D23" s="1099"/>
      <c r="E23" s="1122">
        <v>3.4253363869449022E-2</v>
      </c>
      <c r="F23" s="1123">
        <v>0.54131910307239062</v>
      </c>
      <c r="G23" s="1124">
        <f t="shared" si="0"/>
        <v>0.57557246694183961</v>
      </c>
      <c r="H23" s="1100"/>
      <c r="I23" s="1106">
        <v>1.3595209014202313E-4</v>
      </c>
      <c r="J23" s="1075"/>
      <c r="K23" s="1106">
        <v>0</v>
      </c>
      <c r="L23" s="1083"/>
      <c r="M23" s="1083"/>
      <c r="N23" s="1083"/>
      <c r="O23" s="1083"/>
      <c r="P23" s="1083"/>
      <c r="Q23" s="1083"/>
      <c r="R23" s="1083"/>
    </row>
    <row r="24" spans="1:18" ht="17.25" customHeight="1">
      <c r="A24" s="1681" t="s">
        <v>401</v>
      </c>
      <c r="B24" s="1679" t="s">
        <v>429</v>
      </c>
      <c r="C24" s="1680"/>
      <c r="D24" s="1107"/>
      <c r="E24" s="1117">
        <v>0.14570113797854389</v>
      </c>
      <c r="F24" s="1125">
        <v>1.9379218620848797</v>
      </c>
      <c r="G24" s="1105">
        <f t="shared" si="0"/>
        <v>2.0836230000634237</v>
      </c>
      <c r="H24" s="1100"/>
      <c r="I24" s="1108">
        <v>2.7840239766498171E-3</v>
      </c>
      <c r="J24" s="1075"/>
      <c r="K24" s="1108">
        <v>5.2674322220031544E-3</v>
      </c>
      <c r="L24" s="1083"/>
      <c r="M24" s="1126"/>
      <c r="N24" s="1126"/>
      <c r="O24" s="1127">
        <v>0</v>
      </c>
      <c r="P24" s="1083"/>
      <c r="Q24" s="1128"/>
      <c r="R24" s="1083"/>
    </row>
    <row r="25" spans="1:18" ht="17.25" customHeight="1">
      <c r="A25" s="1682"/>
      <c r="B25" s="1120" t="s">
        <v>594</v>
      </c>
      <c r="C25" s="1129"/>
      <c r="D25" s="1099"/>
      <c r="E25" s="1110">
        <v>9.7464896642148011E-2</v>
      </c>
      <c r="F25" s="1130">
        <v>0.13435964818256071</v>
      </c>
      <c r="G25" s="1112">
        <f t="shared" si="0"/>
        <v>0.23182454482470871</v>
      </c>
      <c r="H25" s="1100"/>
      <c r="I25" s="1102">
        <v>0.61958612229318499</v>
      </c>
      <c r="J25" s="1075"/>
      <c r="K25" s="1102">
        <v>0</v>
      </c>
      <c r="L25" s="1083"/>
      <c r="M25" s="1131"/>
      <c r="N25" s="1131"/>
      <c r="O25" s="1132">
        <v>0</v>
      </c>
      <c r="P25" s="1083"/>
      <c r="Q25" s="1133"/>
      <c r="R25" s="1083"/>
    </row>
    <row r="26" spans="1:18" ht="17.25" customHeight="1">
      <c r="A26" s="1682"/>
      <c r="B26" s="1120" t="s">
        <v>595</v>
      </c>
      <c r="C26" s="1129"/>
      <c r="D26" s="1099"/>
      <c r="E26" s="1110">
        <v>0</v>
      </c>
      <c r="F26" s="1130">
        <v>0</v>
      </c>
      <c r="G26" s="1112">
        <f t="shared" si="0"/>
        <v>0</v>
      </c>
      <c r="H26" s="1100"/>
      <c r="I26" s="1102">
        <v>0</v>
      </c>
      <c r="J26" s="1075"/>
      <c r="K26" s="1102">
        <v>0</v>
      </c>
      <c r="L26" s="1083"/>
      <c r="M26" s="1131"/>
      <c r="N26" s="1131"/>
      <c r="O26" s="1132">
        <v>0</v>
      </c>
      <c r="P26" s="1083"/>
      <c r="Q26" s="1133"/>
      <c r="R26" s="1083"/>
    </row>
    <row r="27" spans="1:18" ht="17.25" customHeight="1" thickBot="1">
      <c r="A27" s="1682"/>
      <c r="B27" s="1675" t="s">
        <v>593</v>
      </c>
      <c r="C27" s="1676"/>
      <c r="D27" s="1099"/>
      <c r="E27" s="1113">
        <v>0.21059578286325348</v>
      </c>
      <c r="F27" s="1134">
        <v>1.2008979828373454</v>
      </c>
      <c r="G27" s="1115">
        <f t="shared" si="0"/>
        <v>1.4114937657005988</v>
      </c>
      <c r="H27" s="1100"/>
      <c r="I27" s="1116">
        <v>1.5441425698751693E-3</v>
      </c>
      <c r="J27" s="1075"/>
      <c r="K27" s="1116">
        <v>0</v>
      </c>
      <c r="L27" s="1083"/>
      <c r="M27" s="1135"/>
      <c r="N27" s="1135"/>
      <c r="O27" s="1136">
        <v>0</v>
      </c>
      <c r="P27" s="1083"/>
      <c r="Q27" s="1137"/>
      <c r="R27" s="1083"/>
    </row>
    <row r="28" spans="1:18" ht="17.25" customHeight="1" thickBot="1">
      <c r="A28" s="1642" t="s">
        <v>596</v>
      </c>
      <c r="B28" s="1643"/>
      <c r="C28" s="1644"/>
      <c r="D28" s="1099"/>
      <c r="E28" s="1138">
        <v>0</v>
      </c>
      <c r="F28" s="1139">
        <v>0</v>
      </c>
      <c r="G28" s="1140">
        <f>SUM(E28:F28)</f>
        <v>0</v>
      </c>
      <c r="H28" s="1100"/>
      <c r="I28" s="1141">
        <v>0</v>
      </c>
      <c r="J28" s="1075"/>
      <c r="K28" s="1141">
        <v>0</v>
      </c>
      <c r="L28" s="1083"/>
      <c r="M28" s="1142"/>
      <c r="N28" s="1142"/>
      <c r="O28" s="1143">
        <v>0</v>
      </c>
      <c r="P28" s="1083"/>
      <c r="Q28" s="1144"/>
      <c r="R28" s="1083"/>
    </row>
    <row r="29" spans="1:18" ht="17.25" customHeight="1" thickBot="1">
      <c r="A29" s="1642" t="s">
        <v>597</v>
      </c>
      <c r="B29" s="1643"/>
      <c r="C29" s="1644"/>
      <c r="D29" s="1145"/>
      <c r="E29" s="1146"/>
      <c r="F29" s="1147"/>
      <c r="G29" s="1148"/>
      <c r="H29" s="1149"/>
      <c r="I29" s="1150">
        <v>5.7302192640935399</v>
      </c>
      <c r="J29" s="1075"/>
      <c r="K29" s="1150">
        <v>0</v>
      </c>
      <c r="L29" s="1151"/>
      <c r="M29" s="1152"/>
      <c r="N29" s="1153"/>
      <c r="O29" s="1154"/>
      <c r="P29" s="1151"/>
      <c r="Q29" s="1155"/>
      <c r="R29" s="1151"/>
    </row>
    <row r="30" spans="1:18" ht="17.25" customHeight="1" thickBot="1">
      <c r="A30" s="1642" t="s">
        <v>598</v>
      </c>
      <c r="B30" s="1643"/>
      <c r="C30" s="1644"/>
      <c r="D30" s="1145"/>
      <c r="E30" s="1146"/>
      <c r="F30" s="1156">
        <v>0</v>
      </c>
      <c r="G30" s="1115">
        <f>SUM(E30:F30)</f>
        <v>0</v>
      </c>
      <c r="H30" s="1149"/>
      <c r="I30" s="1157"/>
      <c r="J30" s="1075"/>
      <c r="K30" s="1158"/>
      <c r="L30" s="1151"/>
      <c r="M30" s="1159"/>
      <c r="N30" s="1160"/>
      <c r="O30" s="1154"/>
      <c r="P30" s="1151"/>
      <c r="Q30" s="1161"/>
      <c r="R30" s="1151"/>
    </row>
    <row r="31" spans="1:18" ht="17.25" customHeight="1" thickBot="1">
      <c r="A31" s="1642" t="s">
        <v>599</v>
      </c>
      <c r="B31" s="1643"/>
      <c r="C31" s="1644"/>
      <c r="D31" s="1145"/>
      <c r="E31" s="1146"/>
      <c r="F31" s="1156"/>
      <c r="G31" s="1140">
        <f>SUM(E31:F31)</f>
        <v>0</v>
      </c>
      <c r="H31" s="1149"/>
      <c r="I31" s="1157"/>
      <c r="J31" s="1075"/>
      <c r="K31" s="1158"/>
      <c r="L31" s="1151"/>
      <c r="M31" s="1159"/>
      <c r="N31" s="1160"/>
      <c r="O31" s="1154"/>
      <c r="P31" s="1151"/>
      <c r="Q31" s="1161"/>
      <c r="R31" s="1151"/>
    </row>
    <row r="32" spans="1:18" ht="17.25" customHeight="1" thickBot="1">
      <c r="A32" s="1642" t="s">
        <v>600</v>
      </c>
      <c r="B32" s="1643"/>
      <c r="C32" s="1644"/>
      <c r="D32" s="1145"/>
      <c r="E32" s="1146"/>
      <c r="F32" s="1147"/>
      <c r="G32" s="1148"/>
      <c r="H32" s="1149"/>
      <c r="I32" s="1150">
        <v>-2.22315</v>
      </c>
      <c r="J32" s="1075"/>
      <c r="K32" s="1158"/>
      <c r="L32" s="1151"/>
      <c r="M32" s="1159"/>
      <c r="N32" s="1160"/>
      <c r="O32" s="1154"/>
      <c r="P32" s="1151"/>
      <c r="Q32" s="1161"/>
      <c r="R32" s="1151"/>
    </row>
    <row r="33" spans="1:18" ht="17.25" customHeight="1" thickBot="1">
      <c r="A33" s="1642" t="s">
        <v>601</v>
      </c>
      <c r="B33" s="1643"/>
      <c r="C33" s="1644"/>
      <c r="D33" s="1145"/>
      <c r="E33" s="1146"/>
      <c r="F33" s="1162">
        <v>1.198993</v>
      </c>
      <c r="G33" s="1140">
        <f>SUM(E33:F33)</f>
        <v>1.198993</v>
      </c>
      <c r="H33" s="1149"/>
      <c r="I33" s="1158"/>
      <c r="J33" s="1075"/>
      <c r="K33" s="1158"/>
      <c r="L33" s="1151"/>
      <c r="M33" s="1159"/>
      <c r="N33" s="1160"/>
      <c r="O33" s="1154"/>
      <c r="P33" s="1151"/>
      <c r="Q33" s="1161"/>
      <c r="R33" s="1151"/>
    </row>
    <row r="34" spans="1:18" ht="17.25" customHeight="1" thickBot="1">
      <c r="A34" s="1645" t="s">
        <v>200</v>
      </c>
      <c r="B34" s="1646"/>
      <c r="C34" s="1647"/>
      <c r="D34" s="1163"/>
      <c r="E34" s="1164">
        <f>SUM(E11:E33)</f>
        <v>1.6622641121032671</v>
      </c>
      <c r="F34" s="1164">
        <f>SUM(F11:F33)</f>
        <v>9.8444520688807344</v>
      </c>
      <c r="G34" s="1164">
        <f>SUM(G11:G33)</f>
        <v>11.506716180984</v>
      </c>
      <c r="H34" s="1165"/>
      <c r="I34" s="1164">
        <f>SUM(I11:I33)</f>
        <v>27.850824583739605</v>
      </c>
      <c r="J34" s="1163"/>
      <c r="K34" s="1164">
        <f>SUM(K11:K33)</f>
        <v>0.38629600000000003</v>
      </c>
      <c r="L34" s="1166"/>
      <c r="M34" s="1167">
        <v>0</v>
      </c>
      <c r="N34" s="1167">
        <v>0</v>
      </c>
      <c r="O34" s="1167">
        <v>0</v>
      </c>
      <c r="P34" s="1166"/>
      <c r="Q34" s="1167">
        <v>0</v>
      </c>
      <c r="R34" s="1166"/>
    </row>
    <row r="35" spans="1:18" ht="15" thickBot="1">
      <c r="A35" s="1083"/>
      <c r="B35" s="1083"/>
      <c r="C35" s="1083"/>
      <c r="D35" s="1168"/>
      <c r="E35" s="1083"/>
      <c r="F35" s="1083"/>
      <c r="G35" s="1169"/>
      <c r="H35" s="1083"/>
      <c r="I35" s="1169"/>
      <c r="J35" s="1082"/>
      <c r="K35" s="1169"/>
      <c r="L35" s="1083"/>
      <c r="M35" s="1083"/>
      <c r="N35" s="1083"/>
      <c r="O35" s="1083"/>
      <c r="P35" s="1083"/>
      <c r="Q35" s="1083"/>
      <c r="R35" s="1083"/>
    </row>
    <row r="36" spans="1:18" ht="30.75" thickBot="1">
      <c r="A36" s="1170"/>
      <c r="B36" s="1170"/>
      <c r="C36" s="1171"/>
      <c r="D36" s="1172"/>
      <c r="E36" s="1648" t="s">
        <v>602</v>
      </c>
      <c r="F36" s="1649"/>
      <c r="G36" s="1649"/>
      <c r="H36" s="1650"/>
      <c r="I36" s="1173" t="s">
        <v>581</v>
      </c>
      <c r="J36" s="1174"/>
      <c r="K36" s="1175" t="s">
        <v>582</v>
      </c>
      <c r="L36" s="1176"/>
      <c r="M36" s="1166"/>
      <c r="N36" s="1166"/>
      <c r="O36" s="1166"/>
      <c r="P36" s="1166"/>
      <c r="Q36" s="1166"/>
      <c r="R36" s="1166"/>
    </row>
    <row r="37" spans="1:18" ht="17.25" customHeight="1" thickBot="1">
      <c r="A37" s="1166"/>
      <c r="B37" s="1176"/>
      <c r="C37" s="1176"/>
      <c r="D37" s="1176"/>
      <c r="E37" s="1651"/>
      <c r="F37" s="1652"/>
      <c r="G37" s="1652"/>
      <c r="H37" s="1653"/>
      <c r="I37" s="1094" t="s">
        <v>566</v>
      </c>
      <c r="J37" s="1163"/>
      <c r="K37" s="1095" t="s">
        <v>566</v>
      </c>
      <c r="L37" s="1166"/>
      <c r="M37" s="1166"/>
      <c r="N37" s="1166"/>
      <c r="O37" s="1166"/>
      <c r="P37" s="1166"/>
      <c r="Q37" s="1166"/>
      <c r="R37" s="1166"/>
    </row>
    <row r="38" spans="1:18" ht="17.25" customHeight="1">
      <c r="A38" s="1083"/>
      <c r="B38" s="1168"/>
      <c r="C38" s="1168"/>
      <c r="D38" s="1168"/>
      <c r="E38" s="1654" t="s">
        <v>603</v>
      </c>
      <c r="F38" s="1655"/>
      <c r="G38" s="1655"/>
      <c r="H38" s="1656"/>
      <c r="I38" s="1177">
        <v>7.6046734961971971</v>
      </c>
      <c r="J38" s="1178"/>
      <c r="K38" s="1108">
        <v>0.38629600000000003</v>
      </c>
      <c r="L38" s="1083"/>
      <c r="M38" s="1083"/>
      <c r="N38" s="1083"/>
      <c r="O38" s="1083"/>
      <c r="P38" s="1083"/>
      <c r="Q38" s="1083"/>
      <c r="R38" s="1083"/>
    </row>
    <row r="39" spans="1:18" ht="17.25" customHeight="1" thickBot="1">
      <c r="A39" s="1083"/>
      <c r="B39" s="1168"/>
      <c r="C39" s="1168"/>
      <c r="D39" s="1168"/>
      <c r="E39" s="1657" t="s">
        <v>604</v>
      </c>
      <c r="F39" s="1658"/>
      <c r="G39" s="1658"/>
      <c r="H39" s="1563"/>
      <c r="I39" s="1179">
        <v>20.246151087542405</v>
      </c>
      <c r="J39" s="1178"/>
      <c r="K39" s="1116">
        <v>0</v>
      </c>
      <c r="L39" s="1083"/>
      <c r="M39" s="1083"/>
      <c r="N39" s="1083"/>
      <c r="O39" s="1083"/>
      <c r="P39" s="1083"/>
      <c r="Q39" s="1083"/>
      <c r="R39" s="1083"/>
    </row>
    <row r="40" spans="1:18" ht="17.25" customHeight="1" thickBot="1">
      <c r="A40" s="1083"/>
      <c r="B40" s="1163"/>
      <c r="C40" s="1163"/>
      <c r="D40" s="1163"/>
      <c r="E40" s="1659" t="s">
        <v>605</v>
      </c>
      <c r="F40" s="1660"/>
      <c r="G40" s="1660"/>
      <c r="H40" s="1661"/>
      <c r="I40" s="1140">
        <f>SUM(I38:I39)</f>
        <v>27.850824583739602</v>
      </c>
      <c r="J40" s="1178"/>
      <c r="K40" s="1140">
        <f>SUM(K38:K39)</f>
        <v>0.38629600000000003</v>
      </c>
      <c r="L40" s="1083"/>
      <c r="M40" s="1083"/>
      <c r="N40" s="1083"/>
      <c r="O40" s="1083"/>
      <c r="P40" s="1083"/>
      <c r="Q40" s="1083"/>
      <c r="R40" s="1083"/>
    </row>
    <row r="41" spans="1:18" ht="15" thickBot="1">
      <c r="A41" s="1083"/>
      <c r="B41" s="1083"/>
      <c r="C41" s="1083"/>
      <c r="D41" s="1168"/>
      <c r="E41" s="1083"/>
      <c r="F41" s="1083"/>
      <c r="G41" s="1083"/>
      <c r="H41" s="1083"/>
      <c r="I41" s="1169"/>
      <c r="J41" s="1061"/>
      <c r="K41" s="1169"/>
      <c r="L41" s="1083"/>
      <c r="M41" s="1083"/>
      <c r="N41" s="1083"/>
      <c r="O41" s="1083"/>
      <c r="P41" s="1083"/>
      <c r="Q41" s="1083"/>
      <c r="R41" s="1083"/>
    </row>
    <row r="42" spans="1:18" ht="20.25">
      <c r="A42" s="1082"/>
      <c r="B42" s="1180"/>
      <c r="C42" s="1662" t="s">
        <v>550</v>
      </c>
      <c r="D42" s="1663"/>
      <c r="E42" s="1663"/>
      <c r="F42" s="1664"/>
      <c r="G42" s="1640" t="s">
        <v>566</v>
      </c>
      <c r="H42" s="1075"/>
      <c r="I42" s="1082"/>
      <c r="J42" s="1082"/>
      <c r="K42" s="1082"/>
      <c r="L42" s="1082"/>
      <c r="M42" s="1662" t="s">
        <v>550</v>
      </c>
      <c r="N42" s="1663"/>
      <c r="O42" s="1640" t="s">
        <v>566</v>
      </c>
      <c r="P42" s="1082"/>
      <c r="Q42" s="1082"/>
      <c r="R42" s="1082"/>
    </row>
    <row r="43" spans="1:18" ht="21" thickBot="1">
      <c r="A43" s="1082"/>
      <c r="B43" s="1180"/>
      <c r="C43" s="1665"/>
      <c r="D43" s="1666"/>
      <c r="E43" s="1666"/>
      <c r="F43" s="1667"/>
      <c r="G43" s="1641"/>
      <c r="H43" s="1075"/>
      <c r="I43" s="1082"/>
      <c r="J43" s="1082"/>
      <c r="K43" s="1082"/>
      <c r="L43" s="1082"/>
      <c r="M43" s="1665"/>
      <c r="N43" s="1666"/>
      <c r="O43" s="1641"/>
      <c r="P43" s="1082"/>
      <c r="Q43" s="1082"/>
      <c r="R43" s="1082"/>
    </row>
    <row r="44" spans="1:18" ht="17.25" customHeight="1" thickBot="1">
      <c r="A44" s="1082"/>
      <c r="B44" s="1181"/>
      <c r="C44" s="1635" t="s">
        <v>222</v>
      </c>
      <c r="D44" s="1636"/>
      <c r="E44" s="1636"/>
      <c r="F44" s="1637"/>
      <c r="G44" s="1177">
        <v>2.6698203074440059</v>
      </c>
      <c r="H44" s="1075"/>
      <c r="I44" s="1082"/>
      <c r="J44" s="1082"/>
      <c r="K44" s="1082"/>
      <c r="L44" s="1082"/>
      <c r="M44" s="1638" t="s">
        <v>401</v>
      </c>
      <c r="N44" s="1639"/>
      <c r="O44" s="1142"/>
      <c r="P44" s="1082"/>
      <c r="Q44" s="1082"/>
      <c r="R44" s="1082"/>
    </row>
    <row r="45" spans="1:18" ht="17.25" customHeight="1" thickBot="1">
      <c r="A45" s="1082"/>
      <c r="B45" s="1181"/>
      <c r="C45" s="1635" t="s">
        <v>223</v>
      </c>
      <c r="D45" s="1636"/>
      <c r="E45" s="1636"/>
      <c r="F45" s="1637"/>
      <c r="G45" s="1182">
        <v>3.8399956961413602</v>
      </c>
      <c r="H45" s="1075"/>
      <c r="I45" s="1082"/>
      <c r="J45" s="1082"/>
      <c r="K45" s="1082"/>
      <c r="L45" s="1082"/>
      <c r="M45" s="1082"/>
      <c r="N45" s="1082"/>
      <c r="O45" s="1082"/>
      <c r="P45" s="1082"/>
      <c r="Q45" s="1082"/>
      <c r="R45" s="1082"/>
    </row>
    <row r="46" spans="1:18" ht="17.25" customHeight="1" thickBot="1">
      <c r="A46" s="1082"/>
      <c r="B46" s="1181"/>
      <c r="C46" s="1635" t="s">
        <v>402</v>
      </c>
      <c r="D46" s="1636"/>
      <c r="E46" s="1636"/>
      <c r="F46" s="1637"/>
      <c r="G46" s="1182">
        <v>0.60219434135132166</v>
      </c>
      <c r="H46" s="1075"/>
      <c r="I46" s="1082"/>
      <c r="J46" s="1082"/>
      <c r="K46" s="1082"/>
      <c r="L46" s="1082"/>
      <c r="M46" s="1082"/>
      <c r="N46" s="1082"/>
      <c r="O46" s="1082"/>
      <c r="P46" s="1082"/>
      <c r="Q46" s="1082"/>
      <c r="R46" s="1082"/>
    </row>
    <row r="47" spans="1:18" ht="17.25" customHeight="1" thickBot="1">
      <c r="A47" s="1082"/>
      <c r="B47" s="1181"/>
      <c r="C47" s="1635" t="s">
        <v>401</v>
      </c>
      <c r="D47" s="1636"/>
      <c r="E47" s="1636"/>
      <c r="F47" s="1637"/>
      <c r="G47" s="1179">
        <v>0.20885871506331286</v>
      </c>
      <c r="H47" s="1075"/>
      <c r="I47" s="1082"/>
      <c r="J47" s="1082"/>
      <c r="K47" s="1082"/>
      <c r="L47" s="1082"/>
      <c r="M47" s="1082"/>
      <c r="N47" s="1082"/>
      <c r="O47" s="1082"/>
      <c r="P47" s="1082"/>
      <c r="Q47" s="1082"/>
      <c r="R47" s="1082"/>
    </row>
    <row r="48" spans="1:18" ht="17.25" customHeight="1" thickBot="1">
      <c r="A48" s="1082"/>
      <c r="B48" s="1183"/>
      <c r="C48" s="1184" t="s">
        <v>606</v>
      </c>
      <c r="D48" s="1185"/>
      <c r="E48" s="1185"/>
      <c r="F48" s="1186"/>
      <c r="G48" s="1187">
        <f>SUM(G44:G47)</f>
        <v>7.3208690599999997</v>
      </c>
      <c r="H48" s="1075"/>
      <c r="I48" s="1082"/>
      <c r="J48" s="1082"/>
      <c r="K48" s="1082"/>
      <c r="L48" s="1082"/>
      <c r="M48" s="1082"/>
      <c r="N48" s="1082"/>
      <c r="O48" s="1082"/>
      <c r="P48" s="1082"/>
      <c r="Q48" s="1082"/>
      <c r="R48" s="1082"/>
    </row>
    <row r="49" spans="1:18" ht="15">
      <c r="A49" s="1188"/>
      <c r="B49" s="1188"/>
      <c r="C49" s="1188"/>
      <c r="D49" s="1188"/>
      <c r="E49" s="1188"/>
      <c r="F49" s="1188"/>
      <c r="G49" s="1169"/>
      <c r="H49" s="1189"/>
      <c r="I49" s="1190"/>
      <c r="J49" s="1190"/>
      <c r="K49" s="1190"/>
      <c r="L49" s="1191"/>
      <c r="M49" s="1083"/>
      <c r="N49" s="1083"/>
      <c r="O49" s="1083"/>
      <c r="P49" s="1083"/>
      <c r="Q49" s="1083"/>
      <c r="R49" s="1083"/>
    </row>
  </sheetData>
  <mergeCells count="50">
    <mergeCell ref="A9:C10"/>
    <mergeCell ref="M6:Q6"/>
    <mergeCell ref="E7:G7"/>
    <mergeCell ref="I7:K7"/>
    <mergeCell ref="M7:O8"/>
    <mergeCell ref="Q7:Q8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O42:O43"/>
    <mergeCell ref="A31:C31"/>
    <mergeCell ref="A32:C32"/>
    <mergeCell ref="A33:C33"/>
    <mergeCell ref="A34:C34"/>
    <mergeCell ref="E36:H37"/>
    <mergeCell ref="E38:H38"/>
    <mergeCell ref="E39:H39"/>
    <mergeCell ref="E40:H40"/>
    <mergeCell ref="C42:F43"/>
    <mergeCell ref="G42:G43"/>
    <mergeCell ref="M42:N43"/>
    <mergeCell ref="C44:F44"/>
    <mergeCell ref="M44:N44"/>
    <mergeCell ref="C45:F45"/>
    <mergeCell ref="C46:F46"/>
    <mergeCell ref="C47:F47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workbookViewId="0">
      <selection sqref="A1:XFD104857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40.140625" bestFit="1" customWidth="1"/>
    <col min="5" max="6" width="9" bestFit="1" customWidth="1"/>
  </cols>
  <sheetData>
    <row r="1" spans="1:14">
      <c r="A1" s="72" t="s">
        <v>526</v>
      </c>
      <c r="E1" s="73" t="s">
        <v>985</v>
      </c>
    </row>
    <row r="2" spans="1:14">
      <c r="A2" s="72"/>
    </row>
    <row r="3" spans="1:14">
      <c r="A3" s="72" t="s">
        <v>81</v>
      </c>
    </row>
    <row r="5" spans="1:14" ht="20.25">
      <c r="A5" s="1192" t="s">
        <v>607</v>
      </c>
      <c r="B5" s="1193"/>
      <c r="C5" s="1193"/>
      <c r="D5" s="1194"/>
      <c r="E5" s="1193"/>
      <c r="F5" s="1193"/>
      <c r="G5" s="1193"/>
      <c r="H5" s="1193"/>
      <c r="I5" s="1193"/>
      <c r="J5" s="1193"/>
      <c r="K5" s="1193"/>
      <c r="L5" s="1193"/>
      <c r="M5" s="1195"/>
      <c r="N5" s="1195"/>
    </row>
    <row r="6" spans="1:14" ht="21" thickBot="1">
      <c r="A6" s="1192"/>
      <c r="B6" s="1193"/>
      <c r="C6" s="1193"/>
      <c r="D6" s="1194"/>
      <c r="E6" s="1193"/>
      <c r="F6" s="1193"/>
      <c r="G6" s="1193"/>
      <c r="H6" s="1193"/>
      <c r="I6" s="1193"/>
      <c r="J6" s="1193"/>
      <c r="K6" s="1193"/>
      <c r="L6" s="1193"/>
      <c r="M6" s="1195"/>
      <c r="N6" s="1195"/>
    </row>
    <row r="7" spans="1:14" ht="18.75" thickBot="1">
      <c r="A7" s="1196"/>
      <c r="B7" s="1196"/>
      <c r="C7" s="1197" t="s">
        <v>1140</v>
      </c>
      <c r="D7" s="1198"/>
      <c r="E7" s="1198"/>
      <c r="F7" s="1198"/>
      <c r="G7" s="1198"/>
      <c r="H7" s="1198"/>
      <c r="I7" s="1198"/>
      <c r="J7" s="1198"/>
      <c r="K7" s="1198"/>
      <c r="L7" s="1199"/>
      <c r="M7" s="1196"/>
      <c r="N7" s="1196"/>
    </row>
    <row r="8" spans="1:14" ht="98.25" thickBot="1">
      <c r="A8" s="1196"/>
      <c r="B8" s="1196"/>
      <c r="C8" s="1764" t="s">
        <v>609</v>
      </c>
      <c r="D8" s="1765"/>
      <c r="E8" s="1200" t="s">
        <v>610</v>
      </c>
      <c r="F8" s="1201" t="s">
        <v>611</v>
      </c>
      <c r="G8" s="1201" t="s">
        <v>612</v>
      </c>
      <c r="H8" s="1200" t="s">
        <v>613</v>
      </c>
      <c r="I8" s="1201" t="s">
        <v>614</v>
      </c>
      <c r="J8" s="1202" t="s">
        <v>615</v>
      </c>
      <c r="K8" s="1203" t="s">
        <v>616</v>
      </c>
      <c r="L8" s="1204" t="s">
        <v>200</v>
      </c>
      <c r="M8" s="1196"/>
      <c r="N8" s="1196"/>
    </row>
    <row r="9" spans="1:14" ht="15.75" thickBot="1">
      <c r="A9" s="1196"/>
      <c r="B9" s="1196"/>
      <c r="C9" s="1768"/>
      <c r="D9" s="1769"/>
      <c r="E9" s="1205" t="s">
        <v>566</v>
      </c>
      <c r="F9" s="1206" t="s">
        <v>566</v>
      </c>
      <c r="G9" s="1206" t="s">
        <v>566</v>
      </c>
      <c r="H9" s="1205" t="s">
        <v>566</v>
      </c>
      <c r="I9" s="1206" t="s">
        <v>566</v>
      </c>
      <c r="J9" s="1206" t="s">
        <v>566</v>
      </c>
      <c r="K9" s="1207" t="s">
        <v>566</v>
      </c>
      <c r="L9" s="1208" t="s">
        <v>566</v>
      </c>
      <c r="M9" s="1196"/>
      <c r="N9" s="1196"/>
    </row>
    <row r="10" spans="1:14" ht="15">
      <c r="A10" s="1196"/>
      <c r="B10" s="1196"/>
      <c r="C10" s="1770" t="s">
        <v>617</v>
      </c>
      <c r="D10" s="1771"/>
      <c r="E10" s="1209"/>
      <c r="F10" s="1210"/>
      <c r="G10" s="1210"/>
      <c r="H10" s="1209"/>
      <c r="I10" s="1210"/>
      <c r="J10" s="1211"/>
      <c r="K10" s="1211"/>
      <c r="L10" s="1212">
        <f t="shared" ref="L10:L20" si="0">SUM(E10:K10)</f>
        <v>0</v>
      </c>
      <c r="M10" s="1196"/>
      <c r="N10" s="1196"/>
    </row>
    <row r="11" spans="1:14" ht="14.25">
      <c r="A11" s="1196"/>
      <c r="B11" s="1196"/>
      <c r="C11" s="1760" t="s">
        <v>243</v>
      </c>
      <c r="D11" s="1772"/>
      <c r="E11" s="1213">
        <v>49.1</v>
      </c>
      <c r="F11" s="1213">
        <v>0</v>
      </c>
      <c r="G11" s="1213">
        <v>0</v>
      </c>
      <c r="H11" s="1213">
        <v>10</v>
      </c>
      <c r="I11" s="1214"/>
      <c r="J11" s="1215"/>
      <c r="K11" s="1216"/>
      <c r="L11" s="1217">
        <f t="shared" si="0"/>
        <v>59.1</v>
      </c>
      <c r="M11" s="1196"/>
      <c r="N11" s="1196"/>
    </row>
    <row r="12" spans="1:14" ht="14.25">
      <c r="A12" s="1196"/>
      <c r="B12" s="1196"/>
      <c r="C12" s="1760" t="s">
        <v>247</v>
      </c>
      <c r="D12" s="1772"/>
      <c r="E12" s="1213">
        <v>24.91</v>
      </c>
      <c r="F12" s="1213">
        <v>0</v>
      </c>
      <c r="G12" s="1213">
        <v>0</v>
      </c>
      <c r="H12" s="1213">
        <v>7.25</v>
      </c>
      <c r="I12" s="1214"/>
      <c r="J12" s="1215"/>
      <c r="K12" s="1216"/>
      <c r="L12" s="1217">
        <f t="shared" si="0"/>
        <v>32.159999999999997</v>
      </c>
      <c r="M12" s="1196"/>
      <c r="N12" s="1196"/>
    </row>
    <row r="13" spans="1:14" ht="14.25">
      <c r="A13" s="1196"/>
      <c r="B13" s="1196"/>
      <c r="C13" s="1760" t="s">
        <v>249</v>
      </c>
      <c r="D13" s="1772"/>
      <c r="E13" s="1213">
        <v>0.44</v>
      </c>
      <c r="F13" s="1213">
        <v>0</v>
      </c>
      <c r="G13" s="1213">
        <v>0</v>
      </c>
      <c r="H13" s="1213">
        <v>0.2</v>
      </c>
      <c r="I13" s="1214"/>
      <c r="J13" s="1215"/>
      <c r="K13" s="1216"/>
      <c r="L13" s="1217">
        <f t="shared" si="0"/>
        <v>0.64</v>
      </c>
      <c r="M13" s="1196"/>
      <c r="N13" s="1196"/>
    </row>
    <row r="14" spans="1:14" ht="14.25">
      <c r="A14" s="1196"/>
      <c r="B14" s="1196"/>
      <c r="C14" s="1760" t="s">
        <v>251</v>
      </c>
      <c r="D14" s="1772"/>
      <c r="E14" s="1213">
        <v>0</v>
      </c>
      <c r="F14" s="1213">
        <v>0</v>
      </c>
      <c r="G14" s="1213">
        <v>0</v>
      </c>
      <c r="H14" s="1213">
        <v>0</v>
      </c>
      <c r="I14" s="1214"/>
      <c r="J14" s="1215"/>
      <c r="K14" s="1216"/>
      <c r="L14" s="1217">
        <f t="shared" si="0"/>
        <v>0</v>
      </c>
      <c r="M14" s="1196"/>
      <c r="N14" s="1196"/>
    </row>
    <row r="15" spans="1:14" ht="15">
      <c r="A15" s="1196"/>
      <c r="B15" s="1196"/>
      <c r="C15" s="1758" t="s">
        <v>618</v>
      </c>
      <c r="D15" s="1759"/>
      <c r="E15" s="1218"/>
      <c r="F15" s="1219"/>
      <c r="G15" s="1219"/>
      <c r="H15" s="1218"/>
      <c r="I15" s="1214"/>
      <c r="J15" s="1215"/>
      <c r="K15" s="1216"/>
      <c r="L15" s="1220">
        <f t="shared" si="0"/>
        <v>0</v>
      </c>
      <c r="M15" s="1196"/>
      <c r="N15" s="1196"/>
    </row>
    <row r="16" spans="1:14" ht="14.25">
      <c r="A16" s="1196"/>
      <c r="B16" s="1196"/>
      <c r="C16" s="1760" t="s">
        <v>345</v>
      </c>
      <c r="D16" s="1761"/>
      <c r="E16" s="1221"/>
      <c r="F16" s="1214"/>
      <c r="G16" s="1214"/>
      <c r="H16" s="1214"/>
      <c r="I16" s="1213">
        <v>1.3</v>
      </c>
      <c r="J16" s="1213">
        <v>0</v>
      </c>
      <c r="K16" s="1216"/>
      <c r="L16" s="1217">
        <f t="shared" si="0"/>
        <v>1.3</v>
      </c>
      <c r="M16" s="1196"/>
      <c r="N16" s="1196"/>
    </row>
    <row r="17" spans="1:14" ht="14.25">
      <c r="A17" s="1196"/>
      <c r="B17" s="1196"/>
      <c r="C17" s="1760" t="s">
        <v>346</v>
      </c>
      <c r="D17" s="1761"/>
      <c r="E17" s="1221"/>
      <c r="F17" s="1214"/>
      <c r="G17" s="1214"/>
      <c r="H17" s="1214"/>
      <c r="I17" s="1213">
        <v>3.9</v>
      </c>
      <c r="J17" s="1213">
        <v>0.8</v>
      </c>
      <c r="K17" s="1216"/>
      <c r="L17" s="1217">
        <f t="shared" si="0"/>
        <v>4.7</v>
      </c>
      <c r="M17" s="1196"/>
      <c r="N17" s="1196"/>
    </row>
    <row r="18" spans="1:14" ht="14.25">
      <c r="A18" s="1196"/>
      <c r="B18" s="1196"/>
      <c r="C18" s="1760" t="s">
        <v>347</v>
      </c>
      <c r="D18" s="1761"/>
      <c r="E18" s="1221"/>
      <c r="F18" s="1214"/>
      <c r="G18" s="1214"/>
      <c r="H18" s="1214"/>
      <c r="I18" s="1213">
        <v>3.2173750667821648</v>
      </c>
      <c r="J18" s="1213">
        <v>0.82835842627990319</v>
      </c>
      <c r="K18" s="1216"/>
      <c r="L18" s="1217">
        <f t="shared" si="0"/>
        <v>4.0457334930620679</v>
      </c>
      <c r="M18" s="1196"/>
      <c r="N18" s="1196"/>
    </row>
    <row r="19" spans="1:14" ht="14.25">
      <c r="A19" s="1196"/>
      <c r="B19" s="1196"/>
      <c r="C19" s="1760" t="s">
        <v>348</v>
      </c>
      <c r="D19" s="1761"/>
      <c r="E19" s="1221"/>
      <c r="F19" s="1214"/>
      <c r="G19" s="1214"/>
      <c r="H19" s="1214"/>
      <c r="I19" s="1213">
        <v>24.1</v>
      </c>
      <c r="J19" s="1213">
        <v>2.14</v>
      </c>
      <c r="K19" s="1216"/>
      <c r="L19" s="1217">
        <f t="shared" si="0"/>
        <v>26.240000000000002</v>
      </c>
      <c r="M19" s="1196"/>
      <c r="N19" s="1196"/>
    </row>
    <row r="20" spans="1:14" ht="15">
      <c r="A20" s="1196"/>
      <c r="B20" s="1196"/>
      <c r="C20" s="1758" t="s">
        <v>616</v>
      </c>
      <c r="D20" s="1759"/>
      <c r="E20" s="1222"/>
      <c r="F20" s="1223"/>
      <c r="G20" s="1223"/>
      <c r="H20" s="1223"/>
      <c r="I20" s="1223"/>
      <c r="J20" s="1216"/>
      <c r="K20" s="1213">
        <v>0</v>
      </c>
      <c r="L20" s="1217">
        <f t="shared" si="0"/>
        <v>0</v>
      </c>
      <c r="M20" s="1196"/>
      <c r="N20" s="1196"/>
    </row>
    <row r="21" spans="1:14" ht="15">
      <c r="A21" s="1196"/>
      <c r="B21" s="1196"/>
      <c r="C21" s="1758" t="s">
        <v>619</v>
      </c>
      <c r="D21" s="1759"/>
      <c r="E21" s="1224">
        <f>SUM(E11:E20)</f>
        <v>74.45</v>
      </c>
      <c r="F21" s="1224">
        <f t="shared" ref="F21:L21" si="1">SUM(F11:F20)</f>
        <v>0</v>
      </c>
      <c r="G21" s="1224">
        <f t="shared" si="1"/>
        <v>0</v>
      </c>
      <c r="H21" s="1224">
        <f t="shared" si="1"/>
        <v>17.45</v>
      </c>
      <c r="I21" s="1224">
        <f t="shared" si="1"/>
        <v>32.517375066782165</v>
      </c>
      <c r="J21" s="1224">
        <f t="shared" si="1"/>
        <v>3.7683584262799035</v>
      </c>
      <c r="K21" s="1225">
        <f t="shared" si="1"/>
        <v>0</v>
      </c>
      <c r="L21" s="1226">
        <f t="shared" si="1"/>
        <v>128.18573349306206</v>
      </c>
      <c r="M21" s="1227"/>
      <c r="N21" s="1196"/>
    </row>
    <row r="22" spans="1:14" ht="14.25">
      <c r="A22" s="1196"/>
      <c r="B22" s="1196"/>
      <c r="C22" s="1760" t="s">
        <v>620</v>
      </c>
      <c r="D22" s="1761"/>
      <c r="E22" s="1213">
        <v>0</v>
      </c>
      <c r="F22" s="1214"/>
      <c r="G22" s="1213">
        <v>0</v>
      </c>
      <c r="H22" s="1213">
        <v>0</v>
      </c>
      <c r="I22" s="1213">
        <v>0</v>
      </c>
      <c r="J22" s="1213">
        <v>0</v>
      </c>
      <c r="K22" s="1213">
        <v>0</v>
      </c>
      <c r="L22" s="1217">
        <f>SUM(E22:K22)</f>
        <v>0</v>
      </c>
      <c r="M22" s="1227"/>
      <c r="N22" s="1196"/>
    </row>
    <row r="23" spans="1:14" ht="15">
      <c r="A23" s="1196"/>
      <c r="B23" s="1196"/>
      <c r="C23" s="1758" t="s">
        <v>621</v>
      </c>
      <c r="D23" s="1759"/>
      <c r="E23" s="1224">
        <f t="shared" ref="E23:K23" si="2">SUM(E21:E22)</f>
        <v>74.45</v>
      </c>
      <c r="F23" s="1228">
        <f t="shared" si="2"/>
        <v>0</v>
      </c>
      <c r="G23" s="1228">
        <f t="shared" si="2"/>
        <v>0</v>
      </c>
      <c r="H23" s="1228">
        <f t="shared" si="2"/>
        <v>17.45</v>
      </c>
      <c r="I23" s="1228">
        <f t="shared" si="2"/>
        <v>32.517375066782165</v>
      </c>
      <c r="J23" s="1228">
        <f t="shared" si="2"/>
        <v>3.7683584262799035</v>
      </c>
      <c r="K23" s="1229">
        <f t="shared" si="2"/>
        <v>0</v>
      </c>
      <c r="L23" s="1226">
        <f>SUM(E23:K23)</f>
        <v>128.18573349306209</v>
      </c>
      <c r="M23" s="1230"/>
      <c r="N23" s="1196"/>
    </row>
    <row r="24" spans="1:14" ht="15.75" thickBot="1">
      <c r="A24" s="1196"/>
      <c r="B24" s="1196"/>
      <c r="C24" s="1762" t="s">
        <v>622</v>
      </c>
      <c r="D24" s="1763"/>
      <c r="E24" s="1213">
        <v>-81.8</v>
      </c>
      <c r="F24" s="1213">
        <v>0</v>
      </c>
      <c r="G24" s="1213">
        <v>0</v>
      </c>
      <c r="H24" s="1231"/>
      <c r="I24" s="1232"/>
      <c r="J24" s="1232"/>
      <c r="K24" s="1213">
        <v>0</v>
      </c>
      <c r="L24" s="1233">
        <f>SUM(E24:K24)</f>
        <v>-81.8</v>
      </c>
      <c r="M24" s="1234"/>
      <c r="N24" s="1196"/>
    </row>
    <row r="25" spans="1:14" ht="15.75" thickBot="1">
      <c r="A25" s="1196"/>
      <c r="B25" s="1196"/>
      <c r="C25" s="1645" t="s">
        <v>623</v>
      </c>
      <c r="D25" s="1661"/>
      <c r="E25" s="1235">
        <f t="shared" ref="E25:K25" si="3">SUM(E23:E24)</f>
        <v>-7.3499999999999943</v>
      </c>
      <c r="F25" s="1236">
        <f t="shared" si="3"/>
        <v>0</v>
      </c>
      <c r="G25" s="1236">
        <f t="shared" si="3"/>
        <v>0</v>
      </c>
      <c r="H25" s="1236">
        <f t="shared" si="3"/>
        <v>17.45</v>
      </c>
      <c r="I25" s="1236">
        <f t="shared" si="3"/>
        <v>32.517375066782165</v>
      </c>
      <c r="J25" s="1236">
        <f t="shared" si="3"/>
        <v>3.7683584262799035</v>
      </c>
      <c r="K25" s="1237">
        <f t="shared" si="3"/>
        <v>0</v>
      </c>
      <c r="L25" s="1238">
        <f>SUM(E25:K25)</f>
        <v>46.385733493062077</v>
      </c>
      <c r="M25" s="1230"/>
      <c r="N25" s="1196"/>
    </row>
    <row r="26" spans="1:14" ht="15.75" thickBot="1">
      <c r="A26" s="1196"/>
      <c r="B26" s="1196"/>
      <c r="C26" s="1188"/>
      <c r="D26" s="1188"/>
      <c r="E26" s="1239"/>
      <c r="F26" s="1239"/>
      <c r="G26" s="1240"/>
      <c r="H26" s="1241"/>
      <c r="I26" s="1196"/>
      <c r="J26" s="1196"/>
      <c r="K26" s="1196"/>
      <c r="L26" s="1196"/>
      <c r="M26" s="1196"/>
      <c r="N26" s="1196"/>
    </row>
    <row r="27" spans="1:14" ht="18.75" thickBot="1">
      <c r="A27" s="1196"/>
      <c r="B27" s="1196"/>
      <c r="C27" s="1242" t="s">
        <v>1141</v>
      </c>
      <c r="D27" s="1243"/>
      <c r="E27" s="1244"/>
      <c r="F27" s="1244"/>
      <c r="G27" s="1245"/>
      <c r="H27" s="1196"/>
      <c r="I27" s="1196"/>
      <c r="J27" s="1196"/>
      <c r="K27" s="1196"/>
      <c r="L27" s="1246"/>
      <c r="M27" s="1196"/>
      <c r="N27" s="1196"/>
    </row>
    <row r="28" spans="1:14" ht="15.75" thickBot="1">
      <c r="A28" s="1196"/>
      <c r="B28" s="1196"/>
      <c r="C28" s="1764" t="s">
        <v>609</v>
      </c>
      <c r="D28" s="1765"/>
      <c r="E28" s="1754" t="s">
        <v>624</v>
      </c>
      <c r="F28" s="1755"/>
      <c r="G28" s="1247"/>
      <c r="H28" s="1196"/>
      <c r="I28" s="1196"/>
      <c r="J28" s="1196"/>
      <c r="K28" s="1196"/>
      <c r="L28" s="1246"/>
      <c r="M28" s="1196"/>
      <c r="N28" s="1196"/>
    </row>
    <row r="29" spans="1:14" ht="45.75" thickBot="1">
      <c r="A29" s="1196"/>
      <c r="B29" s="1196"/>
      <c r="C29" s="1766"/>
      <c r="D29" s="1767"/>
      <c r="E29" s="1248" t="s">
        <v>625</v>
      </c>
      <c r="F29" s="1248" t="s">
        <v>626</v>
      </c>
      <c r="G29" s="1249" t="s">
        <v>627</v>
      </c>
      <c r="H29" s="1196"/>
      <c r="I29" s="1196"/>
      <c r="J29" s="1196"/>
      <c r="K29" s="1196"/>
      <c r="L29" s="1246"/>
      <c r="M29" s="1196"/>
      <c r="N29" s="1196"/>
    </row>
    <row r="30" spans="1:14" ht="15.75" thickBot="1">
      <c r="A30" s="1196"/>
      <c r="B30" s="1196"/>
      <c r="C30" s="1768"/>
      <c r="D30" s="1769"/>
      <c r="E30" s="1250" t="s">
        <v>566</v>
      </c>
      <c r="F30" s="1250" t="s">
        <v>566</v>
      </c>
      <c r="G30" s="1250" t="s">
        <v>566</v>
      </c>
      <c r="H30" s="1196"/>
      <c r="I30" s="1196"/>
      <c r="J30" s="1196"/>
      <c r="K30" s="1196"/>
      <c r="L30" s="1246"/>
      <c r="M30" s="1196"/>
      <c r="N30" s="1196"/>
    </row>
    <row r="31" spans="1:14" ht="15">
      <c r="A31" s="1196"/>
      <c r="B31" s="1196"/>
      <c r="C31" s="1756" t="s">
        <v>422</v>
      </c>
      <c r="D31" s="1251" t="s">
        <v>423</v>
      </c>
      <c r="E31" s="1213">
        <v>1.1213124016896909</v>
      </c>
      <c r="F31" s="1252">
        <v>1.0171234508950289E-2</v>
      </c>
      <c r="G31" s="1253">
        <f t="shared" ref="G31:G58" si="4">SUM(E31:F31)</f>
        <v>1.1314836361986411</v>
      </c>
      <c r="H31" s="1196"/>
      <c r="I31" s="1196"/>
      <c r="J31" s="1196"/>
      <c r="K31" s="1196"/>
      <c r="L31" s="1246"/>
      <c r="M31" s="1196"/>
      <c r="N31" s="1196"/>
    </row>
    <row r="32" spans="1:14" ht="15.75" thickBot="1">
      <c r="A32" s="1196"/>
      <c r="B32" s="1196"/>
      <c r="C32" s="1757"/>
      <c r="D32" s="1254" t="s">
        <v>424</v>
      </c>
      <c r="E32" s="1255">
        <v>3.5</v>
      </c>
      <c r="F32" s="1255">
        <v>0.1</v>
      </c>
      <c r="G32" s="1256">
        <f t="shared" si="4"/>
        <v>3.6</v>
      </c>
      <c r="H32" s="1196"/>
      <c r="I32" s="1196"/>
      <c r="J32" s="1196"/>
      <c r="K32" s="1196"/>
      <c r="L32" s="1246"/>
      <c r="M32" s="1196"/>
      <c r="N32" s="1196"/>
    </row>
    <row r="33" spans="1:14" ht="15">
      <c r="A33" s="1196"/>
      <c r="B33" s="1196"/>
      <c r="C33" s="1756" t="s">
        <v>425</v>
      </c>
      <c r="D33" s="1251" t="s">
        <v>423</v>
      </c>
      <c r="E33" s="1252">
        <v>0</v>
      </c>
      <c r="F33" s="1252">
        <v>0</v>
      </c>
      <c r="G33" s="1253">
        <f t="shared" si="4"/>
        <v>0</v>
      </c>
      <c r="H33" s="1196"/>
      <c r="I33" s="1196"/>
      <c r="J33" s="1196"/>
      <c r="K33" s="1196"/>
      <c r="L33" s="1246"/>
      <c r="M33" s="1196"/>
      <c r="N33" s="1196"/>
    </row>
    <row r="34" spans="1:14" ht="15.75" thickBot="1">
      <c r="A34" s="1196"/>
      <c r="B34" s="1196"/>
      <c r="C34" s="1757"/>
      <c r="D34" s="1254" t="s">
        <v>424</v>
      </c>
      <c r="E34" s="1255">
        <v>0</v>
      </c>
      <c r="F34" s="1255">
        <v>0</v>
      </c>
      <c r="G34" s="1256">
        <f t="shared" si="4"/>
        <v>0</v>
      </c>
      <c r="H34" s="1196"/>
      <c r="I34" s="1196"/>
      <c r="J34" s="1196"/>
      <c r="K34" s="1196"/>
      <c r="L34" s="1246"/>
      <c r="M34" s="1196"/>
      <c r="N34" s="1196"/>
    </row>
    <row r="35" spans="1:14" ht="15">
      <c r="A35" s="1196"/>
      <c r="B35" s="1196"/>
      <c r="C35" s="1747" t="s">
        <v>345</v>
      </c>
      <c r="D35" s="1251" t="s">
        <v>588</v>
      </c>
      <c r="E35" s="1252">
        <v>0.83168933444578297</v>
      </c>
      <c r="F35" s="1252">
        <v>7.9609978999791425E-3</v>
      </c>
      <c r="G35" s="1253">
        <f t="shared" si="4"/>
        <v>0.83965033234576214</v>
      </c>
      <c r="H35" s="1196"/>
      <c r="I35" s="1196"/>
      <c r="J35" s="1196"/>
      <c r="K35" s="1196"/>
      <c r="L35" s="1246"/>
      <c r="M35" s="1196"/>
      <c r="N35" s="1196"/>
    </row>
    <row r="36" spans="1:14" ht="15">
      <c r="A36" s="1196"/>
      <c r="B36" s="1196"/>
      <c r="C36" s="1748"/>
      <c r="D36" s="1257" t="s">
        <v>628</v>
      </c>
      <c r="E36" s="1258">
        <v>3.9067448152387647</v>
      </c>
      <c r="F36" s="1258">
        <v>0.10147681851144906</v>
      </c>
      <c r="G36" s="1217">
        <f t="shared" si="4"/>
        <v>4.0082216337502139</v>
      </c>
      <c r="H36" s="1196"/>
      <c r="I36" s="1196"/>
      <c r="J36" s="1196"/>
      <c r="K36" s="1196"/>
      <c r="L36" s="1246"/>
      <c r="M36" s="1196"/>
      <c r="N36" s="1196"/>
    </row>
    <row r="37" spans="1:14" ht="15.75" thickBot="1">
      <c r="A37" s="1196"/>
      <c r="B37" s="1196"/>
      <c r="C37" s="1749"/>
      <c r="D37" s="1259" t="s">
        <v>428</v>
      </c>
      <c r="E37" s="1260">
        <v>0.44802067462397693</v>
      </c>
      <c r="F37" s="1260">
        <v>0.8448052869692545</v>
      </c>
      <c r="G37" s="1256">
        <f t="shared" si="4"/>
        <v>1.2928259615932314</v>
      </c>
      <c r="H37" s="1196"/>
      <c r="I37" s="1196"/>
      <c r="J37" s="1196"/>
      <c r="K37" s="1196"/>
      <c r="L37" s="1246"/>
      <c r="M37" s="1196"/>
      <c r="N37" s="1196"/>
    </row>
    <row r="38" spans="1:14" ht="15">
      <c r="A38" s="1196"/>
      <c r="B38" s="1196"/>
      <c r="C38" s="1747" t="s">
        <v>223</v>
      </c>
      <c r="D38" s="1251" t="s">
        <v>429</v>
      </c>
      <c r="E38" s="1261">
        <v>2.8</v>
      </c>
      <c r="F38" s="1261">
        <v>0.1</v>
      </c>
      <c r="G38" s="1253">
        <f t="shared" si="4"/>
        <v>2.9</v>
      </c>
      <c r="H38" s="1196"/>
      <c r="I38" s="1196"/>
      <c r="J38" s="1196"/>
      <c r="K38" s="1196"/>
      <c r="L38" s="1246"/>
      <c r="M38" s="1196"/>
      <c r="N38" s="1196"/>
    </row>
    <row r="39" spans="1:14" ht="15">
      <c r="A39" s="1196"/>
      <c r="B39" s="1196"/>
      <c r="C39" s="1748"/>
      <c r="D39" s="1257" t="s">
        <v>592</v>
      </c>
      <c r="E39" s="1258">
        <v>3.1075738096423557</v>
      </c>
      <c r="F39" s="1258">
        <v>2.0378510399683657E-2</v>
      </c>
      <c r="G39" s="1217">
        <f t="shared" si="4"/>
        <v>3.1279523200420396</v>
      </c>
      <c r="H39" s="1196"/>
      <c r="I39" s="1196"/>
      <c r="J39" s="1196"/>
      <c r="K39" s="1196"/>
      <c r="L39" s="1246"/>
      <c r="M39" s="1196"/>
      <c r="N39" s="1196"/>
    </row>
    <row r="40" spans="1:14" ht="15">
      <c r="A40" s="1196"/>
      <c r="B40" s="1196"/>
      <c r="C40" s="1748"/>
      <c r="D40" s="1262" t="s">
        <v>430</v>
      </c>
      <c r="E40" s="1258">
        <v>0</v>
      </c>
      <c r="F40" s="1258">
        <v>0</v>
      </c>
      <c r="G40" s="1217">
        <f t="shared" si="4"/>
        <v>0</v>
      </c>
      <c r="H40" s="1196"/>
      <c r="I40" s="1196"/>
      <c r="J40" s="1196"/>
      <c r="K40" s="1196"/>
      <c r="L40" s="1246"/>
      <c r="M40" s="1196"/>
      <c r="N40" s="1196"/>
    </row>
    <row r="41" spans="1:14" ht="15">
      <c r="A41" s="1196"/>
      <c r="B41" s="1196"/>
      <c r="C41" s="1748"/>
      <c r="D41" s="1262" t="s">
        <v>428</v>
      </c>
      <c r="E41" s="1258">
        <v>5.612711767166652</v>
      </c>
      <c r="F41" s="1258">
        <v>1.0011134157441124</v>
      </c>
      <c r="G41" s="1217">
        <f t="shared" si="4"/>
        <v>6.6138251829107642</v>
      </c>
      <c r="H41" s="1196"/>
      <c r="I41" s="1196"/>
      <c r="J41" s="1196"/>
      <c r="K41" s="1196"/>
      <c r="L41" s="1246"/>
      <c r="M41" s="1196"/>
      <c r="N41" s="1196"/>
    </row>
    <row r="42" spans="1:14" ht="15">
      <c r="A42" s="1196"/>
      <c r="B42" s="1196"/>
      <c r="C42" s="1748"/>
      <c r="D42" s="1257" t="s">
        <v>431</v>
      </c>
      <c r="E42" s="1263">
        <v>0.53103437507471163</v>
      </c>
      <c r="F42" s="1263">
        <v>0.70512111305901981</v>
      </c>
      <c r="G42" s="1217">
        <f t="shared" si="4"/>
        <v>1.2361554881337313</v>
      </c>
      <c r="H42" s="1196"/>
      <c r="I42" s="1196"/>
      <c r="J42" s="1196"/>
      <c r="K42" s="1196"/>
      <c r="L42" s="1246"/>
      <c r="M42" s="1196"/>
      <c r="N42" s="1196"/>
    </row>
    <row r="43" spans="1:14" ht="15.75" thickBot="1">
      <c r="A43" s="1196"/>
      <c r="B43" s="1196"/>
      <c r="C43" s="1749"/>
      <c r="D43" s="1254" t="s">
        <v>432</v>
      </c>
      <c r="E43" s="1263">
        <v>1.9</v>
      </c>
      <c r="F43" s="1263">
        <v>0.4</v>
      </c>
      <c r="G43" s="1256">
        <f t="shared" si="4"/>
        <v>2.2999999999999998</v>
      </c>
      <c r="H43" s="1196"/>
      <c r="I43" s="1196"/>
      <c r="J43" s="1196"/>
      <c r="K43" s="1196"/>
      <c r="L43" s="1246"/>
      <c r="M43" s="1196"/>
      <c r="N43" s="1196"/>
    </row>
    <row r="44" spans="1:14" ht="15">
      <c r="A44" s="1196"/>
      <c r="B44" s="1196"/>
      <c r="C44" s="1747" t="s">
        <v>402</v>
      </c>
      <c r="D44" s="1251" t="s">
        <v>429</v>
      </c>
      <c r="E44" s="1252">
        <v>1.0243794927017467</v>
      </c>
      <c r="F44" s="1252">
        <v>0</v>
      </c>
      <c r="G44" s="1253">
        <f t="shared" si="4"/>
        <v>1.0243794927017467</v>
      </c>
      <c r="H44" s="1196"/>
      <c r="I44" s="1196"/>
      <c r="J44" s="1196"/>
      <c r="K44" s="1196"/>
      <c r="L44" s="1246"/>
      <c r="M44" s="1196"/>
      <c r="N44" s="1196"/>
    </row>
    <row r="45" spans="1:14" ht="15">
      <c r="A45" s="1196"/>
      <c r="B45" s="1196"/>
      <c r="C45" s="1748"/>
      <c r="D45" s="1257" t="s">
        <v>592</v>
      </c>
      <c r="E45" s="1261">
        <v>1.927075053930345</v>
      </c>
      <c r="F45" s="1261">
        <v>2.1754858762321388E-2</v>
      </c>
      <c r="G45" s="1217">
        <f t="shared" si="4"/>
        <v>1.9488299126926663</v>
      </c>
      <c r="H45" s="1196"/>
      <c r="I45" s="1196"/>
      <c r="J45" s="1196"/>
      <c r="K45" s="1196"/>
      <c r="L45" s="1246"/>
      <c r="M45" s="1196"/>
      <c r="N45" s="1196"/>
    </row>
    <row r="46" spans="1:14" ht="15">
      <c r="A46" s="1196"/>
      <c r="B46" s="1196"/>
      <c r="C46" s="1748"/>
      <c r="D46" s="1257" t="s">
        <v>430</v>
      </c>
      <c r="E46" s="1258">
        <v>0</v>
      </c>
      <c r="F46" s="1258">
        <v>0</v>
      </c>
      <c r="G46" s="1217">
        <f t="shared" si="4"/>
        <v>0</v>
      </c>
      <c r="H46" s="1196"/>
      <c r="I46" s="1196"/>
      <c r="J46" s="1196"/>
      <c r="K46" s="1196"/>
      <c r="L46" s="1246"/>
      <c r="M46" s="1196"/>
      <c r="N46" s="1196"/>
    </row>
    <row r="47" spans="1:14" ht="15">
      <c r="A47" s="1196"/>
      <c r="B47" s="1196"/>
      <c r="C47" s="1748"/>
      <c r="D47" s="1257" t="s">
        <v>428</v>
      </c>
      <c r="E47" s="1258">
        <v>1.1254418351098032</v>
      </c>
      <c r="F47" s="1258">
        <v>0.1</v>
      </c>
      <c r="G47" s="1217">
        <f t="shared" si="4"/>
        <v>1.2254418351098033</v>
      </c>
      <c r="H47" s="1196"/>
      <c r="I47" s="1196"/>
      <c r="J47" s="1196"/>
      <c r="K47" s="1196"/>
      <c r="L47" s="1246"/>
      <c r="M47" s="1196"/>
      <c r="N47" s="1196"/>
    </row>
    <row r="48" spans="1:14" ht="15">
      <c r="A48" s="1196"/>
      <c r="B48" s="1196"/>
      <c r="C48" s="1748"/>
      <c r="D48" s="1257" t="s">
        <v>431</v>
      </c>
      <c r="E48" s="1263">
        <v>0.2</v>
      </c>
      <c r="F48" s="1263">
        <v>0.3</v>
      </c>
      <c r="G48" s="1217">
        <f t="shared" si="4"/>
        <v>0.5</v>
      </c>
      <c r="H48" s="1196"/>
      <c r="I48" s="1196"/>
      <c r="J48" s="1196"/>
      <c r="K48" s="1196"/>
      <c r="L48" s="1246"/>
      <c r="M48" s="1196"/>
      <c r="N48" s="1196"/>
    </row>
    <row r="49" spans="1:14" ht="15.75" thickBot="1">
      <c r="A49" s="1196"/>
      <c r="B49" s="1196"/>
      <c r="C49" s="1749"/>
      <c r="D49" s="1264" t="s">
        <v>432</v>
      </c>
      <c r="E49" s="1260">
        <v>1.0400698027565143</v>
      </c>
      <c r="F49" s="1260">
        <v>1.1384128074684282E-2</v>
      </c>
      <c r="G49" s="1256">
        <f t="shared" si="4"/>
        <v>1.0514539308311985</v>
      </c>
      <c r="H49" s="1196"/>
      <c r="I49" s="1196"/>
      <c r="J49" s="1196"/>
      <c r="K49" s="1196"/>
      <c r="L49" s="1246"/>
      <c r="M49" s="1196"/>
      <c r="N49" s="1196"/>
    </row>
    <row r="50" spans="1:14" ht="15">
      <c r="A50" s="1196"/>
      <c r="B50" s="1196"/>
      <c r="C50" s="1747" t="s">
        <v>401</v>
      </c>
      <c r="D50" s="1265" t="s">
        <v>429</v>
      </c>
      <c r="E50" s="1261">
        <v>7.8472133596123301</v>
      </c>
      <c r="F50" s="1261">
        <v>0</v>
      </c>
      <c r="G50" s="1253">
        <f t="shared" si="4"/>
        <v>7.8472133596123301</v>
      </c>
      <c r="H50" s="1196"/>
      <c r="I50" s="1196"/>
      <c r="J50" s="1196"/>
      <c r="K50" s="1196"/>
      <c r="L50" s="1246"/>
      <c r="M50" s="1196"/>
      <c r="N50" s="1196"/>
    </row>
    <row r="51" spans="1:14" ht="15">
      <c r="A51" s="1196"/>
      <c r="B51" s="1196"/>
      <c r="C51" s="1748"/>
      <c r="D51" s="1257" t="s">
        <v>592</v>
      </c>
      <c r="E51" s="1258">
        <v>3.8898690278038127E-2</v>
      </c>
      <c r="F51" s="1258">
        <v>0</v>
      </c>
      <c r="G51" s="1217">
        <f t="shared" si="4"/>
        <v>3.8898690278038127E-2</v>
      </c>
      <c r="H51" s="1196"/>
      <c r="I51" s="1196"/>
      <c r="J51" s="1196"/>
      <c r="K51" s="1196"/>
      <c r="L51" s="1246"/>
      <c r="M51" s="1196"/>
      <c r="N51" s="1196"/>
    </row>
    <row r="52" spans="1:14" ht="15">
      <c r="A52" s="1196"/>
      <c r="B52" s="1196"/>
      <c r="C52" s="1748"/>
      <c r="D52" s="1266" t="s">
        <v>629</v>
      </c>
      <c r="E52" s="1258">
        <v>0</v>
      </c>
      <c r="F52" s="1258">
        <v>0</v>
      </c>
      <c r="G52" s="1217">
        <f t="shared" si="4"/>
        <v>0</v>
      </c>
      <c r="H52" s="1196"/>
      <c r="I52" s="1196"/>
      <c r="J52" s="1196"/>
      <c r="K52" s="1196"/>
      <c r="L52" s="1246"/>
      <c r="M52" s="1196"/>
      <c r="N52" s="1196"/>
    </row>
    <row r="53" spans="1:14" ht="15">
      <c r="A53" s="1196"/>
      <c r="B53" s="1196"/>
      <c r="C53" s="1748"/>
      <c r="D53" s="1266" t="s">
        <v>428</v>
      </c>
      <c r="E53" s="1258">
        <v>0.2</v>
      </c>
      <c r="F53" s="1258">
        <v>0</v>
      </c>
      <c r="G53" s="1217">
        <f t="shared" si="4"/>
        <v>0.2</v>
      </c>
      <c r="H53" s="1196"/>
      <c r="I53" s="1196"/>
      <c r="J53" s="1196"/>
      <c r="K53" s="1196"/>
      <c r="L53" s="1246"/>
      <c r="M53" s="1196"/>
      <c r="N53" s="1196"/>
    </row>
    <row r="54" spans="1:14" ht="15">
      <c r="A54" s="1196"/>
      <c r="B54" s="1196"/>
      <c r="C54" s="1748"/>
      <c r="D54" s="1266" t="s">
        <v>431</v>
      </c>
      <c r="E54" s="1258">
        <v>4.6738919770647272E-2</v>
      </c>
      <c r="F54" s="1258">
        <v>0</v>
      </c>
      <c r="G54" s="1217">
        <f t="shared" si="4"/>
        <v>4.6738919770647272E-2</v>
      </c>
      <c r="H54" s="1196"/>
      <c r="I54" s="1196"/>
      <c r="J54" s="1196"/>
      <c r="K54" s="1196"/>
      <c r="L54" s="1246"/>
      <c r="M54" s="1196"/>
      <c r="N54" s="1196"/>
    </row>
    <row r="55" spans="1:14" ht="15.75" thickBot="1">
      <c r="A55" s="1196"/>
      <c r="B55" s="1196"/>
      <c r="C55" s="1749"/>
      <c r="D55" s="1264" t="s">
        <v>432</v>
      </c>
      <c r="E55" s="1260">
        <v>2.7136963328324701E-2</v>
      </c>
      <c r="F55" s="1260">
        <v>3.935454194238814E-3</v>
      </c>
      <c r="G55" s="1217">
        <f t="shared" si="4"/>
        <v>3.1072417522563515E-2</v>
      </c>
      <c r="H55" s="1196"/>
      <c r="I55" s="1196"/>
      <c r="J55" s="1196"/>
      <c r="K55" s="1196"/>
      <c r="L55" s="1246"/>
      <c r="M55" s="1196"/>
      <c r="N55" s="1196"/>
    </row>
    <row r="56" spans="1:14" ht="15.75" thickBot="1">
      <c r="A56" s="1196"/>
      <c r="B56" s="1196"/>
      <c r="C56" s="1733" t="s">
        <v>630</v>
      </c>
      <c r="D56" s="1750"/>
      <c r="E56" s="1267">
        <f>SUM(E31:E55)</f>
        <v>37.236041295369688</v>
      </c>
      <c r="F56" s="1267">
        <f>SUM(F31:F55)</f>
        <v>3.7281018181236933</v>
      </c>
      <c r="G56" s="1267">
        <f t="shared" si="4"/>
        <v>40.964143113493378</v>
      </c>
      <c r="H56" s="1234"/>
      <c r="I56" s="1196"/>
      <c r="J56" s="1196"/>
      <c r="K56" s="1196"/>
      <c r="L56" s="1196"/>
      <c r="M56" s="1246"/>
      <c r="N56" s="1196"/>
    </row>
    <row r="57" spans="1:14" ht="15.75" thickBot="1">
      <c r="A57" s="1196"/>
      <c r="B57" s="1196"/>
      <c r="C57" s="1733" t="s">
        <v>622</v>
      </c>
      <c r="D57" s="1750"/>
      <c r="E57" s="1258">
        <v>0</v>
      </c>
      <c r="F57" s="1258">
        <v>0</v>
      </c>
      <c r="G57" s="1217">
        <f t="shared" si="4"/>
        <v>0</v>
      </c>
      <c r="H57" s="1234"/>
      <c r="I57" s="1234"/>
      <c r="J57" s="1234"/>
      <c r="K57" s="1196"/>
      <c r="L57" s="1196"/>
      <c r="M57" s="1246"/>
      <c r="N57" s="1196"/>
    </row>
    <row r="58" spans="1:14" ht="15.75" thickBot="1">
      <c r="A58" s="1196"/>
      <c r="B58" s="1196"/>
      <c r="C58" s="1733" t="s">
        <v>631</v>
      </c>
      <c r="D58" s="1750"/>
      <c r="E58" s="1267">
        <f>SUM(E56:E57)</f>
        <v>37.236041295369688</v>
      </c>
      <c r="F58" s="1267">
        <f>SUM(F56:F57)</f>
        <v>3.7281018181236933</v>
      </c>
      <c r="G58" s="1267">
        <f t="shared" si="4"/>
        <v>40.964143113493378</v>
      </c>
      <c r="H58" s="1196"/>
      <c r="I58" s="1196"/>
      <c r="J58" s="1196"/>
      <c r="K58" s="1196"/>
      <c r="L58" s="1246"/>
      <c r="M58" s="1196"/>
      <c r="N58" s="1196"/>
    </row>
    <row r="59" spans="1:14" ht="13.5" thickBot="1">
      <c r="A59" s="1268"/>
      <c r="B59" s="1268"/>
      <c r="C59" s="1268"/>
      <c r="D59" s="1268"/>
      <c r="E59" s="1268"/>
      <c r="F59" s="1268"/>
      <c r="G59" s="1268"/>
      <c r="H59" s="1268"/>
      <c r="I59" s="1268"/>
      <c r="J59" s="1268"/>
      <c r="K59" s="1268"/>
      <c r="L59" s="1268"/>
      <c r="M59" s="1268"/>
      <c r="N59" s="1268"/>
    </row>
    <row r="60" spans="1:14" ht="15.75" thickBot="1">
      <c r="A60" s="1196"/>
      <c r="B60" s="1196"/>
      <c r="C60" s="1269" t="s">
        <v>632</v>
      </c>
      <c r="D60" s="1270"/>
      <c r="E60" s="1271" t="s">
        <v>222</v>
      </c>
      <c r="F60" s="1271" t="s">
        <v>223</v>
      </c>
      <c r="G60" s="1271" t="s">
        <v>402</v>
      </c>
      <c r="H60" s="1271" t="s">
        <v>401</v>
      </c>
      <c r="I60" s="1271" t="s">
        <v>200</v>
      </c>
      <c r="J60" s="1196"/>
      <c r="K60" s="1196"/>
      <c r="L60" s="1196"/>
      <c r="M60" s="1246"/>
      <c r="N60" s="1196"/>
    </row>
    <row r="61" spans="1:14" ht="18.75" thickBot="1">
      <c r="A61" s="1196"/>
      <c r="B61" s="1196"/>
      <c r="C61" s="1751" t="s">
        <v>609</v>
      </c>
      <c r="D61" s="1752"/>
      <c r="E61" s="1250" t="s">
        <v>566</v>
      </c>
      <c r="F61" s="1250" t="s">
        <v>566</v>
      </c>
      <c r="G61" s="1250" t="s">
        <v>566</v>
      </c>
      <c r="H61" s="1250" t="s">
        <v>566</v>
      </c>
      <c r="I61" s="1250" t="s">
        <v>566</v>
      </c>
      <c r="J61" s="1196"/>
      <c r="K61" s="1196"/>
      <c r="L61" s="1196"/>
      <c r="M61" s="1196"/>
      <c r="N61" s="1246"/>
    </row>
    <row r="62" spans="1:14" ht="15">
      <c r="A62" s="1196"/>
      <c r="B62" s="1196"/>
      <c r="C62" s="1745" t="s">
        <v>633</v>
      </c>
      <c r="D62" s="1753"/>
      <c r="E62" s="1261">
        <v>0.78154528992298744</v>
      </c>
      <c r="F62" s="1261">
        <v>7.0200429885700197</v>
      </c>
      <c r="G62" s="1261">
        <v>0</v>
      </c>
      <c r="H62" s="1261">
        <v>0</v>
      </c>
      <c r="I62" s="1272">
        <f>SUM(E62:H62)</f>
        <v>7.8015882784930071</v>
      </c>
      <c r="J62" s="1196"/>
      <c r="K62" s="1196"/>
      <c r="L62" s="1196"/>
      <c r="M62" s="1196"/>
      <c r="N62" s="1246"/>
    </row>
    <row r="63" spans="1:14" ht="15">
      <c r="A63" s="1196"/>
      <c r="B63" s="1196"/>
      <c r="C63" s="1729" t="s">
        <v>634</v>
      </c>
      <c r="D63" s="1735"/>
      <c r="E63" s="1258">
        <v>0.17370324919855229</v>
      </c>
      <c r="F63" s="1258">
        <v>0.35464789533482799</v>
      </c>
      <c r="G63" s="1258">
        <v>0.10272204271495809</v>
      </c>
      <c r="H63" s="1258">
        <v>0.1197787213940734</v>
      </c>
      <c r="I63" s="1226">
        <f t="shared" ref="I63:I70" si="5">SUM(E63:H63)</f>
        <v>0.7508519086424118</v>
      </c>
      <c r="J63" s="1196"/>
      <c r="K63" s="1196"/>
      <c r="L63" s="1196"/>
      <c r="M63" s="1196"/>
      <c r="N63" s="1246"/>
    </row>
    <row r="64" spans="1:14" ht="15">
      <c r="A64" s="1196"/>
      <c r="B64" s="1196"/>
      <c r="C64" s="1729" t="s">
        <v>635</v>
      </c>
      <c r="D64" s="1735"/>
      <c r="E64" s="1258">
        <v>0</v>
      </c>
      <c r="F64" s="1258">
        <v>0</v>
      </c>
      <c r="G64" s="1258">
        <v>0.11286464185897649</v>
      </c>
      <c r="H64" s="1258">
        <v>0</v>
      </c>
      <c r="I64" s="1226">
        <f t="shared" si="5"/>
        <v>0.11286464185897649</v>
      </c>
      <c r="J64" s="1196"/>
      <c r="K64" s="1196"/>
      <c r="L64" s="1196"/>
      <c r="M64" s="1196"/>
      <c r="N64" s="1246"/>
    </row>
    <row r="65" spans="1:14" ht="15">
      <c r="A65" s="1196"/>
      <c r="B65" s="1196"/>
      <c r="C65" s="1729" t="s">
        <v>636</v>
      </c>
      <c r="D65" s="1735"/>
      <c r="E65" s="1258">
        <v>2.4138485563832291E-2</v>
      </c>
      <c r="F65" s="1258">
        <v>1.3113855472286782E-3</v>
      </c>
      <c r="G65" s="1258">
        <v>0</v>
      </c>
      <c r="H65" s="1258">
        <v>0</v>
      </c>
      <c r="I65" s="1226">
        <f t="shared" si="5"/>
        <v>2.5449871111060968E-2</v>
      </c>
      <c r="J65" s="1196"/>
      <c r="K65" s="1196"/>
      <c r="L65" s="1196"/>
      <c r="M65" s="1196"/>
      <c r="N65" s="1246"/>
    </row>
    <row r="66" spans="1:14" ht="15">
      <c r="A66" s="1196"/>
      <c r="B66" s="1196"/>
      <c r="C66" s="1729" t="s">
        <v>465</v>
      </c>
      <c r="D66" s="1735"/>
      <c r="E66" s="1258">
        <v>0.11120728744961361</v>
      </c>
      <c r="F66" s="1258">
        <v>0.29512880668171876</v>
      </c>
      <c r="G66" s="1258">
        <v>0</v>
      </c>
      <c r="H66" s="1258">
        <v>0</v>
      </c>
      <c r="I66" s="1226">
        <f t="shared" si="5"/>
        <v>0.40633609413133237</v>
      </c>
      <c r="J66" s="1196"/>
      <c r="K66" s="1196"/>
      <c r="L66" s="1196"/>
      <c r="M66" s="1196"/>
      <c r="N66" s="1246"/>
    </row>
    <row r="67" spans="1:14" ht="15">
      <c r="A67" s="1196"/>
      <c r="B67" s="1196"/>
      <c r="C67" s="1729" t="s">
        <v>637</v>
      </c>
      <c r="D67" s="1735"/>
      <c r="E67" s="1258">
        <v>0</v>
      </c>
      <c r="F67" s="1258">
        <v>1.8356852588707312E-2</v>
      </c>
      <c r="G67" s="1258">
        <v>0</v>
      </c>
      <c r="H67" s="1258">
        <v>0</v>
      </c>
      <c r="I67" s="1226">
        <f t="shared" si="5"/>
        <v>1.8356852588707312E-2</v>
      </c>
      <c r="J67" s="1196"/>
      <c r="K67" s="1196"/>
      <c r="L67" s="1196"/>
      <c r="M67" s="1196"/>
      <c r="N67" s="1246"/>
    </row>
    <row r="68" spans="1:14" ht="15">
      <c r="A68" s="1196"/>
      <c r="B68" s="1196"/>
      <c r="C68" s="1729" t="s">
        <v>638</v>
      </c>
      <c r="D68" s="1735"/>
      <c r="E68" s="1258">
        <v>0</v>
      </c>
      <c r="F68" s="1258">
        <v>0</v>
      </c>
      <c r="G68" s="1258">
        <v>0</v>
      </c>
      <c r="H68" s="1258">
        <v>0</v>
      </c>
      <c r="I68" s="1226">
        <f t="shared" si="5"/>
        <v>0</v>
      </c>
      <c r="J68" s="1196"/>
      <c r="K68" s="1196"/>
      <c r="L68" s="1196"/>
      <c r="M68" s="1196"/>
      <c r="N68" s="1246"/>
    </row>
    <row r="69" spans="1:14" ht="15">
      <c r="A69" s="1196"/>
      <c r="B69" s="1196"/>
      <c r="C69" s="1729" t="s">
        <v>639</v>
      </c>
      <c r="D69" s="1735"/>
      <c r="E69" s="1263">
        <v>0</v>
      </c>
      <c r="F69" s="1263">
        <v>9.8116957770448456E-3</v>
      </c>
      <c r="G69" s="1263">
        <v>0</v>
      </c>
      <c r="H69" s="1263">
        <v>0</v>
      </c>
      <c r="I69" s="1233">
        <f t="shared" si="5"/>
        <v>9.8116957770448456E-3</v>
      </c>
      <c r="J69" s="1196"/>
      <c r="K69" s="1196"/>
      <c r="L69" s="1196"/>
      <c r="M69" s="1196"/>
      <c r="N69" s="1246"/>
    </row>
    <row r="70" spans="1:14" ht="15.75" thickBot="1">
      <c r="A70" s="1196"/>
      <c r="B70" s="1196"/>
      <c r="C70" s="1731" t="s">
        <v>640</v>
      </c>
      <c r="D70" s="1736"/>
      <c r="E70" s="1263">
        <v>2.4874614662343606</v>
      </c>
      <c r="F70" s="1263">
        <v>3.2468033810427106</v>
      </c>
      <c r="G70" s="1263">
        <v>0.64503786162548138</v>
      </c>
      <c r="H70" s="1263">
        <v>1.7982738528536242</v>
      </c>
      <c r="I70" s="1273">
        <f t="shared" si="5"/>
        <v>8.177576561756176</v>
      </c>
      <c r="J70" s="1196"/>
      <c r="K70" s="1196"/>
      <c r="L70" s="1196"/>
      <c r="M70" s="1196"/>
      <c r="N70" s="1246"/>
    </row>
    <row r="71" spans="1:14" ht="15.75" thickBot="1">
      <c r="A71" s="1196"/>
      <c r="B71" s="1196"/>
      <c r="C71" s="1737" t="s">
        <v>641</v>
      </c>
      <c r="D71" s="1738"/>
      <c r="E71" s="1238">
        <f>SUM(E62:E70)</f>
        <v>3.5780557783693463</v>
      </c>
      <c r="F71" s="1238">
        <f>SUM(F62:F70)</f>
        <v>10.946103005542257</v>
      </c>
      <c r="G71" s="1238">
        <f>SUM(G62:G70)</f>
        <v>0.86062454619941597</v>
      </c>
      <c r="H71" s="1238">
        <f>SUM(H62:H70)</f>
        <v>1.9180525742476975</v>
      </c>
      <c r="I71" s="1238">
        <f>SUM(I62:I70)</f>
        <v>17.302835904358716</v>
      </c>
      <c r="J71" s="1196"/>
      <c r="K71" s="1196"/>
      <c r="L71" s="1196"/>
      <c r="M71" s="1196"/>
      <c r="N71" s="1246"/>
    </row>
    <row r="72" spans="1:14" ht="15.75" thickBot="1">
      <c r="A72" s="1196"/>
      <c r="B72" s="1196"/>
      <c r="C72" s="1739" t="s">
        <v>622</v>
      </c>
      <c r="D72" s="1740"/>
      <c r="E72" s="1258">
        <v>0</v>
      </c>
      <c r="F72" s="1258">
        <v>0</v>
      </c>
      <c r="G72" s="1258">
        <v>0</v>
      </c>
      <c r="H72" s="1258">
        <v>0</v>
      </c>
      <c r="I72" s="1238">
        <f>SUM(E72:H72)</f>
        <v>0</v>
      </c>
      <c r="J72" s="1196"/>
      <c r="K72" s="1196"/>
      <c r="L72" s="1196"/>
      <c r="M72" s="1246"/>
      <c r="N72" s="1196"/>
    </row>
    <row r="73" spans="1:14" ht="15.75" thickBot="1">
      <c r="A73" s="1196"/>
      <c r="B73" s="1196"/>
      <c r="C73" s="1737" t="s">
        <v>642</v>
      </c>
      <c r="D73" s="1738"/>
      <c r="E73" s="1274">
        <f>SUM(E71:E72)</f>
        <v>3.5780557783693463</v>
      </c>
      <c r="F73" s="1274">
        <f>SUM(F71:F72)</f>
        <v>10.946103005542257</v>
      </c>
      <c r="G73" s="1274">
        <f>SUM(G71:G72)</f>
        <v>0.86062454619941597</v>
      </c>
      <c r="H73" s="1274">
        <f>SUM(H71:H72)</f>
        <v>1.9180525742476975</v>
      </c>
      <c r="I73" s="1274">
        <f>SUM(I71:I72)</f>
        <v>17.302835904358716</v>
      </c>
      <c r="J73" s="1196"/>
      <c r="K73" s="1196"/>
      <c r="L73" s="1196"/>
      <c r="M73" s="1246"/>
      <c r="N73" s="1196"/>
    </row>
    <row r="74" spans="1:14" ht="15.75" thickBot="1">
      <c r="A74" s="1196"/>
      <c r="B74" s="1196"/>
      <c r="C74" s="1275"/>
      <c r="D74" s="1276"/>
      <c r="E74" s="1277"/>
      <c r="F74" s="1277"/>
      <c r="G74" s="1277"/>
      <c r="H74" s="1278"/>
      <c r="I74" s="1278"/>
      <c r="J74" s="1278"/>
      <c r="K74" s="1278"/>
      <c r="L74" s="1196"/>
      <c r="M74" s="1196"/>
      <c r="N74" s="1196"/>
    </row>
    <row r="75" spans="1:14" ht="15.75" thickBot="1">
      <c r="A75" s="1196"/>
      <c r="B75" s="1196"/>
      <c r="C75" s="1737" t="s">
        <v>643</v>
      </c>
      <c r="D75" s="1738"/>
      <c r="E75" s="1279">
        <f>+I71+G56</f>
        <v>58.266979017852094</v>
      </c>
      <c r="F75" s="1234"/>
      <c r="G75" s="1196"/>
      <c r="H75" s="1196"/>
      <c r="I75" s="1196"/>
      <c r="J75" s="1196"/>
      <c r="K75" s="1196"/>
      <c r="L75" s="1196"/>
      <c r="M75" s="1246"/>
      <c r="N75" s="1196"/>
    </row>
    <row r="76" spans="1:14" ht="15.75" thickBot="1">
      <c r="A76" s="1196"/>
      <c r="B76" s="1196"/>
      <c r="C76" s="1737" t="s">
        <v>622</v>
      </c>
      <c r="D76" s="1738"/>
      <c r="E76" s="1280"/>
      <c r="F76" s="1234"/>
      <c r="G76" s="1196"/>
      <c r="H76" s="1196"/>
      <c r="I76" s="1196"/>
      <c r="J76" s="1196"/>
      <c r="K76" s="1196"/>
      <c r="L76" s="1196"/>
      <c r="M76" s="1246"/>
      <c r="N76" s="1196"/>
    </row>
    <row r="77" spans="1:14" ht="15.75" thickBot="1">
      <c r="A77" s="1196"/>
      <c r="B77" s="1196"/>
      <c r="C77" s="1737" t="s">
        <v>644</v>
      </c>
      <c r="D77" s="1738"/>
      <c r="E77" s="1274">
        <f>+E76+E75</f>
        <v>58.266979017852094</v>
      </c>
      <c r="F77" s="1196"/>
      <c r="G77" s="1196"/>
      <c r="H77" s="1196"/>
      <c r="I77" s="1196"/>
      <c r="J77" s="1196"/>
      <c r="K77" s="1196"/>
      <c r="L77" s="1196"/>
      <c r="M77" s="1246"/>
      <c r="N77" s="1196"/>
    </row>
    <row r="78" spans="1:14" ht="15" thickBot="1">
      <c r="A78" s="1196"/>
      <c r="B78" s="1196"/>
      <c r="C78" s="1281"/>
      <c r="D78" s="1281"/>
      <c r="E78" s="1281"/>
      <c r="F78" s="1281"/>
      <c r="G78" s="1281"/>
      <c r="H78" s="1281"/>
      <c r="I78" s="1281"/>
      <c r="J78" s="1281"/>
      <c r="K78" s="1281"/>
      <c r="L78" s="1196"/>
      <c r="M78" s="1196"/>
      <c r="N78" s="1196"/>
    </row>
    <row r="79" spans="1:14" ht="18.75" thickBot="1">
      <c r="A79" s="1196"/>
      <c r="B79" s="1196"/>
      <c r="C79" s="1282" t="s">
        <v>645</v>
      </c>
      <c r="D79" s="1283"/>
      <c r="E79" s="1284"/>
      <c r="F79" s="1284"/>
      <c r="G79" s="1285"/>
      <c r="H79" s="1196"/>
      <c r="I79" s="1196"/>
      <c r="J79" s="1196"/>
      <c r="K79" s="1196"/>
      <c r="L79" s="1196"/>
      <c r="M79" s="1196"/>
      <c r="N79" s="1196"/>
    </row>
    <row r="80" spans="1:14" ht="60.75" thickBot="1">
      <c r="A80" s="1196"/>
      <c r="B80" s="1196"/>
      <c r="C80" s="1741" t="s">
        <v>609</v>
      </c>
      <c r="D80" s="1742"/>
      <c r="E80" s="1286" t="s">
        <v>200</v>
      </c>
      <c r="F80" s="1287" t="s">
        <v>646</v>
      </c>
      <c r="G80" s="1287" t="s">
        <v>647</v>
      </c>
      <c r="H80" s="1196"/>
      <c r="I80" s="1196"/>
      <c r="J80" s="1196"/>
      <c r="K80" s="1196"/>
      <c r="L80" s="1196"/>
      <c r="M80" s="1196"/>
      <c r="N80" s="1196"/>
    </row>
    <row r="81" spans="1:14" ht="15.75" thickBot="1">
      <c r="A81" s="1196"/>
      <c r="B81" s="1196"/>
      <c r="C81" s="1743"/>
      <c r="D81" s="1744"/>
      <c r="E81" s="1288" t="s">
        <v>566</v>
      </c>
      <c r="F81" s="1250" t="s">
        <v>566</v>
      </c>
      <c r="G81" s="1250" t="s">
        <v>566</v>
      </c>
      <c r="H81" s="1196"/>
      <c r="I81" s="1196"/>
      <c r="J81" s="1196"/>
      <c r="K81" s="1196"/>
      <c r="L81" s="1196"/>
      <c r="M81" s="1196"/>
      <c r="N81" s="1196"/>
    </row>
    <row r="82" spans="1:14" ht="14.25">
      <c r="A82" s="1196"/>
      <c r="B82" s="1196"/>
      <c r="C82" s="1745" t="s">
        <v>648</v>
      </c>
      <c r="D82" s="1746"/>
      <c r="E82" s="1253">
        <f t="shared" ref="E82:E88" si="6">SUM(F82:G82)</f>
        <v>0.3</v>
      </c>
      <c r="F82" s="1213">
        <v>0.3</v>
      </c>
      <c r="G82" s="1213"/>
      <c r="H82" s="1196"/>
      <c r="I82" s="1196"/>
      <c r="J82" s="1196"/>
      <c r="K82" s="1196"/>
      <c r="L82" s="1196"/>
      <c r="M82" s="1196"/>
      <c r="N82" s="1196"/>
    </row>
    <row r="83" spans="1:14" ht="14.25">
      <c r="A83" s="1196"/>
      <c r="B83" s="1196"/>
      <c r="C83" s="1729" t="s">
        <v>649</v>
      </c>
      <c r="D83" s="1730"/>
      <c r="E83" s="1217">
        <f t="shared" si="6"/>
        <v>0</v>
      </c>
      <c r="F83" s="1213"/>
      <c r="G83" s="1213"/>
      <c r="H83" s="1196"/>
      <c r="I83" s="1196"/>
      <c r="J83" s="1196"/>
      <c r="K83" s="1196"/>
      <c r="L83" s="1196"/>
      <c r="M83" s="1196"/>
      <c r="N83" s="1196"/>
    </row>
    <row r="84" spans="1:14" ht="14.25">
      <c r="A84" s="1196"/>
      <c r="B84" s="1196"/>
      <c r="C84" s="1729" t="s">
        <v>650</v>
      </c>
      <c r="D84" s="1730"/>
      <c r="E84" s="1217">
        <f t="shared" si="6"/>
        <v>1.4990000000000001</v>
      </c>
      <c r="F84" s="1213">
        <v>1.4990000000000001</v>
      </c>
      <c r="G84" s="1213"/>
      <c r="H84" s="1196"/>
      <c r="I84" s="1196"/>
      <c r="J84" s="1196"/>
      <c r="K84" s="1196"/>
      <c r="L84" s="1196"/>
      <c r="M84" s="1196"/>
      <c r="N84" s="1196"/>
    </row>
    <row r="85" spans="1:14" ht="14.25">
      <c r="A85" s="1196"/>
      <c r="B85" s="1196"/>
      <c r="C85" s="1729" t="s">
        <v>651</v>
      </c>
      <c r="D85" s="1730"/>
      <c r="E85" s="1217">
        <f t="shared" si="6"/>
        <v>0</v>
      </c>
      <c r="F85" s="1213"/>
      <c r="G85" s="1213"/>
      <c r="H85" s="1196"/>
      <c r="I85" s="1196"/>
      <c r="J85" s="1196"/>
      <c r="K85" s="1196"/>
      <c r="L85" s="1196"/>
      <c r="M85" s="1196"/>
      <c r="N85" s="1196"/>
    </row>
    <row r="86" spans="1:14" ht="14.25">
      <c r="A86" s="1196"/>
      <c r="B86" s="1196"/>
      <c r="C86" s="1729" t="s">
        <v>652</v>
      </c>
      <c r="D86" s="1730"/>
      <c r="E86" s="1217">
        <f t="shared" si="6"/>
        <v>0</v>
      </c>
      <c r="F86" s="1213"/>
      <c r="G86" s="1213"/>
      <c r="H86" s="1196"/>
      <c r="I86" s="1196"/>
      <c r="J86" s="1196"/>
      <c r="K86" s="1196"/>
      <c r="L86" s="1196"/>
      <c r="M86" s="1196"/>
      <c r="N86" s="1196"/>
    </row>
    <row r="87" spans="1:14" ht="14.25">
      <c r="A87" s="1196"/>
      <c r="B87" s="1196"/>
      <c r="C87" s="1729" t="s">
        <v>653</v>
      </c>
      <c r="D87" s="1730"/>
      <c r="E87" s="1217">
        <f t="shared" si="6"/>
        <v>0.60899999999999999</v>
      </c>
      <c r="F87" s="1213">
        <v>0.60899999999999999</v>
      </c>
      <c r="G87" s="1213"/>
      <c r="H87" s="1196"/>
      <c r="I87" s="1196"/>
      <c r="J87" s="1196"/>
      <c r="K87" s="1196"/>
      <c r="L87" s="1196"/>
      <c r="M87" s="1196"/>
      <c r="N87" s="1196"/>
    </row>
    <row r="88" spans="1:14" ht="15" thickBot="1">
      <c r="A88" s="1196"/>
      <c r="B88" s="1196"/>
      <c r="C88" s="1731" t="s">
        <v>654</v>
      </c>
      <c r="D88" s="1732"/>
      <c r="E88" s="1217">
        <f t="shared" si="6"/>
        <v>0</v>
      </c>
      <c r="F88" s="1213"/>
      <c r="G88" s="1213"/>
      <c r="H88" s="1234"/>
      <c r="I88" s="1196"/>
      <c r="J88" s="1196"/>
      <c r="K88" s="1196"/>
      <c r="L88" s="1196"/>
      <c r="M88" s="1196"/>
      <c r="N88" s="1196"/>
    </row>
    <row r="89" spans="1:14" ht="15.75" thickBot="1">
      <c r="A89" s="1196"/>
      <c r="B89" s="1196"/>
      <c r="C89" s="1733" t="s">
        <v>655</v>
      </c>
      <c r="D89" s="1734"/>
      <c r="E89" s="1238">
        <f>SUM(E82:E88)</f>
        <v>2.4080000000000004</v>
      </c>
      <c r="F89" s="1238">
        <f>SUM(F82:F88)</f>
        <v>2.4080000000000004</v>
      </c>
      <c r="G89" s="1238">
        <f>SUM(G82:G88)</f>
        <v>0</v>
      </c>
      <c r="H89" s="1234"/>
      <c r="I89" s="1196"/>
      <c r="J89" s="1196"/>
      <c r="K89" s="1196"/>
      <c r="L89" s="1196"/>
      <c r="M89" s="1196"/>
      <c r="N89" s="1196"/>
    </row>
  </sheetData>
  <mergeCells count="53">
    <mergeCell ref="C20:D20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4:C49"/>
    <mergeCell ref="C21:D21"/>
    <mergeCell ref="C22:D22"/>
    <mergeCell ref="C23:D23"/>
    <mergeCell ref="C24:D24"/>
    <mergeCell ref="C25:D25"/>
    <mergeCell ref="C28:D30"/>
    <mergeCell ref="E28:F28"/>
    <mergeCell ref="C31:C32"/>
    <mergeCell ref="C33:C34"/>
    <mergeCell ref="C35:C37"/>
    <mergeCell ref="C38:C43"/>
    <mergeCell ref="C68:D68"/>
    <mergeCell ref="C50:C55"/>
    <mergeCell ref="C56:D56"/>
    <mergeCell ref="C57:D57"/>
    <mergeCell ref="C58:D58"/>
    <mergeCell ref="C61:D61"/>
    <mergeCell ref="C62:D62"/>
    <mergeCell ref="C63:D63"/>
    <mergeCell ref="C64:D64"/>
    <mergeCell ref="C65:D65"/>
    <mergeCell ref="C66:D66"/>
    <mergeCell ref="C67:D67"/>
    <mergeCell ref="C84:D84"/>
    <mergeCell ref="C69:D69"/>
    <mergeCell ref="C70:D70"/>
    <mergeCell ref="C71:D71"/>
    <mergeCell ref="C72:D72"/>
    <mergeCell ref="C73:D73"/>
    <mergeCell ref="C75:D75"/>
    <mergeCell ref="C76:D76"/>
    <mergeCell ref="C77:D77"/>
    <mergeCell ref="C80:D81"/>
    <mergeCell ref="C82:D82"/>
    <mergeCell ref="C83:D83"/>
    <mergeCell ref="C85:D85"/>
    <mergeCell ref="C86:D86"/>
    <mergeCell ref="C87:D87"/>
    <mergeCell ref="C88:D88"/>
    <mergeCell ref="C89:D89"/>
  </mergeCells>
  <phoneticPr fontId="1" type="noConversion"/>
  <dataValidations count="1">
    <dataValidation type="decimal" operator="lessThanOrEqual" allowBlank="1" showInputMessage="1" showErrorMessage="1" sqref="E24:G24 K24 E57:F57 E72:I7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workbookViewId="0">
      <selection sqref="A1:XFD1048576"/>
    </sheetView>
  </sheetViews>
  <sheetFormatPr defaultColWidth="8.85546875" defaultRowHeight="12.75"/>
  <cols>
    <col min="1" max="5" width="8.85546875" style="74" customWidth="1"/>
    <col min="6" max="6" width="25" style="74" customWidth="1"/>
    <col min="7" max="7" width="10.42578125" style="74" customWidth="1"/>
    <col min="8" max="8" width="11.7109375" style="74" customWidth="1"/>
    <col min="9" max="9" width="10.5703125" style="74" bestFit="1" customWidth="1"/>
    <col min="10" max="10" width="9.5703125" style="74" customWidth="1"/>
    <col min="11" max="11" width="8.5703125" style="74" bestFit="1" customWidth="1"/>
    <col min="12" max="12" width="7" style="74" bestFit="1" customWidth="1"/>
    <col min="13" max="16384" width="8.85546875" style="74"/>
  </cols>
  <sheetData>
    <row r="1" spans="1:13" ht="16.5" customHeight="1">
      <c r="A1" s="716" t="s">
        <v>656</v>
      </c>
      <c r="F1" s="125" t="s">
        <v>985</v>
      </c>
    </row>
    <row r="2" spans="1:13" ht="16.5" customHeight="1">
      <c r="A2" s="716"/>
    </row>
    <row r="3" spans="1:13" ht="16.5" customHeight="1">
      <c r="A3" s="716" t="s">
        <v>81</v>
      </c>
    </row>
    <row r="5" spans="1:13" ht="16.5" customHeight="1">
      <c r="A5" s="1289" t="s">
        <v>657</v>
      </c>
      <c r="B5" s="1073"/>
      <c r="C5" s="1073"/>
      <c r="D5" s="1073"/>
      <c r="E5" s="1073"/>
      <c r="F5" s="1290"/>
      <c r="G5" s="1290"/>
      <c r="H5" s="1290"/>
      <c r="I5" s="1290"/>
      <c r="J5" s="1290"/>
      <c r="K5" s="1290"/>
      <c r="L5" s="1290"/>
      <c r="M5" s="1290"/>
    </row>
    <row r="6" spans="1:13" ht="16.5" customHeight="1" thickBot="1">
      <c r="A6" s="1291"/>
      <c r="B6" s="1292"/>
      <c r="C6" s="1293"/>
      <c r="D6" s="1174"/>
      <c r="E6" s="1292"/>
      <c r="F6" s="1292"/>
      <c r="G6" s="1291"/>
      <c r="H6" s="1291"/>
      <c r="I6" s="1291"/>
      <c r="J6" s="1291"/>
      <c r="K6" s="1291"/>
      <c r="L6" s="1291"/>
      <c r="M6" s="1291"/>
    </row>
    <row r="7" spans="1:13" ht="16.5" customHeight="1" thickBot="1">
      <c r="A7" s="1290"/>
      <c r="B7" s="1294"/>
      <c r="C7" s="1295" t="s">
        <v>658</v>
      </c>
      <c r="D7" s="1296"/>
      <c r="E7" s="1297"/>
      <c r="F7" s="1297"/>
      <c r="G7" s="1297"/>
      <c r="H7" s="1298"/>
      <c r="I7" s="1299"/>
      <c r="J7" s="1290"/>
      <c r="K7" s="1290"/>
      <c r="L7" s="1290"/>
      <c r="M7" s="1290"/>
    </row>
    <row r="8" spans="1:13" ht="16.5" customHeight="1" thickBot="1">
      <c r="A8" s="1290"/>
      <c r="B8" s="1300"/>
      <c r="C8" s="1072"/>
      <c r="D8" s="1072"/>
      <c r="E8" s="1290"/>
      <c r="F8" s="1290"/>
      <c r="G8" s="1301" t="s">
        <v>566</v>
      </c>
      <c r="H8" s="1301" t="s">
        <v>566</v>
      </c>
      <c r="I8" s="1302"/>
      <c r="J8" s="1290"/>
      <c r="K8" s="1290"/>
      <c r="L8" s="1290"/>
      <c r="M8" s="1290"/>
    </row>
    <row r="9" spans="1:13" ht="16.5" customHeight="1">
      <c r="A9" s="1290"/>
      <c r="B9" s="1303"/>
      <c r="C9" s="1798" t="s">
        <v>659</v>
      </c>
      <c r="D9" s="1798"/>
      <c r="E9" s="1798"/>
      <c r="F9" s="1799"/>
      <c r="G9" s="1304"/>
      <c r="H9" s="1305"/>
      <c r="I9" s="1302"/>
      <c r="J9" s="1290"/>
      <c r="K9" s="1290"/>
      <c r="L9" s="1290"/>
      <c r="M9" s="1290"/>
    </row>
    <row r="10" spans="1:13" ht="16.5" customHeight="1">
      <c r="A10" s="1290"/>
      <c r="B10" s="1306"/>
      <c r="C10" s="1061"/>
      <c r="D10" s="1790" t="s">
        <v>660</v>
      </c>
      <c r="E10" s="1790"/>
      <c r="F10" s="1791"/>
      <c r="G10" s="1307">
        <v>4.4000000000000004</v>
      </c>
      <c r="H10" s="1308"/>
      <c r="I10" s="1309"/>
      <c r="J10" s="1310"/>
      <c r="K10" s="1310"/>
      <c r="L10" s="1310"/>
      <c r="M10" s="1290"/>
    </row>
    <row r="11" spans="1:13" ht="16.5" customHeight="1">
      <c r="A11" s="1290"/>
      <c r="B11" s="1306"/>
      <c r="C11" s="1061"/>
      <c r="D11" s="1790" t="s">
        <v>661</v>
      </c>
      <c r="E11" s="1790"/>
      <c r="F11" s="1791"/>
      <c r="G11" s="1307">
        <v>0</v>
      </c>
      <c r="H11" s="1308"/>
      <c r="I11" s="1309"/>
      <c r="J11" s="1310"/>
      <c r="K11" s="1310"/>
      <c r="L11" s="1310"/>
      <c r="M11" s="1290"/>
    </row>
    <row r="12" spans="1:13" ht="16.5" customHeight="1">
      <c r="A12" s="1290"/>
      <c r="B12" s="1306"/>
      <c r="C12" s="1061"/>
      <c r="D12" s="1790" t="s">
        <v>662</v>
      </c>
      <c r="E12" s="1790"/>
      <c r="F12" s="1791"/>
      <c r="G12" s="1307">
        <v>27.091992000000001</v>
      </c>
      <c r="H12" s="1308"/>
      <c r="I12" s="1309"/>
      <c r="J12" s="1310"/>
      <c r="K12" s="1310"/>
      <c r="L12" s="1310"/>
      <c r="M12" s="1290"/>
    </row>
    <row r="13" spans="1:13" ht="16.5" customHeight="1">
      <c r="A13" s="1290"/>
      <c r="B13" s="1306"/>
      <c r="C13" s="1061"/>
      <c r="D13" s="1790" t="s">
        <v>663</v>
      </c>
      <c r="E13" s="1790"/>
      <c r="F13" s="1791"/>
      <c r="G13" s="1307">
        <v>1.45009349</v>
      </c>
      <c r="H13" s="1308"/>
      <c r="I13" s="1309"/>
      <c r="J13" s="1310"/>
      <c r="K13" s="1310"/>
      <c r="L13" s="1310"/>
      <c r="M13" s="1290"/>
    </row>
    <row r="14" spans="1:13" ht="16.5" customHeight="1">
      <c r="A14" s="1290"/>
      <c r="B14" s="1306"/>
      <c r="C14" s="1061"/>
      <c r="D14" s="1790" t="s">
        <v>664</v>
      </c>
      <c r="E14" s="1790"/>
      <c r="F14" s="1791"/>
      <c r="G14" s="1307">
        <v>0</v>
      </c>
      <c r="H14" s="1308"/>
      <c r="I14" s="1309"/>
      <c r="J14" s="1310"/>
      <c r="K14" s="1310"/>
      <c r="L14" s="1310"/>
      <c r="M14" s="1290"/>
    </row>
    <row r="15" spans="1:13" ht="29.25" customHeight="1">
      <c r="A15" s="1290"/>
      <c r="B15" s="1306"/>
      <c r="C15" s="1311"/>
      <c r="D15" s="1615" t="s">
        <v>665</v>
      </c>
      <c r="E15" s="1615"/>
      <c r="F15" s="1800"/>
      <c r="G15" s="1312">
        <v>0</v>
      </c>
      <c r="H15" s="1313">
        <f>SUM(G10:G15)</f>
        <v>32.942085490000004</v>
      </c>
      <c r="I15" s="1309"/>
      <c r="J15" s="1310"/>
      <c r="K15" s="1310"/>
      <c r="L15" s="1310"/>
      <c r="M15" s="1290"/>
    </row>
    <row r="16" spans="1:13" ht="16.5" customHeight="1">
      <c r="A16" s="1290"/>
      <c r="B16" s="1306"/>
      <c r="C16" s="1798" t="s">
        <v>666</v>
      </c>
      <c r="D16" s="1798"/>
      <c r="E16" s="1798"/>
      <c r="F16" s="1799"/>
      <c r="G16" s="1314"/>
      <c r="H16" s="1315"/>
      <c r="I16" s="1309"/>
      <c r="J16" s="1310"/>
      <c r="K16" s="1310"/>
      <c r="L16" s="1310"/>
      <c r="M16" s="1290"/>
    </row>
    <row r="17" spans="1:13" ht="16.5" customHeight="1">
      <c r="A17" s="1290"/>
      <c r="B17" s="1306"/>
      <c r="C17" s="1311"/>
      <c r="D17" s="1788" t="s">
        <v>667</v>
      </c>
      <c r="E17" s="1788"/>
      <c r="F17" s="1789"/>
      <c r="G17" s="1307">
        <v>0</v>
      </c>
      <c r="H17" s="1313"/>
      <c r="I17" s="1309"/>
      <c r="J17" s="1310"/>
      <c r="K17" s="1310"/>
      <c r="L17" s="1310"/>
      <c r="M17" s="1290"/>
    </row>
    <row r="18" spans="1:13" ht="16.5" customHeight="1">
      <c r="A18" s="1290"/>
      <c r="B18" s="1306"/>
      <c r="C18" s="1311"/>
      <c r="D18" s="1801" t="s">
        <v>668</v>
      </c>
      <c r="E18" s="1793"/>
      <c r="F18" s="1785"/>
      <c r="G18" s="1307">
        <v>0.54859910000000001</v>
      </c>
      <c r="H18" s="1313"/>
      <c r="I18" s="1309"/>
      <c r="J18" s="1310"/>
      <c r="K18" s="1310"/>
      <c r="L18" s="1310"/>
      <c r="M18" s="1290"/>
    </row>
    <row r="19" spans="1:13" ht="16.5" customHeight="1">
      <c r="A19" s="1290"/>
      <c r="B19" s="1306"/>
      <c r="C19" s="1311"/>
      <c r="D19" s="1801" t="s">
        <v>669</v>
      </c>
      <c r="E19" s="1793"/>
      <c r="F19" s="1785"/>
      <c r="G19" s="1312">
        <v>0.31404121340000002</v>
      </c>
      <c r="H19" s="1313">
        <f>SUM(G17:G19)</f>
        <v>0.86264031340000003</v>
      </c>
      <c r="I19" s="1309"/>
      <c r="J19" s="1310"/>
      <c r="K19" s="1310"/>
      <c r="L19" s="1310"/>
      <c r="M19" s="1290"/>
    </row>
    <row r="20" spans="1:13" ht="16.5" customHeight="1">
      <c r="A20" s="1290"/>
      <c r="B20" s="1306"/>
      <c r="C20" s="1798" t="s">
        <v>670</v>
      </c>
      <c r="D20" s="1793"/>
      <c r="E20" s="1793"/>
      <c r="F20" s="1785"/>
      <c r="G20" s="1314"/>
      <c r="H20" s="1315"/>
      <c r="I20" s="1309"/>
      <c r="J20" s="1310"/>
      <c r="K20" s="1310"/>
      <c r="L20" s="1310"/>
      <c r="M20" s="1290"/>
    </row>
    <row r="21" spans="1:13" ht="32.25" customHeight="1">
      <c r="A21" s="1290"/>
      <c r="B21" s="1306"/>
      <c r="C21" s="1311"/>
      <c r="D21" s="1788" t="s">
        <v>671</v>
      </c>
      <c r="E21" s="1788"/>
      <c r="F21" s="1789"/>
      <c r="G21" s="1307">
        <v>1.6526079999999665E-2</v>
      </c>
      <c r="H21" s="1313"/>
      <c r="I21" s="1309"/>
      <c r="J21" s="1310"/>
      <c r="K21" s="1310"/>
      <c r="L21" s="1310"/>
      <c r="M21" s="1290"/>
    </row>
    <row r="22" spans="1:13" ht="16.5" customHeight="1">
      <c r="A22" s="1290"/>
      <c r="B22" s="1306"/>
      <c r="C22" s="1311"/>
      <c r="D22" s="1790" t="s">
        <v>672</v>
      </c>
      <c r="E22" s="1790"/>
      <c r="F22" s="1791"/>
      <c r="G22" s="1307">
        <v>39.912756859700004</v>
      </c>
      <c r="H22" s="1313"/>
      <c r="I22" s="1309"/>
      <c r="J22" s="1310"/>
      <c r="K22" s="1310"/>
      <c r="L22" s="1310"/>
      <c r="M22" s="1290"/>
    </row>
    <row r="23" spans="1:13" ht="16.5" customHeight="1">
      <c r="A23" s="1290"/>
      <c r="B23" s="1306"/>
      <c r="C23" s="1311"/>
      <c r="D23" s="1792" t="s">
        <v>673</v>
      </c>
      <c r="E23" s="1793"/>
      <c r="F23" s="1785"/>
      <c r="G23" s="1312">
        <v>9.5</v>
      </c>
      <c r="H23" s="1313">
        <f>SUM(G21:G23)</f>
        <v>49.429282939700002</v>
      </c>
      <c r="I23" s="1309"/>
      <c r="J23" s="1310"/>
      <c r="K23" s="1310"/>
      <c r="L23" s="1310"/>
      <c r="M23" s="1290"/>
    </row>
    <row r="24" spans="1:13" ht="16.5" customHeight="1" thickBot="1">
      <c r="A24" s="1290"/>
      <c r="B24" s="1306"/>
      <c r="C24" s="1311"/>
      <c r="D24" s="1316"/>
      <c r="E24" s="1317"/>
      <c r="F24" s="1318"/>
      <c r="G24" s="1314"/>
      <c r="H24" s="1315"/>
      <c r="I24" s="1309"/>
      <c r="J24" s="1310"/>
      <c r="K24" s="1310"/>
      <c r="L24" s="1310"/>
      <c r="M24" s="1290"/>
    </row>
    <row r="25" spans="1:13" ht="16.5" customHeight="1" thickBot="1">
      <c r="A25" s="1290"/>
      <c r="B25" s="1319"/>
      <c r="C25" s="1773" t="s">
        <v>674</v>
      </c>
      <c r="D25" s="1794"/>
      <c r="E25" s="1794"/>
      <c r="F25" s="1781"/>
      <c r="G25" s="1320"/>
      <c r="H25" s="1321">
        <f>SUM(H10:H24)</f>
        <v>83.234008743100006</v>
      </c>
      <c r="I25" s="1309"/>
      <c r="J25" s="1310"/>
      <c r="K25" s="1310"/>
      <c r="L25" s="1310"/>
      <c r="M25" s="1290"/>
    </row>
    <row r="26" spans="1:13" ht="16.5" customHeight="1" thickBot="1">
      <c r="A26" s="1290"/>
      <c r="B26" s="1322"/>
      <c r="C26" s="1323"/>
      <c r="D26" s="1323"/>
      <c r="E26" s="1323"/>
      <c r="F26" s="1324"/>
      <c r="G26" s="1325"/>
      <c r="H26" s="1325"/>
      <c r="I26" s="1326"/>
      <c r="J26" s="1310"/>
      <c r="K26" s="1310"/>
      <c r="L26" s="1310"/>
      <c r="M26" s="1290"/>
    </row>
    <row r="27" spans="1:13" ht="16.5" customHeight="1" thickBot="1">
      <c r="A27" s="1290"/>
      <c r="B27" s="1292"/>
      <c r="C27" s="1297"/>
      <c r="D27" s="1290"/>
      <c r="E27" s="1327"/>
      <c r="F27" s="1292"/>
      <c r="G27" s="1310"/>
      <c r="H27" s="1310"/>
      <c r="I27" s="1310"/>
      <c r="J27" s="1310"/>
      <c r="K27" s="1310"/>
      <c r="L27" s="1310"/>
      <c r="M27" s="1290"/>
    </row>
    <row r="28" spans="1:13" ht="16.5" customHeight="1">
      <c r="A28" s="1290"/>
      <c r="B28" s="1294"/>
      <c r="C28" s="1328" t="s">
        <v>675</v>
      </c>
      <c r="D28" s="1297"/>
      <c r="E28" s="1297"/>
      <c r="F28" s="1329"/>
      <c r="G28" s="1330"/>
      <c r="H28" s="1331"/>
      <c r="I28" s="1331"/>
      <c r="J28" s="1331"/>
      <c r="K28" s="1331"/>
      <c r="L28" s="1331"/>
      <c r="M28" s="1299"/>
    </row>
    <row r="29" spans="1:13" ht="16.5" customHeight="1" thickBot="1">
      <c r="A29" s="1290"/>
      <c r="B29" s="1300"/>
      <c r="C29" s="1290"/>
      <c r="D29" s="1295" t="s">
        <v>676</v>
      </c>
      <c r="E29" s="1295"/>
      <c r="F29" s="1291"/>
      <c r="G29" s="1332"/>
      <c r="H29" s="1332"/>
      <c r="I29" s="1310"/>
      <c r="J29" s="1310"/>
      <c r="K29" s="1310"/>
      <c r="L29" s="1310"/>
      <c r="M29" s="1302"/>
    </row>
    <row r="30" spans="1:13" ht="16.5" customHeight="1" thickBot="1">
      <c r="A30" s="1290"/>
      <c r="B30" s="1333"/>
      <c r="C30" s="1290"/>
      <c r="D30" s="1318"/>
      <c r="E30" s="1311" t="s">
        <v>677</v>
      </c>
      <c r="F30" s="1318"/>
      <c r="G30" s="1334" t="s">
        <v>566</v>
      </c>
      <c r="H30" s="1335"/>
      <c r="I30" s="1310"/>
      <c r="J30" s="1310"/>
      <c r="K30" s="1310"/>
      <c r="L30" s="1310"/>
      <c r="M30" s="1302"/>
    </row>
    <row r="31" spans="1:13" ht="16.5" customHeight="1">
      <c r="A31" s="1290"/>
      <c r="B31" s="1333"/>
      <c r="C31" s="1290"/>
      <c r="D31" s="1318"/>
      <c r="E31" s="1336" t="s">
        <v>678</v>
      </c>
      <c r="F31" s="1290"/>
      <c r="G31" s="1307"/>
      <c r="H31" s="1335"/>
      <c r="I31" s="1310"/>
      <c r="J31" s="1310"/>
      <c r="K31" s="1310"/>
      <c r="L31" s="1310"/>
      <c r="M31" s="1302"/>
    </row>
    <row r="32" spans="1:13" ht="16.5" customHeight="1">
      <c r="A32" s="1290"/>
      <c r="B32" s="1333"/>
      <c r="C32" s="1290"/>
      <c r="D32" s="1318"/>
      <c r="E32" s="1336" t="s">
        <v>679</v>
      </c>
      <c r="F32" s="1290"/>
      <c r="G32" s="1337">
        <v>-0.34825349999999999</v>
      </c>
      <c r="H32" s="1335"/>
      <c r="I32" s="1310"/>
      <c r="J32" s="1310"/>
      <c r="K32" s="1310"/>
      <c r="L32" s="1310"/>
      <c r="M32" s="1302"/>
    </row>
    <row r="33" spans="1:13" ht="16.5" customHeight="1">
      <c r="A33" s="1291"/>
      <c r="B33" s="1338"/>
      <c r="C33" s="1291"/>
      <c r="D33" s="1318"/>
      <c r="E33" s="1336" t="s">
        <v>680</v>
      </c>
      <c r="F33" s="1291"/>
      <c r="G33" s="1337">
        <v>-7.6416120000000004E-2</v>
      </c>
      <c r="H33" s="1335"/>
      <c r="I33" s="1332"/>
      <c r="J33" s="1332"/>
      <c r="K33" s="1332"/>
      <c r="L33" s="1332"/>
      <c r="M33" s="1339"/>
    </row>
    <row r="34" spans="1:13" ht="16.5" customHeight="1" thickBot="1">
      <c r="A34" s="1291"/>
      <c r="B34" s="1338"/>
      <c r="C34" s="1291"/>
      <c r="D34" s="1318"/>
      <c r="E34" s="1780" t="s">
        <v>200</v>
      </c>
      <c r="F34" s="1795"/>
      <c r="G34" s="1340">
        <f>SUM(G31:G33)</f>
        <v>-0.42466961999999997</v>
      </c>
      <c r="H34" s="1335"/>
      <c r="I34" s="1332"/>
      <c r="J34" s="1332"/>
      <c r="K34" s="1332"/>
      <c r="L34" s="1332"/>
      <c r="M34" s="1339"/>
    </row>
    <row r="35" spans="1:13" ht="16.5" customHeight="1" thickTop="1">
      <c r="A35" s="1291"/>
      <c r="B35" s="1338"/>
      <c r="C35" s="1174"/>
      <c r="D35" s="1318"/>
      <c r="E35" s="1318"/>
      <c r="F35" s="1318"/>
      <c r="G35" s="1335"/>
      <c r="H35" s="1335"/>
      <c r="I35" s="1332"/>
      <c r="J35" s="1332"/>
      <c r="K35" s="1332"/>
      <c r="L35" s="1332"/>
      <c r="M35" s="1339"/>
    </row>
    <row r="36" spans="1:13" ht="48.75" customHeight="1">
      <c r="A36" s="1291"/>
      <c r="B36" s="1319"/>
      <c r="C36" s="1318"/>
      <c r="D36" s="1318"/>
      <c r="E36" s="1796" t="s">
        <v>681</v>
      </c>
      <c r="F36" s="1796"/>
      <c r="G36" s="1341" t="s">
        <v>682</v>
      </c>
      <c r="H36" s="1341" t="s">
        <v>683</v>
      </c>
      <c r="I36" s="1341" t="s">
        <v>684</v>
      </c>
      <c r="J36" s="1341" t="s">
        <v>685</v>
      </c>
      <c r="K36" s="1342" t="s">
        <v>686</v>
      </c>
      <c r="L36" s="1343" t="s">
        <v>687</v>
      </c>
      <c r="M36" s="1339"/>
    </row>
    <row r="37" spans="1:13" ht="16.5" customHeight="1">
      <c r="A37" s="1291"/>
      <c r="B37" s="1319"/>
      <c r="C37" s="1318"/>
      <c r="D37" s="1318"/>
      <c r="E37" s="1797" t="s">
        <v>688</v>
      </c>
      <c r="F37" s="1797"/>
      <c r="G37" s="1344" t="s">
        <v>203</v>
      </c>
      <c r="H37" s="1344" t="s">
        <v>203</v>
      </c>
      <c r="I37" s="1344" t="s">
        <v>203</v>
      </c>
      <c r="J37" s="1344" t="s">
        <v>203</v>
      </c>
      <c r="K37" s="1345" t="s">
        <v>203</v>
      </c>
      <c r="L37" s="1344"/>
      <c r="M37" s="1339"/>
    </row>
    <row r="38" spans="1:13" ht="16.5" customHeight="1">
      <c r="A38" s="1291"/>
      <c r="B38" s="1319"/>
      <c r="C38" s="1318"/>
      <c r="D38" s="1318"/>
      <c r="E38" s="1346" t="s">
        <v>1142</v>
      </c>
      <c r="F38" s="1347"/>
      <c r="G38" s="1348">
        <v>0.51624532999999995</v>
      </c>
      <c r="H38" s="1348">
        <v>0.26987753000000003</v>
      </c>
      <c r="I38" s="1349">
        <f t="shared" ref="I38:I41" si="0">+G38-H38</f>
        <v>0.24636779999999991</v>
      </c>
      <c r="J38" s="1348"/>
      <c r="K38" s="1349">
        <f>+I38-J38</f>
        <v>0.24636779999999991</v>
      </c>
      <c r="L38" s="1350"/>
      <c r="M38" s="1339"/>
    </row>
    <row r="39" spans="1:13" ht="16.5" customHeight="1">
      <c r="A39" s="1291"/>
      <c r="B39" s="1319"/>
      <c r="C39" s="1318"/>
      <c r="D39" s="1318"/>
      <c r="E39" s="1346" t="s">
        <v>1143</v>
      </c>
      <c r="F39" s="1347"/>
      <c r="G39" s="1348">
        <v>1.2436879999999999</v>
      </c>
      <c r="H39" s="1348">
        <v>1.0488601000000002</v>
      </c>
      <c r="I39" s="1349">
        <f t="shared" si="0"/>
        <v>0.19482789999999972</v>
      </c>
      <c r="J39" s="1348"/>
      <c r="K39" s="1349">
        <f t="shared" ref="K39:K41" si="1">+I39-J39</f>
        <v>0.19482789999999972</v>
      </c>
      <c r="L39" s="1351"/>
      <c r="M39" s="1339"/>
    </row>
    <row r="40" spans="1:13" ht="16.5" customHeight="1">
      <c r="A40" s="1291"/>
      <c r="B40" s="1319"/>
      <c r="C40" s="1318"/>
      <c r="D40" s="1318"/>
      <c r="E40" s="1346" t="s">
        <v>648</v>
      </c>
      <c r="F40" s="1347"/>
      <c r="G40" s="1348">
        <v>0.42553903000000004</v>
      </c>
      <c r="H40" s="1348">
        <v>0.42553902999999998</v>
      </c>
      <c r="I40" s="1349">
        <f t="shared" si="0"/>
        <v>0</v>
      </c>
      <c r="J40" s="1348">
        <v>7.6416120000000004E-2</v>
      </c>
      <c r="K40" s="1349">
        <f t="shared" si="1"/>
        <v>-7.6416120000000004E-2</v>
      </c>
      <c r="L40" s="1351"/>
      <c r="M40" s="1339"/>
    </row>
    <row r="41" spans="1:13" ht="16.5" customHeight="1">
      <c r="A41" s="1291"/>
      <c r="B41" s="1319"/>
      <c r="C41" s="1318"/>
      <c r="D41" s="1318"/>
      <c r="E41" s="1346" t="s">
        <v>1144</v>
      </c>
      <c r="F41" s="1347"/>
      <c r="G41" s="1348"/>
      <c r="H41" s="1348"/>
      <c r="I41" s="1349">
        <f t="shared" si="0"/>
        <v>0</v>
      </c>
      <c r="J41" s="1348">
        <v>0.34825349999999999</v>
      </c>
      <c r="K41" s="1349">
        <f t="shared" si="1"/>
        <v>-0.34825349999999999</v>
      </c>
      <c r="L41" s="1351"/>
      <c r="M41" s="1339"/>
    </row>
    <row r="42" spans="1:13" ht="16.5" customHeight="1">
      <c r="A42" s="1291"/>
      <c r="B42" s="1319"/>
      <c r="C42" s="1318"/>
      <c r="D42" s="1318"/>
      <c r="E42" s="1782"/>
      <c r="F42" s="1783"/>
      <c r="G42" s="1352"/>
      <c r="H42" s="1352"/>
      <c r="I42" s="1353"/>
      <c r="J42" s="1352"/>
      <c r="K42" s="1353"/>
      <c r="L42" s="1354"/>
      <c r="M42" s="1339"/>
    </row>
    <row r="43" spans="1:13" ht="16.5" customHeight="1">
      <c r="A43" s="1291"/>
      <c r="B43" s="1319"/>
      <c r="C43" s="1318"/>
      <c r="D43" s="1318"/>
      <c r="E43" s="1782"/>
      <c r="F43" s="1783"/>
      <c r="G43" s="1352"/>
      <c r="H43" s="1352"/>
      <c r="I43" s="1353"/>
      <c r="J43" s="1352"/>
      <c r="K43" s="1353"/>
      <c r="L43" s="1354"/>
      <c r="M43" s="1339"/>
    </row>
    <row r="44" spans="1:13" ht="16.5" customHeight="1">
      <c r="A44" s="1291"/>
      <c r="B44" s="1319"/>
      <c r="C44" s="1318"/>
      <c r="D44" s="1318"/>
      <c r="E44" s="1782"/>
      <c r="F44" s="1783"/>
      <c r="G44" s="1352"/>
      <c r="H44" s="1352"/>
      <c r="I44" s="1353"/>
      <c r="J44" s="1352"/>
      <c r="K44" s="1353"/>
      <c r="L44" s="1354"/>
      <c r="M44" s="1339"/>
    </row>
    <row r="45" spans="1:13" ht="16.5" customHeight="1">
      <c r="A45" s="1291"/>
      <c r="B45" s="1319"/>
      <c r="C45" s="1318"/>
      <c r="D45" s="1318"/>
      <c r="E45" s="1782"/>
      <c r="F45" s="1783"/>
      <c r="G45" s="1352"/>
      <c r="H45" s="1352"/>
      <c r="I45" s="1353"/>
      <c r="J45" s="1352"/>
      <c r="K45" s="1353"/>
      <c r="L45" s="1354"/>
      <c r="M45" s="1339"/>
    </row>
    <row r="46" spans="1:13" ht="16.5" customHeight="1">
      <c r="A46" s="1291"/>
      <c r="B46" s="1319"/>
      <c r="C46" s="1318"/>
      <c r="D46" s="1318"/>
      <c r="E46" s="1782"/>
      <c r="F46" s="1783"/>
      <c r="G46" s="1352"/>
      <c r="H46" s="1352"/>
      <c r="I46" s="1353"/>
      <c r="J46" s="1352"/>
      <c r="K46" s="1353"/>
      <c r="L46" s="1354"/>
      <c r="M46" s="1339"/>
    </row>
    <row r="47" spans="1:13" ht="16.5" customHeight="1">
      <c r="A47" s="1291"/>
      <c r="B47" s="1319"/>
      <c r="C47" s="1318"/>
      <c r="D47" s="1318"/>
      <c r="E47" s="1782"/>
      <c r="F47" s="1783"/>
      <c r="G47" s="1352"/>
      <c r="H47" s="1352"/>
      <c r="I47" s="1353"/>
      <c r="J47" s="1352"/>
      <c r="K47" s="1353"/>
      <c r="L47" s="1354"/>
      <c r="M47" s="1339"/>
    </row>
    <row r="48" spans="1:13" ht="16.5" customHeight="1">
      <c r="A48" s="1291"/>
      <c r="B48" s="1319"/>
      <c r="C48" s="1318"/>
      <c r="D48" s="1318"/>
      <c r="E48" s="1782"/>
      <c r="F48" s="1783"/>
      <c r="G48" s="1352"/>
      <c r="H48" s="1352"/>
      <c r="I48" s="1353"/>
      <c r="J48" s="1352"/>
      <c r="K48" s="1353"/>
      <c r="L48" s="1354"/>
      <c r="M48" s="1339"/>
    </row>
    <row r="49" spans="1:13" ht="16.5" customHeight="1">
      <c r="A49" s="1291"/>
      <c r="B49" s="1319"/>
      <c r="C49" s="1318"/>
      <c r="D49" s="1318"/>
      <c r="E49" s="1782"/>
      <c r="F49" s="1783"/>
      <c r="G49" s="1352"/>
      <c r="H49" s="1352"/>
      <c r="I49" s="1353"/>
      <c r="J49" s="1352"/>
      <c r="K49" s="1353"/>
      <c r="L49" s="1354"/>
      <c r="M49" s="1339"/>
    </row>
    <row r="50" spans="1:13" ht="16.5" customHeight="1">
      <c r="A50" s="1291"/>
      <c r="B50" s="1319"/>
      <c r="C50" s="1318"/>
      <c r="D50" s="1318"/>
      <c r="E50" s="1782"/>
      <c r="F50" s="1783"/>
      <c r="G50" s="1352"/>
      <c r="H50" s="1352"/>
      <c r="I50" s="1353"/>
      <c r="J50" s="1352"/>
      <c r="K50" s="1353"/>
      <c r="L50" s="1355"/>
      <c r="M50" s="1339"/>
    </row>
    <row r="51" spans="1:13" ht="16.5" customHeight="1">
      <c r="A51" s="1291"/>
      <c r="B51" s="1319"/>
      <c r="C51" s="1318"/>
      <c r="D51" s="1318"/>
      <c r="E51" s="1784" t="s">
        <v>200</v>
      </c>
      <c r="F51" s="1785"/>
      <c r="G51" s="1356"/>
      <c r="H51" s="1356"/>
      <c r="I51" s="1356"/>
      <c r="J51" s="1356"/>
      <c r="K51" s="1356"/>
      <c r="L51" s="1291"/>
      <c r="M51" s="1339"/>
    </row>
    <row r="52" spans="1:13" ht="16.5" customHeight="1">
      <c r="A52" s="1291"/>
      <c r="B52" s="1319"/>
      <c r="C52" s="1318"/>
      <c r="D52" s="1318"/>
      <c r="E52" s="1318"/>
      <c r="F52" s="1318"/>
      <c r="G52" s="1291"/>
      <c r="H52" s="1291"/>
      <c r="I52" s="1291"/>
      <c r="J52" s="1357" t="s">
        <v>689</v>
      </c>
      <c r="K52" s="1357" t="s">
        <v>689</v>
      </c>
      <c r="L52" s="1291"/>
      <c r="M52" s="1339"/>
    </row>
    <row r="53" spans="1:13" ht="16.5" customHeight="1" thickBot="1">
      <c r="A53" s="1291"/>
      <c r="B53" s="1319"/>
      <c r="C53" s="1318"/>
      <c r="D53" s="1318"/>
      <c r="E53" s="1318"/>
      <c r="F53" s="1318"/>
      <c r="G53" s="1291"/>
      <c r="H53" s="1291"/>
      <c r="I53" s="1291"/>
      <c r="J53" s="1291"/>
      <c r="K53" s="1291"/>
      <c r="L53" s="1291"/>
      <c r="M53" s="1339"/>
    </row>
    <row r="54" spans="1:13" ht="16.5" customHeight="1" thickBot="1">
      <c r="A54" s="1291"/>
      <c r="B54" s="1319"/>
      <c r="C54" s="1358"/>
      <c r="D54" s="1295" t="s">
        <v>690</v>
      </c>
      <c r="E54" s="1359"/>
      <c r="F54" s="1291"/>
      <c r="G54" s="1334" t="s">
        <v>203</v>
      </c>
      <c r="H54" s="1334" t="s">
        <v>203</v>
      </c>
      <c r="I54" s="1291"/>
      <c r="J54" s="1332"/>
      <c r="K54" s="1332"/>
      <c r="L54" s="1332"/>
      <c r="M54" s="1360"/>
    </row>
    <row r="55" spans="1:13" ht="33" customHeight="1" thickBot="1">
      <c r="A55" s="1291"/>
      <c r="B55" s="1319"/>
      <c r="C55" s="1318"/>
      <c r="D55" s="1291"/>
      <c r="E55" s="1291"/>
      <c r="F55" s="1291"/>
      <c r="G55" s="1361"/>
      <c r="H55" s="1362" t="s">
        <v>691</v>
      </c>
      <c r="I55" s="1291"/>
      <c r="J55" s="1332"/>
      <c r="K55" s="1332"/>
      <c r="L55" s="1332"/>
      <c r="M55" s="1360"/>
    </row>
    <row r="56" spans="1:13" ht="16.5" customHeight="1">
      <c r="A56" s="1291"/>
      <c r="B56" s="1319"/>
      <c r="C56" s="1318"/>
      <c r="D56" s="1291"/>
      <c r="E56" s="1359" t="s">
        <v>692</v>
      </c>
      <c r="F56" s="1291"/>
      <c r="G56" s="1307">
        <v>0</v>
      </c>
      <c r="H56" s="1363">
        <v>0</v>
      </c>
      <c r="I56" s="1291"/>
      <c r="J56" s="1332"/>
      <c r="K56" s="1332"/>
      <c r="L56" s="1332"/>
      <c r="M56" s="1360"/>
    </row>
    <row r="57" spans="1:13" ht="16.5" customHeight="1" thickBot="1">
      <c r="A57" s="1291"/>
      <c r="B57" s="1319"/>
      <c r="C57" s="1318"/>
      <c r="D57" s="1291"/>
      <c r="E57" s="1359" t="s">
        <v>693</v>
      </c>
      <c r="F57" s="1291"/>
      <c r="G57" s="1307">
        <v>0</v>
      </c>
      <c r="H57" s="1364">
        <v>0</v>
      </c>
      <c r="I57" s="1291"/>
      <c r="J57" s="1332"/>
      <c r="K57" s="1332"/>
      <c r="L57" s="1332"/>
      <c r="M57" s="1360"/>
    </row>
    <row r="58" spans="1:13" ht="16.5" customHeight="1" thickBot="1">
      <c r="A58" s="1291"/>
      <c r="B58" s="1319"/>
      <c r="C58" s="1318"/>
      <c r="D58" s="1318"/>
      <c r="E58" s="1365" t="s">
        <v>694</v>
      </c>
      <c r="F58" s="1291"/>
      <c r="G58" s="1366">
        <v>0</v>
      </c>
      <c r="H58" s="1332"/>
      <c r="I58" s="1291"/>
      <c r="J58" s="1332"/>
      <c r="K58" s="1332"/>
      <c r="L58" s="1332"/>
      <c r="M58" s="1360"/>
    </row>
    <row r="59" spans="1:13" ht="16.5" customHeight="1" thickTop="1" thickBot="1">
      <c r="A59" s="1291"/>
      <c r="B59" s="1319"/>
      <c r="C59" s="1318"/>
      <c r="D59" s="1318"/>
      <c r="E59" s="1365"/>
      <c r="F59" s="1291"/>
      <c r="G59" s="1332"/>
      <c r="H59" s="1332"/>
      <c r="I59" s="1291"/>
      <c r="J59" s="1332"/>
      <c r="K59" s="1332"/>
      <c r="L59" s="1332"/>
      <c r="M59" s="1360"/>
    </row>
    <row r="60" spans="1:13" ht="65.25" customHeight="1" thickBot="1">
      <c r="A60" s="1291"/>
      <c r="B60" s="1319"/>
      <c r="C60" s="1318"/>
      <c r="D60" s="1777" t="s">
        <v>695</v>
      </c>
      <c r="E60" s="1777"/>
      <c r="F60" s="1291"/>
      <c r="G60" s="1367" t="s">
        <v>200</v>
      </c>
      <c r="H60" s="1368" t="s">
        <v>696</v>
      </c>
      <c r="I60" s="1368" t="s">
        <v>697</v>
      </c>
      <c r="J60" s="1368" t="s">
        <v>698</v>
      </c>
      <c r="K60" s="1368" t="s">
        <v>699</v>
      </c>
      <c r="L60" s="1332"/>
      <c r="M60" s="1339"/>
    </row>
    <row r="61" spans="1:13" ht="16.5" customHeight="1" thickBot="1">
      <c r="A61" s="1291"/>
      <c r="B61" s="1338"/>
      <c r="C61" s="1174"/>
      <c r="D61" s="1295"/>
      <c r="E61" s="1061"/>
      <c r="F61" s="1318"/>
      <c r="G61" s="1334" t="s">
        <v>203</v>
      </c>
      <c r="H61" s="1334" t="s">
        <v>203</v>
      </c>
      <c r="I61" s="1334" t="s">
        <v>203</v>
      </c>
      <c r="J61" s="1334" t="s">
        <v>203</v>
      </c>
      <c r="K61" s="1334" t="s">
        <v>203</v>
      </c>
      <c r="L61" s="1332"/>
      <c r="M61" s="1339"/>
    </row>
    <row r="62" spans="1:13" ht="16.5" customHeight="1">
      <c r="A62" s="1291"/>
      <c r="B62" s="1338"/>
      <c r="C62" s="1174"/>
      <c r="D62" s="1311"/>
      <c r="E62" s="1061" t="s">
        <v>700</v>
      </c>
      <c r="F62" s="1318"/>
      <c r="G62" s="1369">
        <v>0</v>
      </c>
      <c r="H62" s="1370">
        <v>0</v>
      </c>
      <c r="I62" s="1371">
        <v>0</v>
      </c>
      <c r="J62" s="1371">
        <v>0</v>
      </c>
      <c r="K62" s="1372">
        <v>0</v>
      </c>
      <c r="L62" s="1332"/>
      <c r="M62" s="1339"/>
    </row>
    <row r="63" spans="1:13" ht="16.5" customHeight="1" thickBot="1">
      <c r="A63" s="1291"/>
      <c r="B63" s="1338"/>
      <c r="C63" s="1174"/>
      <c r="D63" s="1311"/>
      <c r="E63" s="1061" t="s">
        <v>701</v>
      </c>
      <c r="F63" s="1318"/>
      <c r="G63" s="1373">
        <v>0</v>
      </c>
      <c r="H63" s="1374">
        <v>0</v>
      </c>
      <c r="I63" s="1375">
        <v>0</v>
      </c>
      <c r="J63" s="1375">
        <v>0</v>
      </c>
      <c r="K63" s="1376">
        <v>0</v>
      </c>
      <c r="L63" s="1332"/>
      <c r="M63" s="1339"/>
    </row>
    <row r="64" spans="1:13" ht="16.5" customHeight="1" thickBot="1">
      <c r="A64" s="1291"/>
      <c r="B64" s="1338"/>
      <c r="C64" s="1174"/>
      <c r="D64" s="1318"/>
      <c r="E64" s="1318"/>
      <c r="F64" s="1318"/>
      <c r="G64" s="1335"/>
      <c r="H64" s="1335"/>
      <c r="I64" s="1332"/>
      <c r="J64" s="1332"/>
      <c r="K64" s="1332"/>
      <c r="L64" s="1332"/>
      <c r="M64" s="1339"/>
    </row>
    <row r="65" spans="1:13" ht="77.25" customHeight="1" thickBot="1">
      <c r="A65" s="1291"/>
      <c r="B65" s="1319"/>
      <c r="C65" s="1318"/>
      <c r="D65" s="1777" t="s">
        <v>702</v>
      </c>
      <c r="E65" s="1777"/>
      <c r="F65" s="1291"/>
      <c r="G65" s="1377" t="s">
        <v>200</v>
      </c>
      <c r="H65" s="1378" t="s">
        <v>608</v>
      </c>
      <c r="I65" s="1378" t="s">
        <v>703</v>
      </c>
      <c r="J65" s="1378" t="s">
        <v>548</v>
      </c>
      <c r="K65" s="1378" t="s">
        <v>704</v>
      </c>
      <c r="L65" s="1378" t="s">
        <v>550</v>
      </c>
      <c r="M65" s="1339"/>
    </row>
    <row r="66" spans="1:13" ht="16.5" customHeight="1" thickBot="1">
      <c r="A66" s="1291"/>
      <c r="B66" s="1319"/>
      <c r="C66" s="1318"/>
      <c r="D66" s="1359"/>
      <c r="E66" s="1291"/>
      <c r="F66" s="1291"/>
      <c r="G66" s="1334" t="s">
        <v>203</v>
      </c>
      <c r="H66" s="1334" t="s">
        <v>203</v>
      </c>
      <c r="I66" s="1334" t="s">
        <v>203</v>
      </c>
      <c r="J66" s="1334" t="s">
        <v>203</v>
      </c>
      <c r="K66" s="1334" t="s">
        <v>203</v>
      </c>
      <c r="L66" s="1334" t="s">
        <v>203</v>
      </c>
      <c r="M66" s="1339"/>
    </row>
    <row r="67" spans="1:13" ht="16.5" customHeight="1">
      <c r="A67" s="1291"/>
      <c r="B67" s="1319"/>
      <c r="C67" s="1318"/>
      <c r="D67" s="1359"/>
      <c r="E67" s="1379" t="s">
        <v>705</v>
      </c>
      <c r="F67" s="1291"/>
      <c r="G67" s="1380">
        <f>SUM(H67:L67)</f>
        <v>0.364514</v>
      </c>
      <c r="H67" s="1381">
        <v>0.20150799999999999</v>
      </c>
      <c r="I67" s="1382">
        <v>5.4666000000000006E-2</v>
      </c>
      <c r="J67" s="1382">
        <v>0.10834000000000001</v>
      </c>
      <c r="K67" s="1383">
        <v>0</v>
      </c>
      <c r="L67" s="1384">
        <v>0</v>
      </c>
      <c r="M67" s="1339"/>
    </row>
    <row r="68" spans="1:13" ht="16.5" customHeight="1">
      <c r="A68" s="1291"/>
      <c r="B68" s="1319"/>
      <c r="C68" s="1318"/>
      <c r="D68" s="1291"/>
      <c r="E68" s="1359" t="s">
        <v>706</v>
      </c>
      <c r="F68" s="1291"/>
      <c r="G68" s="1385">
        <v>0</v>
      </c>
      <c r="H68" s="1386">
        <v>0</v>
      </c>
      <c r="I68" s="1386">
        <v>0</v>
      </c>
      <c r="J68" s="1386">
        <v>0</v>
      </c>
      <c r="K68" s="1383">
        <v>0</v>
      </c>
      <c r="L68" s="1384">
        <v>0</v>
      </c>
      <c r="M68" s="1339"/>
    </row>
    <row r="69" spans="1:13" ht="16.5" customHeight="1">
      <c r="A69" s="1291"/>
      <c r="B69" s="1319"/>
      <c r="C69" s="1318"/>
      <c r="D69" s="1291"/>
      <c r="E69" s="1359" t="s">
        <v>707</v>
      </c>
      <c r="F69" s="1291"/>
      <c r="G69" s="1385">
        <v>0</v>
      </c>
      <c r="H69" s="1387">
        <v>0</v>
      </c>
      <c r="I69" s="1386">
        <v>0</v>
      </c>
      <c r="J69" s="1386">
        <v>0</v>
      </c>
      <c r="K69" s="1383">
        <v>0</v>
      </c>
      <c r="L69" s="1384">
        <v>0</v>
      </c>
      <c r="M69" s="1339"/>
    </row>
    <row r="70" spans="1:13" ht="16.5" customHeight="1">
      <c r="A70" s="1291"/>
      <c r="B70" s="1319"/>
      <c r="C70" s="1318"/>
      <c r="D70" s="1291"/>
      <c r="E70" s="1359" t="s">
        <v>708</v>
      </c>
      <c r="F70" s="1291"/>
      <c r="G70" s="1385">
        <v>0</v>
      </c>
      <c r="H70" s="1388">
        <v>0</v>
      </c>
      <c r="I70" s="1389">
        <v>0</v>
      </c>
      <c r="J70" s="1389">
        <v>0</v>
      </c>
      <c r="K70" s="1390">
        <v>0</v>
      </c>
      <c r="L70" s="1391">
        <v>0</v>
      </c>
      <c r="M70" s="1339"/>
    </row>
    <row r="71" spans="1:13" ht="16.5" customHeight="1" thickBot="1">
      <c r="A71" s="1291"/>
      <c r="B71" s="1319"/>
      <c r="C71" s="1318"/>
      <c r="D71" s="1318"/>
      <c r="E71" s="1365" t="s">
        <v>709</v>
      </c>
      <c r="F71" s="1291"/>
      <c r="G71" s="1392">
        <v>0.2</v>
      </c>
      <c r="H71" s="1392">
        <v>0</v>
      </c>
      <c r="I71" s="1392">
        <v>0.1</v>
      </c>
      <c r="J71" s="1392">
        <v>0.1</v>
      </c>
      <c r="K71" s="1392">
        <v>0</v>
      </c>
      <c r="L71" s="1392">
        <v>0</v>
      </c>
      <c r="M71" s="1339"/>
    </row>
    <row r="72" spans="1:13" ht="16.5" customHeight="1" thickBot="1">
      <c r="A72" s="1291"/>
      <c r="B72" s="1393"/>
      <c r="C72" s="1394"/>
      <c r="D72" s="1394"/>
      <c r="E72" s="1395"/>
      <c r="F72" s="1396"/>
      <c r="G72" s="1395"/>
      <c r="H72" s="1397"/>
      <c r="I72" s="1398"/>
      <c r="J72" s="1398"/>
      <c r="K72" s="1398"/>
      <c r="L72" s="1398"/>
      <c r="M72" s="1399"/>
    </row>
    <row r="73" spans="1:13" ht="16.5" customHeight="1" thickBot="1">
      <c r="A73" s="1291"/>
      <c r="B73" s="1291"/>
      <c r="C73" s="1396"/>
      <c r="D73" s="1291"/>
      <c r="E73" s="1291"/>
      <c r="F73" s="1291"/>
      <c r="G73" s="1332"/>
      <c r="H73" s="1332"/>
      <c r="I73" s="1332"/>
      <c r="J73" s="1332"/>
      <c r="K73" s="1332"/>
      <c r="L73" s="1332"/>
      <c r="M73" s="1291"/>
    </row>
    <row r="74" spans="1:13" ht="16.5" customHeight="1">
      <c r="A74" s="1291"/>
      <c r="B74" s="1294"/>
      <c r="C74" s="1295" t="s">
        <v>710</v>
      </c>
      <c r="D74" s="1297"/>
      <c r="E74" s="1400"/>
      <c r="F74" s="1297"/>
      <c r="G74" s="1331"/>
      <c r="H74" s="1331"/>
      <c r="I74" s="1330"/>
      <c r="J74" s="1330"/>
      <c r="K74" s="1330"/>
      <c r="L74" s="1330"/>
      <c r="M74" s="1401"/>
    </row>
    <row r="75" spans="1:13" ht="16.5" customHeight="1" thickBot="1">
      <c r="A75" s="1291"/>
      <c r="B75" s="1300"/>
      <c r="C75" s="1358"/>
      <c r="D75" s="1290"/>
      <c r="E75" s="1316"/>
      <c r="F75" s="1290"/>
      <c r="G75" s="1310"/>
      <c r="H75" s="1310"/>
      <c r="I75" s="1332"/>
      <c r="J75" s="1332"/>
      <c r="K75" s="1332"/>
      <c r="L75" s="1332"/>
      <c r="M75" s="1339"/>
    </row>
    <row r="76" spans="1:13" ht="81.75" customHeight="1" thickBot="1">
      <c r="A76" s="1291"/>
      <c r="B76" s="1319"/>
      <c r="C76" s="1318"/>
      <c r="D76" s="1777" t="s">
        <v>711</v>
      </c>
      <c r="E76" s="1777"/>
      <c r="F76" s="1778"/>
      <c r="G76" s="1377" t="s">
        <v>200</v>
      </c>
      <c r="H76" s="1378" t="s">
        <v>608</v>
      </c>
      <c r="I76" s="1378" t="s">
        <v>703</v>
      </c>
      <c r="J76" s="1378" t="s">
        <v>548</v>
      </c>
      <c r="K76" s="1378" t="s">
        <v>704</v>
      </c>
      <c r="L76" s="1378" t="s">
        <v>550</v>
      </c>
      <c r="M76" s="1339"/>
    </row>
    <row r="77" spans="1:13" ht="16.5" customHeight="1" thickBot="1">
      <c r="A77" s="1291"/>
      <c r="B77" s="1319"/>
      <c r="C77" s="1318"/>
      <c r="D77" s="1359"/>
      <c r="E77" s="1291"/>
      <c r="F77" s="1291"/>
      <c r="G77" s="1334" t="s">
        <v>203</v>
      </c>
      <c r="H77" s="1334" t="s">
        <v>203</v>
      </c>
      <c r="I77" s="1334" t="s">
        <v>203</v>
      </c>
      <c r="J77" s="1334" t="s">
        <v>203</v>
      </c>
      <c r="K77" s="1334" t="s">
        <v>203</v>
      </c>
      <c r="L77" s="1334" t="s">
        <v>203</v>
      </c>
      <c r="M77" s="1339"/>
    </row>
    <row r="78" spans="1:13" ht="16.5" customHeight="1">
      <c r="A78" s="1291"/>
      <c r="B78" s="1319"/>
      <c r="C78" s="1318"/>
      <c r="D78" s="1291"/>
      <c r="E78" s="1786" t="s">
        <v>706</v>
      </c>
      <c r="F78" s="1787"/>
      <c r="G78" s="1402">
        <v>0</v>
      </c>
      <c r="H78" s="1403"/>
      <c r="I78" s="1404"/>
      <c r="J78" s="1404"/>
      <c r="K78" s="1405"/>
      <c r="L78" s="1406"/>
      <c r="M78" s="1339"/>
    </row>
    <row r="79" spans="1:13" ht="16.5" customHeight="1">
      <c r="A79" s="1291"/>
      <c r="B79" s="1319"/>
      <c r="C79" s="1318"/>
      <c r="D79" s="1291"/>
      <c r="E79" s="1786" t="s">
        <v>707</v>
      </c>
      <c r="F79" s="1785"/>
      <c r="G79" s="1402">
        <v>0</v>
      </c>
      <c r="H79" s="1403"/>
      <c r="I79" s="1404"/>
      <c r="J79" s="1404"/>
      <c r="K79" s="1405"/>
      <c r="L79" s="1406"/>
      <c r="M79" s="1339"/>
    </row>
    <row r="80" spans="1:13" ht="16.5" customHeight="1">
      <c r="A80" s="1291"/>
      <c r="B80" s="1319"/>
      <c r="C80" s="1318"/>
      <c r="D80" s="1291"/>
      <c r="E80" s="1786" t="s">
        <v>708</v>
      </c>
      <c r="F80" s="1785"/>
      <c r="G80" s="1402">
        <v>0</v>
      </c>
      <c r="H80" s="1407"/>
      <c r="I80" s="1408"/>
      <c r="J80" s="1408"/>
      <c r="K80" s="1409"/>
      <c r="L80" s="1410"/>
      <c r="M80" s="1339"/>
    </row>
    <row r="81" spans="1:13" ht="16.5" customHeight="1" thickBot="1">
      <c r="A81" s="1291"/>
      <c r="B81" s="1319"/>
      <c r="C81" s="1318"/>
      <c r="D81" s="1318"/>
      <c r="E81" s="1780" t="s">
        <v>200</v>
      </c>
      <c r="F81" s="1781"/>
      <c r="G81" s="1411">
        <v>0</v>
      </c>
      <c r="H81" s="1411">
        <v>0</v>
      </c>
      <c r="I81" s="1411">
        <v>0</v>
      </c>
      <c r="J81" s="1411">
        <v>0</v>
      </c>
      <c r="K81" s="1411">
        <v>0</v>
      </c>
      <c r="L81" s="1411">
        <v>0</v>
      </c>
      <c r="M81" s="1339"/>
    </row>
    <row r="82" spans="1:13" ht="16.5" customHeight="1" thickBot="1">
      <c r="A82" s="1291"/>
      <c r="B82" s="1319"/>
      <c r="C82" s="1318"/>
      <c r="D82" s="1318"/>
      <c r="E82" s="1359"/>
      <c r="F82" s="1291"/>
      <c r="G82" s="1412"/>
      <c r="H82" s="1412"/>
      <c r="I82" s="1332"/>
      <c r="J82" s="1332"/>
      <c r="K82" s="1332"/>
      <c r="L82" s="1332"/>
      <c r="M82" s="1339"/>
    </row>
    <row r="83" spans="1:13" ht="16.5" customHeight="1" thickBot="1">
      <c r="A83" s="1291"/>
      <c r="B83" s="1319"/>
      <c r="C83" s="1318"/>
      <c r="D83" s="1775" t="s">
        <v>712</v>
      </c>
      <c r="E83" s="1775"/>
      <c r="F83" s="1776"/>
      <c r="G83" s="1413">
        <v>0</v>
      </c>
      <c r="H83" s="1414"/>
      <c r="I83" s="1415">
        <v>0</v>
      </c>
      <c r="J83" s="1414"/>
      <c r="K83" s="1416"/>
      <c r="L83" s="1417"/>
      <c r="M83" s="1339"/>
    </row>
    <row r="84" spans="1:13" ht="16.5" customHeight="1" thickBot="1">
      <c r="A84" s="1291"/>
      <c r="B84" s="1393"/>
      <c r="C84" s="1394"/>
      <c r="D84" s="1394"/>
      <c r="E84" s="1418"/>
      <c r="F84" s="1396"/>
      <c r="G84" s="1419"/>
      <c r="H84" s="1420"/>
      <c r="I84" s="1419"/>
      <c r="J84" s="1419"/>
      <c r="K84" s="1419"/>
      <c r="L84" s="1419"/>
      <c r="M84" s="1421"/>
    </row>
    <row r="85" spans="1:13" ht="16.5" customHeight="1" thickBot="1">
      <c r="A85" s="1359"/>
      <c r="B85" s="1359"/>
      <c r="C85" s="1361"/>
      <c r="D85" s="1318"/>
      <c r="E85" s="1359"/>
      <c r="F85" s="1291"/>
      <c r="G85" s="1332"/>
      <c r="H85" s="1412"/>
      <c r="I85" s="1332"/>
      <c r="J85" s="1332"/>
      <c r="K85" s="1332"/>
      <c r="L85" s="1332"/>
      <c r="M85" s="1291"/>
    </row>
    <row r="86" spans="1:13" ht="16.5" customHeight="1" thickBot="1">
      <c r="A86" s="1291"/>
      <c r="B86" s="1422"/>
      <c r="C86" s="1328" t="s">
        <v>713</v>
      </c>
      <c r="D86" s="1423"/>
      <c r="E86" s="1424"/>
      <c r="F86" s="1425"/>
      <c r="G86" s="1426"/>
      <c r="H86" s="1426"/>
      <c r="I86" s="1427"/>
      <c r="J86" s="1332"/>
      <c r="K86" s="1332"/>
      <c r="L86" s="1332"/>
      <c r="M86" s="1291"/>
    </row>
    <row r="87" spans="1:13" ht="16.5" customHeight="1" thickBot="1">
      <c r="A87" s="1291"/>
      <c r="B87" s="1319"/>
      <c r="C87" s="1318"/>
      <c r="D87" s="1318"/>
      <c r="E87" s="1365"/>
      <c r="F87" s="1291"/>
      <c r="G87" s="1334" t="s">
        <v>203</v>
      </c>
      <c r="H87" s="1412"/>
      <c r="I87" s="1360"/>
      <c r="J87" s="1332"/>
      <c r="K87" s="1332"/>
      <c r="L87" s="1332"/>
      <c r="M87" s="1291"/>
    </row>
    <row r="88" spans="1:13" ht="30.75" customHeight="1" thickBot="1">
      <c r="A88" s="1291"/>
      <c r="B88" s="1319"/>
      <c r="C88" s="1318"/>
      <c r="D88" s="1777" t="s">
        <v>714</v>
      </c>
      <c r="E88" s="1777"/>
      <c r="F88" s="1778"/>
      <c r="G88" s="1428"/>
      <c r="H88" s="1332"/>
      <c r="I88" s="1360"/>
      <c r="J88" s="1332"/>
      <c r="K88" s="1332"/>
      <c r="L88" s="1332"/>
      <c r="M88" s="1291"/>
    </row>
    <row r="89" spans="1:13" ht="31.5" customHeight="1" thickBot="1">
      <c r="A89" s="1291"/>
      <c r="B89" s="1319"/>
      <c r="C89" s="1318"/>
      <c r="D89" s="1777" t="s">
        <v>1145</v>
      </c>
      <c r="E89" s="1777"/>
      <c r="F89" s="1778"/>
      <c r="G89" s="1428"/>
      <c r="H89" s="1332"/>
      <c r="I89" s="1360"/>
      <c r="J89" s="1332"/>
      <c r="K89" s="1332"/>
      <c r="L89" s="1332"/>
      <c r="M89" s="1291"/>
    </row>
    <row r="90" spans="1:13" ht="16.5" customHeight="1" thickBot="1">
      <c r="A90" s="1291"/>
      <c r="B90" s="1319"/>
      <c r="C90" s="1318"/>
      <c r="D90" s="1318"/>
      <c r="E90" s="1359"/>
      <c r="F90" s="1291"/>
      <c r="G90" s="1332"/>
      <c r="H90" s="1332"/>
      <c r="I90" s="1360"/>
      <c r="J90" s="1332"/>
      <c r="K90" s="1332"/>
      <c r="L90" s="1332"/>
      <c r="M90" s="1291"/>
    </row>
    <row r="91" spans="1:13" ht="16.5" customHeight="1" thickBot="1">
      <c r="A91" s="1291"/>
      <c r="B91" s="1319"/>
      <c r="C91" s="1318"/>
      <c r="D91" s="1318"/>
      <c r="E91" s="1429"/>
      <c r="F91" s="1291"/>
      <c r="G91" s="1334" t="s">
        <v>203</v>
      </c>
      <c r="H91" s="1334" t="s">
        <v>516</v>
      </c>
      <c r="I91" s="1430"/>
      <c r="J91" s="1431"/>
      <c r="K91" s="1431"/>
      <c r="L91" s="1332"/>
      <c r="M91" s="1291"/>
    </row>
    <row r="92" spans="1:13" ht="32.25" customHeight="1" thickBot="1">
      <c r="A92" s="1291"/>
      <c r="B92" s="1319"/>
      <c r="C92" s="1318"/>
      <c r="D92" s="1777" t="s">
        <v>715</v>
      </c>
      <c r="E92" s="1777"/>
      <c r="F92" s="1778"/>
      <c r="G92" s="1432"/>
      <c r="H92" s="1433"/>
      <c r="I92" s="1434"/>
      <c r="J92" s="1435"/>
      <c r="K92" s="1435"/>
      <c r="L92" s="1332"/>
      <c r="M92" s="1291"/>
    </row>
    <row r="93" spans="1:13" ht="16.5" customHeight="1" thickTop="1" thickBot="1">
      <c r="A93" s="1291"/>
      <c r="B93" s="1338"/>
      <c r="C93" s="1291"/>
      <c r="D93" s="1436"/>
      <c r="E93" s="1291"/>
      <c r="F93" s="1291"/>
      <c r="G93" s="1291"/>
      <c r="H93" s="1291"/>
      <c r="I93" s="1434"/>
      <c r="J93" s="1437"/>
      <c r="K93" s="1437"/>
      <c r="L93" s="1332"/>
      <c r="M93" s="1291"/>
    </row>
    <row r="94" spans="1:13" ht="33.75" customHeight="1" thickBot="1">
      <c r="A94" s="1291"/>
      <c r="B94" s="1319"/>
      <c r="C94" s="1318"/>
      <c r="D94" s="1777" t="s">
        <v>716</v>
      </c>
      <c r="E94" s="1777"/>
      <c r="F94" s="1778"/>
      <c r="G94" s="1334" t="s">
        <v>203</v>
      </c>
      <c r="H94" s="1334" t="s">
        <v>516</v>
      </c>
      <c r="I94" s="1438"/>
      <c r="J94" s="1437"/>
      <c r="K94" s="1437"/>
      <c r="L94" s="1332"/>
      <c r="M94" s="1291"/>
    </row>
    <row r="95" spans="1:13" ht="16.5" customHeight="1">
      <c r="A95" s="1291"/>
      <c r="B95" s="1319"/>
      <c r="C95" s="1318"/>
      <c r="D95" s="1291"/>
      <c r="E95" s="1359" t="s">
        <v>222</v>
      </c>
      <c r="F95" s="1291"/>
      <c r="G95" s="1307"/>
      <c r="H95" s="1307"/>
      <c r="I95" s="1434"/>
      <c r="J95" s="1435"/>
      <c r="K95" s="1435"/>
      <c r="L95" s="1332"/>
      <c r="M95" s="1291"/>
    </row>
    <row r="96" spans="1:13" ht="16.5" customHeight="1">
      <c r="A96" s="1291"/>
      <c r="B96" s="1319"/>
      <c r="C96" s="1318"/>
      <c r="D96" s="1291"/>
      <c r="E96" s="1359" t="s">
        <v>223</v>
      </c>
      <c r="F96" s="1291"/>
      <c r="G96" s="1307"/>
      <c r="H96" s="1307"/>
      <c r="I96" s="1434"/>
      <c r="J96" s="1435"/>
      <c r="K96" s="1435"/>
      <c r="L96" s="1332"/>
      <c r="M96" s="1291"/>
    </row>
    <row r="97" spans="1:13" ht="16.5" customHeight="1" thickBot="1">
      <c r="A97" s="1291"/>
      <c r="B97" s="1319"/>
      <c r="C97" s="1318"/>
      <c r="D97" s="1291"/>
      <c r="E97" s="1359" t="s">
        <v>717</v>
      </c>
      <c r="F97" s="1291"/>
      <c r="G97" s="1307"/>
      <c r="H97" s="1364"/>
      <c r="I97" s="1434"/>
      <c r="J97" s="1435"/>
      <c r="K97" s="1435"/>
      <c r="L97" s="1332"/>
      <c r="M97" s="1291"/>
    </row>
    <row r="98" spans="1:13" ht="27" customHeight="1">
      <c r="A98" s="1291"/>
      <c r="B98" s="1319"/>
      <c r="C98" s="1318"/>
      <c r="D98" s="1291"/>
      <c r="E98" s="1616" t="s">
        <v>718</v>
      </c>
      <c r="F98" s="1779"/>
      <c r="G98" s="1312"/>
      <c r="H98" s="1439"/>
      <c r="I98" s="1434"/>
      <c r="J98" s="1435"/>
      <c r="K98" s="1437"/>
      <c r="L98" s="1332"/>
      <c r="M98" s="1291"/>
    </row>
    <row r="99" spans="1:13" ht="16.5" customHeight="1" thickBot="1">
      <c r="A99" s="1291"/>
      <c r="B99" s="1319"/>
      <c r="C99" s="1773" t="s">
        <v>719</v>
      </c>
      <c r="D99" s="1773"/>
      <c r="E99" s="1773"/>
      <c r="F99" s="1774"/>
      <c r="G99" s="1366"/>
      <c r="H99" s="1366"/>
      <c r="I99" s="1440"/>
      <c r="J99" s="1441"/>
      <c r="K99" s="1441"/>
      <c r="L99" s="1332"/>
      <c r="M99" s="1291"/>
    </row>
    <row r="100" spans="1:13" ht="16.5" customHeight="1" thickTop="1" thickBot="1">
      <c r="A100" s="1291"/>
      <c r="B100" s="1393"/>
      <c r="C100" s="1394"/>
      <c r="D100" s="1394"/>
      <c r="E100" s="1394"/>
      <c r="F100" s="1394"/>
      <c r="G100" s="1396"/>
      <c r="H100" s="1396"/>
      <c r="I100" s="1421"/>
      <c r="J100" s="1291"/>
      <c r="K100" s="1291"/>
      <c r="L100" s="1291"/>
      <c r="M100" s="1291"/>
    </row>
    <row r="101" spans="1:13" ht="16.5" customHeight="1">
      <c r="A101" s="1291"/>
      <c r="B101" s="1071"/>
      <c r="C101" s="1071"/>
      <c r="D101" s="1071"/>
      <c r="E101" s="1071"/>
      <c r="F101" s="1071"/>
      <c r="G101" s="1291"/>
      <c r="H101" s="1291"/>
      <c r="I101" s="1291"/>
      <c r="J101" s="1291"/>
      <c r="K101" s="1291"/>
      <c r="L101" s="1291"/>
      <c r="M101" s="1291"/>
    </row>
  </sheetData>
  <mergeCells count="43">
    <mergeCell ref="C20:F20"/>
    <mergeCell ref="C9:F9"/>
    <mergeCell ref="D10:F10"/>
    <mergeCell ref="D11:F11"/>
    <mergeCell ref="D12:F12"/>
    <mergeCell ref="D13:F13"/>
    <mergeCell ref="D14:F14"/>
    <mergeCell ref="D15:F15"/>
    <mergeCell ref="C16:F16"/>
    <mergeCell ref="D17:F17"/>
    <mergeCell ref="D18:F18"/>
    <mergeCell ref="D19:F19"/>
    <mergeCell ref="E46:F46"/>
    <mergeCell ref="D21:F21"/>
    <mergeCell ref="D22:F22"/>
    <mergeCell ref="D23:F23"/>
    <mergeCell ref="C25:F25"/>
    <mergeCell ref="E34:F34"/>
    <mergeCell ref="E36:F36"/>
    <mergeCell ref="E37:F37"/>
    <mergeCell ref="E42:F42"/>
    <mergeCell ref="E43:F43"/>
    <mergeCell ref="E44:F44"/>
    <mergeCell ref="E45:F45"/>
    <mergeCell ref="E81:F81"/>
    <mergeCell ref="E47:F47"/>
    <mergeCell ref="E48:F48"/>
    <mergeCell ref="E49:F49"/>
    <mergeCell ref="E50:F50"/>
    <mergeCell ref="E51:F51"/>
    <mergeCell ref="D60:E60"/>
    <mergeCell ref="D65:E65"/>
    <mergeCell ref="D76:F76"/>
    <mergeCell ref="E78:F78"/>
    <mergeCell ref="E79:F79"/>
    <mergeCell ref="E80:F80"/>
    <mergeCell ref="C99:F99"/>
    <mergeCell ref="D83:F83"/>
    <mergeCell ref="D88:F88"/>
    <mergeCell ref="D89:F89"/>
    <mergeCell ref="D92:F92"/>
    <mergeCell ref="D94:F94"/>
    <mergeCell ref="E98:F98"/>
  </mergeCells>
  <phoneticPr fontId="1" type="noConversion"/>
  <dataValidations count="2">
    <dataValidation type="decimal" operator="greaterThanOrEqual" allowBlank="1" showInputMessage="1" showErrorMessage="1" sqref="J38:J41 G38:H41">
      <formula1>0</formula1>
    </dataValidation>
    <dataValidation type="decimal" operator="lessThanOrEqual" allowBlank="1" showInputMessage="1" showErrorMessage="1" sqref="G32:G33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I80"/>
  <sheetViews>
    <sheetView workbookViewId="0">
      <selection sqref="A1:XFD1048576"/>
    </sheetView>
  </sheetViews>
  <sheetFormatPr defaultRowHeight="10.5"/>
  <cols>
    <col min="1" max="1" width="8.140625" style="1445" customWidth="1"/>
    <col min="2" max="2" width="15.42578125" style="1445" customWidth="1"/>
    <col min="3" max="3" width="48.7109375" style="1445" bestFit="1" customWidth="1"/>
    <col min="4" max="4" width="15.42578125" style="1445" bestFit="1" customWidth="1"/>
    <col min="5" max="16384" width="9.140625" style="1445"/>
  </cols>
  <sheetData>
    <row r="1" spans="1:9" ht="12.75" customHeight="1">
      <c r="A1" s="1442" t="s">
        <v>526</v>
      </c>
      <c r="B1" s="1443"/>
      <c r="C1" s="1443"/>
      <c r="D1" s="1443"/>
      <c r="E1" s="1443"/>
      <c r="F1" s="1444" t="s">
        <v>985</v>
      </c>
      <c r="G1" s="1443"/>
      <c r="H1" s="1443"/>
      <c r="I1" s="1443"/>
    </row>
    <row r="2" spans="1:9" s="1448" customFormat="1" ht="12.75">
      <c r="A2" s="1446"/>
      <c r="B2" s="1447"/>
      <c r="C2" s="1447"/>
      <c r="D2" s="1447"/>
      <c r="E2" s="1447"/>
      <c r="F2" s="1447"/>
      <c r="G2" s="1447"/>
      <c r="H2" s="1447"/>
      <c r="I2" s="1447"/>
    </row>
    <row r="3" spans="1:9" ht="12.75">
      <c r="A3" s="1442" t="s">
        <v>81</v>
      </c>
      <c r="B3" s="1443"/>
      <c r="C3" s="1443"/>
      <c r="D3" s="1443"/>
      <c r="E3" s="1443"/>
      <c r="F3" s="1443"/>
      <c r="G3" s="1443"/>
      <c r="H3" s="1443"/>
      <c r="I3" s="1443"/>
    </row>
    <row r="4" spans="1:9" ht="12.75">
      <c r="A4" s="1442"/>
      <c r="B4" s="1443"/>
      <c r="C4" s="1443"/>
      <c r="D4" s="1443"/>
      <c r="E4" s="1443"/>
      <c r="F4" s="1443"/>
      <c r="G4" s="1443"/>
      <c r="H4" s="1443"/>
      <c r="I4" s="1443"/>
    </row>
    <row r="5" spans="1:9" ht="20.25">
      <c r="A5" s="1802" t="s">
        <v>720</v>
      </c>
      <c r="B5" s="1802"/>
      <c r="C5" s="1802"/>
      <c r="D5" s="1449"/>
      <c r="E5" s="1450"/>
      <c r="F5" s="1450"/>
      <c r="G5" s="1450"/>
    </row>
    <row r="6" spans="1:9" ht="15" thickBot="1">
      <c r="A6" s="1451"/>
      <c r="B6" s="1451"/>
      <c r="C6" s="767"/>
      <c r="D6" s="767"/>
      <c r="E6" s="1452"/>
      <c r="F6" s="1452"/>
      <c r="G6" s="1452"/>
    </row>
    <row r="7" spans="1:9" ht="15.75" thickBot="1">
      <c r="A7" s="1451"/>
      <c r="B7" s="1451"/>
      <c r="C7" s="1453"/>
      <c r="D7" s="1454" t="s">
        <v>190</v>
      </c>
      <c r="E7" s="1454" t="s">
        <v>79</v>
      </c>
      <c r="F7" s="1454" t="s">
        <v>80</v>
      </c>
      <c r="G7" s="1455" t="s">
        <v>81</v>
      </c>
      <c r="H7" s="1456" t="s">
        <v>82</v>
      </c>
      <c r="I7" s="1457" t="s">
        <v>44</v>
      </c>
    </row>
    <row r="8" spans="1:9" ht="15">
      <c r="A8" s="1451"/>
      <c r="B8" s="1451"/>
      <c r="C8" s="1458" t="s">
        <v>721</v>
      </c>
      <c r="D8" s="1459"/>
      <c r="E8" s="1803" t="s">
        <v>722</v>
      </c>
      <c r="F8" s="1804"/>
      <c r="G8" s="1805"/>
      <c r="H8" s="1806" t="s">
        <v>723</v>
      </c>
      <c r="I8" s="1806"/>
    </row>
    <row r="9" spans="1:9" ht="14.25">
      <c r="A9" s="1451"/>
      <c r="B9" s="1451"/>
      <c r="C9" s="1460" t="s">
        <v>724</v>
      </c>
      <c r="D9" s="1461" t="s">
        <v>725</v>
      </c>
      <c r="E9" s="1462"/>
      <c r="F9" s="1463"/>
      <c r="G9" s="1464">
        <v>2580775</v>
      </c>
    </row>
    <row r="10" spans="1:9" ht="14.25">
      <c r="A10" s="1451"/>
      <c r="B10" s="1451"/>
      <c r="C10" s="1460" t="s">
        <v>726</v>
      </c>
      <c r="D10" s="1461" t="s">
        <v>727</v>
      </c>
      <c r="E10" s="1462"/>
      <c r="F10" s="1463"/>
      <c r="G10" s="1464">
        <v>2119306</v>
      </c>
    </row>
    <row r="11" spans="1:9" ht="14.25">
      <c r="A11" s="1451"/>
      <c r="B11" s="1451"/>
      <c r="C11" s="1460" t="s">
        <v>728</v>
      </c>
      <c r="D11" s="1461" t="s">
        <v>729</v>
      </c>
      <c r="E11" s="1462"/>
      <c r="F11" s="1463"/>
      <c r="G11" s="1464">
        <v>198961241</v>
      </c>
    </row>
    <row r="12" spans="1:9" ht="15.75" thickBot="1">
      <c r="A12" s="1451"/>
      <c r="B12" s="1451"/>
      <c r="C12" s="1460"/>
      <c r="D12" s="1465"/>
      <c r="E12" s="1466"/>
      <c r="F12" s="1467"/>
      <c r="G12" s="1467"/>
    </row>
    <row r="13" spans="1:9" ht="15">
      <c r="A13" s="1451"/>
      <c r="B13" s="1451"/>
      <c r="C13" s="1468" t="s">
        <v>730</v>
      </c>
      <c r="D13" s="1459"/>
      <c r="E13" s="1469"/>
      <c r="F13" s="1452"/>
      <c r="G13" s="1452"/>
    </row>
    <row r="14" spans="1:9" ht="14.25">
      <c r="A14" s="1451"/>
      <c r="B14" s="1451"/>
      <c r="C14" s="1470"/>
      <c r="D14" s="1461"/>
      <c r="E14" s="1469"/>
      <c r="F14" s="1452"/>
      <c r="G14" s="1452"/>
    </row>
    <row r="15" spans="1:9" ht="14.25">
      <c r="A15" s="1451"/>
      <c r="B15" s="1451"/>
      <c r="C15" s="1471" t="s">
        <v>731</v>
      </c>
      <c r="D15" s="1461"/>
      <c r="E15" s="1469"/>
      <c r="F15" s="1452"/>
      <c r="G15" s="1452"/>
    </row>
    <row r="16" spans="1:9" ht="14.25">
      <c r="A16" s="1451"/>
      <c r="B16" s="1451"/>
      <c r="C16" s="1471" t="s">
        <v>732</v>
      </c>
      <c r="D16" s="1461"/>
      <c r="E16" s="1469"/>
      <c r="F16" s="1452"/>
      <c r="G16" s="1452"/>
    </row>
    <row r="17" spans="1:7" ht="14.25">
      <c r="A17" s="1451"/>
      <c r="B17" s="1451"/>
      <c r="C17" s="1472" t="s">
        <v>733</v>
      </c>
      <c r="D17" s="1461" t="s">
        <v>734</v>
      </c>
      <c r="E17" s="1462"/>
      <c r="F17" s="1463"/>
      <c r="G17" s="1464">
        <v>0</v>
      </c>
    </row>
    <row r="18" spans="1:7" ht="14.25">
      <c r="A18" s="1451"/>
      <c r="B18" s="1451"/>
      <c r="C18" s="1472" t="s">
        <v>223</v>
      </c>
      <c r="D18" s="1461" t="s">
        <v>734</v>
      </c>
      <c r="E18" s="1462"/>
      <c r="F18" s="1463"/>
      <c r="G18" s="1464">
        <v>17</v>
      </c>
    </row>
    <row r="19" spans="1:7" ht="14.25">
      <c r="A19" s="1451"/>
      <c r="B19" s="1451"/>
      <c r="C19" s="1472" t="s">
        <v>222</v>
      </c>
      <c r="D19" s="1461" t="s">
        <v>734</v>
      </c>
      <c r="E19" s="1462"/>
      <c r="F19" s="1463"/>
      <c r="G19" s="1464">
        <v>29758</v>
      </c>
    </row>
    <row r="20" spans="1:7" ht="14.25">
      <c r="A20" s="1451"/>
      <c r="B20" s="1451"/>
      <c r="C20" s="1472" t="s">
        <v>735</v>
      </c>
      <c r="D20" s="1461" t="s">
        <v>734</v>
      </c>
      <c r="E20" s="1462"/>
      <c r="F20" s="1463"/>
      <c r="G20" s="1464">
        <v>9</v>
      </c>
    </row>
    <row r="21" spans="1:7" ht="14.25">
      <c r="A21" s="1451"/>
      <c r="B21" s="1451"/>
      <c r="C21" s="1470"/>
      <c r="D21" s="1461"/>
      <c r="E21" s="1469"/>
      <c r="F21" s="1452"/>
      <c r="G21" s="1452"/>
    </row>
    <row r="22" spans="1:7" ht="14.25">
      <c r="A22" s="1451"/>
      <c r="B22" s="1451"/>
      <c r="C22" s="1471" t="s">
        <v>736</v>
      </c>
      <c r="D22" s="1461"/>
      <c r="E22" s="1469"/>
      <c r="F22" s="1452"/>
      <c r="G22" s="1452"/>
    </row>
    <row r="23" spans="1:7" ht="14.25">
      <c r="A23" s="1451"/>
      <c r="B23" s="1451"/>
      <c r="C23" s="1472" t="s">
        <v>401</v>
      </c>
      <c r="D23" s="1461" t="s">
        <v>210</v>
      </c>
      <c r="E23" s="1462"/>
      <c r="F23" s="1463"/>
      <c r="G23" s="1464">
        <v>0</v>
      </c>
    </row>
    <row r="24" spans="1:7" ht="14.25">
      <c r="A24" s="1451"/>
      <c r="B24" s="1451"/>
      <c r="C24" s="1472" t="s">
        <v>402</v>
      </c>
      <c r="D24" s="1461" t="s">
        <v>210</v>
      </c>
      <c r="E24" s="1462"/>
      <c r="F24" s="1463"/>
      <c r="G24" s="1464">
        <v>166</v>
      </c>
    </row>
    <row r="25" spans="1:7" ht="14.25">
      <c r="A25" s="1451"/>
      <c r="B25" s="1451"/>
      <c r="C25" s="1472" t="s">
        <v>223</v>
      </c>
      <c r="D25" s="1461" t="s">
        <v>210</v>
      </c>
      <c r="E25" s="1462"/>
      <c r="F25" s="1463"/>
      <c r="G25" s="1464">
        <v>145</v>
      </c>
    </row>
    <row r="26" spans="1:7" ht="15" thickBot="1">
      <c r="A26" s="1451"/>
      <c r="B26" s="1451"/>
      <c r="C26" s="1472" t="s">
        <v>222</v>
      </c>
      <c r="D26" s="1461" t="s">
        <v>210</v>
      </c>
      <c r="E26" s="1462"/>
      <c r="F26" s="1463"/>
      <c r="G26" s="1464">
        <v>2.2000000000000002</v>
      </c>
    </row>
    <row r="27" spans="1:7" ht="15" thickBot="1">
      <c r="A27" s="1451"/>
      <c r="B27" s="1451"/>
      <c r="C27" s="1473" t="s">
        <v>200</v>
      </c>
      <c r="D27" s="1461"/>
      <c r="E27" s="1474"/>
      <c r="F27" s="1475"/>
      <c r="G27" s="1475">
        <v>313.2</v>
      </c>
    </row>
    <row r="28" spans="1:7" ht="14.25">
      <c r="A28" s="1451"/>
      <c r="B28" s="1451"/>
      <c r="C28" s="1470"/>
      <c r="D28" s="1461"/>
      <c r="E28" s="1476"/>
      <c r="F28" s="1477"/>
      <c r="G28" s="1477"/>
    </row>
    <row r="29" spans="1:7" ht="14.25">
      <c r="A29" s="1451"/>
      <c r="B29" s="1451"/>
      <c r="C29" s="1471" t="s">
        <v>737</v>
      </c>
      <c r="D29" s="1461"/>
      <c r="E29" s="1476"/>
      <c r="F29" s="1477"/>
      <c r="G29" s="1477"/>
    </row>
    <row r="30" spans="1:7" ht="14.25">
      <c r="A30" s="1451"/>
      <c r="B30" s="1451"/>
      <c r="C30" s="1472" t="s">
        <v>738</v>
      </c>
      <c r="D30" s="1461" t="s">
        <v>210</v>
      </c>
      <c r="E30" s="1462"/>
      <c r="F30" s="1463"/>
      <c r="G30" s="1464">
        <v>5635</v>
      </c>
    </row>
    <row r="31" spans="1:7" ht="14.25">
      <c r="A31" s="1451"/>
      <c r="B31" s="1451"/>
      <c r="C31" s="1472" t="s">
        <v>739</v>
      </c>
      <c r="D31" s="1461" t="s">
        <v>210</v>
      </c>
      <c r="E31" s="1462"/>
      <c r="F31" s="1463"/>
      <c r="G31" s="1464">
        <v>5497</v>
      </c>
    </row>
    <row r="32" spans="1:7" ht="14.25">
      <c r="A32" s="1451"/>
      <c r="B32" s="1451"/>
      <c r="C32" s="1470"/>
      <c r="D32" s="1461"/>
      <c r="E32" s="1476"/>
      <c r="F32" s="1477"/>
      <c r="G32" s="1477"/>
    </row>
    <row r="33" spans="1:7" ht="14.25">
      <c r="A33" s="1451"/>
      <c r="B33" s="1451"/>
      <c r="C33" s="1471" t="s">
        <v>740</v>
      </c>
      <c r="D33" s="1461"/>
      <c r="E33" s="1476"/>
      <c r="F33" s="1477"/>
      <c r="G33" s="1477"/>
    </row>
    <row r="34" spans="1:7" ht="14.25">
      <c r="A34" s="1451"/>
      <c r="B34" s="1451"/>
      <c r="C34" s="1472" t="s">
        <v>733</v>
      </c>
      <c r="D34" s="1461" t="s">
        <v>215</v>
      </c>
      <c r="E34" s="1462"/>
      <c r="F34" s="1463"/>
      <c r="G34" s="1464">
        <v>710</v>
      </c>
    </row>
    <row r="35" spans="1:7" ht="14.25">
      <c r="A35" s="1451"/>
      <c r="B35" s="1451"/>
      <c r="C35" s="1472" t="s">
        <v>223</v>
      </c>
      <c r="D35" s="1461" t="s">
        <v>215</v>
      </c>
      <c r="E35" s="1462"/>
      <c r="F35" s="1463"/>
      <c r="G35" s="1464">
        <v>9669</v>
      </c>
    </row>
    <row r="36" spans="1:7" ht="15" thickBot="1">
      <c r="A36" s="1451"/>
      <c r="B36" s="1451"/>
      <c r="C36" s="1472" t="s">
        <v>222</v>
      </c>
      <c r="D36" s="1461" t="s">
        <v>215</v>
      </c>
      <c r="E36" s="1462"/>
      <c r="F36" s="1463"/>
      <c r="G36" s="1464">
        <v>19286</v>
      </c>
    </row>
    <row r="37" spans="1:7" ht="15" thickBot="1">
      <c r="A37" s="1451"/>
      <c r="B37" s="1451"/>
      <c r="C37" s="1473" t="s">
        <v>200</v>
      </c>
      <c r="D37" s="1461"/>
      <c r="E37" s="1474"/>
      <c r="F37" s="1475"/>
      <c r="G37" s="1475">
        <v>29665</v>
      </c>
    </row>
    <row r="38" spans="1:7" ht="14.25">
      <c r="A38" s="1451"/>
      <c r="B38" s="1451"/>
      <c r="C38" s="1470"/>
      <c r="D38" s="1461"/>
      <c r="E38" s="1469"/>
      <c r="F38" s="1452"/>
      <c r="G38" s="1452"/>
    </row>
    <row r="39" spans="1:7" ht="14.25">
      <c r="A39" s="1451"/>
      <c r="B39" s="1451"/>
      <c r="C39" s="1471" t="s">
        <v>741</v>
      </c>
      <c r="D39" s="1461"/>
      <c r="E39" s="1469"/>
      <c r="F39" s="1452"/>
      <c r="G39" s="1452"/>
    </row>
    <row r="40" spans="1:7" ht="14.25">
      <c r="A40" s="1451"/>
      <c r="B40" s="1451"/>
      <c r="C40" s="1472" t="s">
        <v>742</v>
      </c>
      <c r="D40" s="1461" t="s">
        <v>743</v>
      </c>
      <c r="E40" s="1462"/>
      <c r="F40" s="1463"/>
      <c r="G40" s="1464">
        <v>1439</v>
      </c>
    </row>
    <row r="41" spans="1:7" ht="14.25">
      <c r="A41" s="1451"/>
      <c r="B41" s="1451"/>
      <c r="C41" s="1472" t="s">
        <v>744</v>
      </c>
      <c r="D41" s="1461" t="s">
        <v>745</v>
      </c>
      <c r="E41" s="1462"/>
      <c r="F41" s="1463"/>
      <c r="G41" s="1478">
        <v>4.8508343165346371E-2</v>
      </c>
    </row>
    <row r="42" spans="1:7" ht="14.25">
      <c r="A42" s="1451"/>
      <c r="B42" s="1451"/>
      <c r="C42" s="1470"/>
      <c r="D42" s="1461"/>
      <c r="E42" s="1476"/>
      <c r="F42" s="1477"/>
      <c r="G42" s="1477"/>
    </row>
    <row r="43" spans="1:7" ht="15.75" thickBot="1">
      <c r="A43" s="1451"/>
      <c r="B43" s="1451"/>
      <c r="C43" s="1460"/>
      <c r="D43" s="1465"/>
      <c r="E43" s="1466"/>
      <c r="F43" s="1467"/>
      <c r="G43" s="1467"/>
    </row>
    <row r="44" spans="1:7" ht="15">
      <c r="A44" s="1451"/>
      <c r="B44" s="1451"/>
      <c r="C44" s="1468" t="s">
        <v>746</v>
      </c>
      <c r="D44" s="1461"/>
      <c r="E44" s="1476"/>
      <c r="F44" s="1477"/>
      <c r="G44" s="1477"/>
    </row>
    <row r="45" spans="1:7" ht="14.25">
      <c r="A45" s="1451"/>
      <c r="B45" s="1451"/>
      <c r="C45" s="1470"/>
      <c r="D45" s="1461"/>
      <c r="E45" s="1476"/>
      <c r="F45" s="1477"/>
      <c r="G45" s="1477"/>
    </row>
    <row r="46" spans="1:7" ht="14.25">
      <c r="A46" s="1451"/>
      <c r="B46" s="1451"/>
      <c r="C46" s="1471" t="s">
        <v>747</v>
      </c>
      <c r="D46" s="1461"/>
      <c r="E46" s="1476"/>
      <c r="F46" s="1477"/>
      <c r="G46" s="1477"/>
    </row>
    <row r="47" spans="1:7" ht="14.25">
      <c r="A47" s="1451"/>
      <c r="B47" s="1451"/>
      <c r="C47" s="1472" t="s">
        <v>401</v>
      </c>
      <c r="D47" s="1461" t="s">
        <v>748</v>
      </c>
      <c r="E47" s="1462"/>
      <c r="F47" s="1463"/>
      <c r="G47" s="1479">
        <v>2384</v>
      </c>
    </row>
    <row r="48" spans="1:7" ht="14.25">
      <c r="A48" s="1451"/>
      <c r="B48" s="1451"/>
      <c r="C48" s="1472" t="s">
        <v>402</v>
      </c>
      <c r="D48" s="1461" t="s">
        <v>748</v>
      </c>
      <c r="E48" s="1462"/>
      <c r="F48" s="1463"/>
      <c r="G48" s="1479">
        <v>2702</v>
      </c>
    </row>
    <row r="49" spans="1:7" ht="14.25">
      <c r="A49" s="1451"/>
      <c r="B49" s="1451"/>
      <c r="C49" s="1472" t="s">
        <v>223</v>
      </c>
      <c r="D49" s="1461" t="s">
        <v>748</v>
      </c>
      <c r="E49" s="1462"/>
      <c r="F49" s="1463"/>
      <c r="G49" s="1479">
        <v>12593</v>
      </c>
    </row>
    <row r="50" spans="1:7" ht="15" thickBot="1">
      <c r="A50" s="1451"/>
      <c r="B50" s="1451"/>
      <c r="C50" s="1472" t="s">
        <v>222</v>
      </c>
      <c r="D50" s="1461" t="s">
        <v>748</v>
      </c>
      <c r="E50" s="1462"/>
      <c r="F50" s="1463"/>
      <c r="G50" s="1479">
        <v>5071</v>
      </c>
    </row>
    <row r="51" spans="1:7" ht="15" thickBot="1">
      <c r="A51" s="1451"/>
      <c r="B51" s="1451"/>
      <c r="C51" s="1473" t="s">
        <v>200</v>
      </c>
      <c r="D51" s="1461" t="s">
        <v>748</v>
      </c>
      <c r="E51" s="1474"/>
      <c r="F51" s="1475"/>
      <c r="G51" s="1475">
        <v>22750</v>
      </c>
    </row>
    <row r="52" spans="1:7" ht="14.25">
      <c r="A52" s="1451"/>
      <c r="B52" s="1451"/>
      <c r="C52" s="1470"/>
      <c r="D52" s="1461"/>
      <c r="E52" s="1476"/>
      <c r="F52" s="1477"/>
      <c r="G52" s="1477"/>
    </row>
    <row r="53" spans="1:7" ht="14.25">
      <c r="A53" s="1451"/>
      <c r="B53" s="1451"/>
      <c r="C53" s="1471" t="s">
        <v>749</v>
      </c>
      <c r="D53" s="1461"/>
      <c r="E53" s="1476"/>
      <c r="F53" s="1477"/>
      <c r="G53" s="1477"/>
    </row>
    <row r="54" spans="1:7" ht="14.25">
      <c r="A54" s="1451"/>
      <c r="B54" s="1451"/>
      <c r="C54" s="1472" t="s">
        <v>401</v>
      </c>
      <c r="D54" s="1461" t="s">
        <v>748</v>
      </c>
      <c r="E54" s="1462"/>
      <c r="F54" s="1463"/>
      <c r="G54" s="1479">
        <v>199</v>
      </c>
    </row>
    <row r="55" spans="1:7" ht="14.25">
      <c r="A55" s="1451"/>
      <c r="B55" s="1451"/>
      <c r="C55" s="1472" t="s">
        <v>402</v>
      </c>
      <c r="D55" s="1461" t="s">
        <v>748</v>
      </c>
      <c r="E55" s="1462"/>
      <c r="F55" s="1463"/>
      <c r="G55" s="1479">
        <v>1721</v>
      </c>
    </row>
    <row r="56" spans="1:7" ht="14.25">
      <c r="A56" s="1451"/>
      <c r="B56" s="1451"/>
      <c r="C56" s="1472" t="s">
        <v>223</v>
      </c>
      <c r="D56" s="1461" t="s">
        <v>748</v>
      </c>
      <c r="E56" s="1462"/>
      <c r="F56" s="1463"/>
      <c r="G56" s="1479">
        <v>13288</v>
      </c>
    </row>
    <row r="57" spans="1:7" ht="15" thickBot="1">
      <c r="A57" s="1451"/>
      <c r="B57" s="1451"/>
      <c r="C57" s="1472" t="s">
        <v>222</v>
      </c>
      <c r="D57" s="1461" t="s">
        <v>748</v>
      </c>
      <c r="E57" s="1462"/>
      <c r="F57" s="1463"/>
      <c r="G57" s="1479">
        <v>32990</v>
      </c>
    </row>
    <row r="58" spans="1:7" ht="15" thickBot="1">
      <c r="A58" s="1451"/>
      <c r="B58" s="1451"/>
      <c r="C58" s="1480" t="s">
        <v>200</v>
      </c>
      <c r="D58" s="1461" t="s">
        <v>748</v>
      </c>
      <c r="E58" s="1474"/>
      <c r="F58" s="1475"/>
      <c r="G58" s="1475">
        <v>48198</v>
      </c>
    </row>
    <row r="59" spans="1:7" ht="14.25">
      <c r="A59" s="1451"/>
      <c r="B59" s="1451"/>
      <c r="C59" s="1470"/>
      <c r="D59" s="1461"/>
      <c r="E59" s="1476"/>
      <c r="F59" s="1477"/>
      <c r="G59" s="1477"/>
    </row>
    <row r="60" spans="1:7" ht="14.25">
      <c r="A60" s="1451"/>
      <c r="B60" s="1451"/>
      <c r="C60" s="1471" t="s">
        <v>750</v>
      </c>
      <c r="D60" s="1461"/>
      <c r="E60" s="1476"/>
      <c r="F60" s="1477"/>
      <c r="G60" s="1477"/>
    </row>
    <row r="61" spans="1:7" ht="14.25">
      <c r="A61" s="1451"/>
      <c r="B61" s="1451"/>
      <c r="C61" s="1472" t="s">
        <v>401</v>
      </c>
      <c r="D61" s="1461" t="s">
        <v>748</v>
      </c>
      <c r="E61" s="1481"/>
      <c r="F61" s="1479"/>
      <c r="G61" s="1479">
        <v>2583</v>
      </c>
    </row>
    <row r="62" spans="1:7" ht="14.25">
      <c r="A62" s="1451"/>
      <c r="B62" s="1451"/>
      <c r="C62" s="1472" t="s">
        <v>402</v>
      </c>
      <c r="D62" s="1461" t="s">
        <v>748</v>
      </c>
      <c r="E62" s="1481"/>
      <c r="F62" s="1479"/>
      <c r="G62" s="1479">
        <v>4423</v>
      </c>
    </row>
    <row r="63" spans="1:7" ht="14.25">
      <c r="A63" s="1451"/>
      <c r="B63" s="1451"/>
      <c r="C63" s="1472" t="s">
        <v>223</v>
      </c>
      <c r="D63" s="1461" t="s">
        <v>748</v>
      </c>
      <c r="E63" s="1481"/>
      <c r="F63" s="1479"/>
      <c r="G63" s="1479">
        <v>25881</v>
      </c>
    </row>
    <row r="64" spans="1:7" ht="15" thickBot="1">
      <c r="A64" s="1451"/>
      <c r="B64" s="1451"/>
      <c r="C64" s="1472" t="s">
        <v>222</v>
      </c>
      <c r="D64" s="1461" t="s">
        <v>748</v>
      </c>
      <c r="E64" s="1481"/>
      <c r="F64" s="1479"/>
      <c r="G64" s="1479">
        <v>38061</v>
      </c>
    </row>
    <row r="65" spans="1:7" ht="15" thickBot="1">
      <c r="A65" s="1451"/>
      <c r="B65" s="1451"/>
      <c r="C65" s="1473" t="s">
        <v>200</v>
      </c>
      <c r="D65" s="1461" t="s">
        <v>748</v>
      </c>
      <c r="E65" s="1474"/>
      <c r="F65" s="1475"/>
      <c r="G65" s="1475">
        <v>70948</v>
      </c>
    </row>
    <row r="66" spans="1:7" ht="14.25">
      <c r="A66" s="1451"/>
      <c r="B66" s="1451"/>
      <c r="C66" s="1470"/>
      <c r="D66" s="1461"/>
      <c r="E66" s="1476"/>
      <c r="F66" s="1477"/>
      <c r="G66" s="1477"/>
    </row>
    <row r="67" spans="1:7" ht="14.25">
      <c r="A67" s="1451"/>
      <c r="B67" s="1451"/>
      <c r="C67" s="1471" t="s">
        <v>751</v>
      </c>
      <c r="D67" s="1461"/>
      <c r="E67" s="1476"/>
      <c r="F67" s="1477"/>
      <c r="G67" s="1477"/>
    </row>
    <row r="68" spans="1:7" ht="14.25">
      <c r="A68" s="1451"/>
      <c r="B68" s="1451"/>
      <c r="C68" s="1472" t="s">
        <v>401</v>
      </c>
      <c r="D68" s="1461" t="s">
        <v>752</v>
      </c>
      <c r="E68" s="1462"/>
      <c r="F68" s="1463"/>
      <c r="G68" s="1464">
        <v>80</v>
      </c>
    </row>
    <row r="69" spans="1:7" ht="14.25">
      <c r="A69" s="1451"/>
      <c r="B69" s="1451"/>
      <c r="C69" s="1472" t="s">
        <v>753</v>
      </c>
      <c r="D69" s="1461" t="s">
        <v>752</v>
      </c>
      <c r="E69" s="1462"/>
      <c r="F69" s="1463"/>
      <c r="G69" s="1464">
        <v>340</v>
      </c>
    </row>
    <row r="70" spans="1:7" ht="14.25">
      <c r="A70" s="1451"/>
      <c r="B70" s="1451"/>
      <c r="C70" s="1472" t="s">
        <v>754</v>
      </c>
      <c r="D70" s="1461" t="s">
        <v>752</v>
      </c>
      <c r="E70" s="1462"/>
      <c r="F70" s="1463"/>
      <c r="G70" s="1464">
        <v>0</v>
      </c>
    </row>
    <row r="71" spans="1:7" ht="14.25">
      <c r="A71" s="1451"/>
      <c r="B71" s="1451"/>
      <c r="C71" s="1472" t="s">
        <v>755</v>
      </c>
      <c r="D71" s="1461" t="s">
        <v>752</v>
      </c>
      <c r="E71" s="1462"/>
      <c r="F71" s="1463"/>
      <c r="G71" s="1464">
        <v>19981</v>
      </c>
    </row>
    <row r="72" spans="1:7" ht="15" thickBot="1">
      <c r="A72" s="1451"/>
      <c r="B72" s="1451"/>
      <c r="C72" s="1472" t="s">
        <v>756</v>
      </c>
      <c r="D72" s="1461" t="s">
        <v>752</v>
      </c>
      <c r="E72" s="1462"/>
      <c r="F72" s="1463"/>
      <c r="G72" s="1464">
        <v>22698</v>
      </c>
    </row>
    <row r="73" spans="1:7" ht="15" thickBot="1">
      <c r="A73" s="1451"/>
      <c r="B73" s="1451"/>
      <c r="C73" s="1473" t="s">
        <v>200</v>
      </c>
      <c r="D73" s="1461" t="s">
        <v>752</v>
      </c>
      <c r="E73" s="1474"/>
      <c r="F73" s="1475"/>
      <c r="G73" s="1475">
        <v>43099</v>
      </c>
    </row>
    <row r="74" spans="1:7" ht="15.75" thickBot="1">
      <c r="A74" s="1451"/>
      <c r="B74" s="1451"/>
      <c r="C74" s="1466"/>
      <c r="D74" s="1465"/>
      <c r="E74" s="1466"/>
      <c r="F74" s="1467"/>
      <c r="G74" s="1482"/>
    </row>
    <row r="75" spans="1:7" ht="14.25">
      <c r="A75" s="767"/>
      <c r="B75" s="767"/>
      <c r="C75" s="767"/>
      <c r="D75" s="767"/>
      <c r="E75" s="767"/>
      <c r="F75" s="767"/>
      <c r="G75" s="767"/>
    </row>
    <row r="76" spans="1:7" ht="14.25">
      <c r="A76" s="1451"/>
      <c r="B76" s="1451"/>
      <c r="C76" s="767"/>
      <c r="D76" s="767"/>
      <c r="E76" s="767"/>
      <c r="F76" s="767"/>
      <c r="G76" s="767"/>
    </row>
    <row r="77" spans="1:7" ht="14.25">
      <c r="A77" s="1451"/>
      <c r="B77" s="1451"/>
      <c r="C77" s="767"/>
      <c r="D77" s="767"/>
      <c r="E77" s="767"/>
      <c r="F77" s="767"/>
      <c r="G77" s="767"/>
    </row>
    <row r="78" spans="1:7" ht="14.25">
      <c r="A78" s="1451"/>
      <c r="B78" s="1451"/>
      <c r="C78" s="767"/>
      <c r="D78" s="767"/>
      <c r="E78" s="767"/>
      <c r="F78" s="767"/>
      <c r="G78" s="767"/>
    </row>
    <row r="79" spans="1:7" ht="14.25">
      <c r="A79" s="1451"/>
      <c r="B79" s="1451"/>
      <c r="C79" s="767"/>
      <c r="D79" s="767"/>
      <c r="E79" s="767"/>
      <c r="F79" s="767"/>
      <c r="G79" s="767"/>
    </row>
    <row r="80" spans="1:7" ht="14.25">
      <c r="A80" s="1451"/>
      <c r="B80" s="1451"/>
      <c r="C80" s="767"/>
      <c r="D80" s="767"/>
      <c r="E80" s="767"/>
      <c r="F80" s="767"/>
      <c r="G80" s="767"/>
    </row>
  </sheetData>
  <mergeCells count="3">
    <mergeCell ref="A5:C5"/>
    <mergeCell ref="E8:G8"/>
    <mergeCell ref="H8:I8"/>
  </mergeCells>
  <hyperlinks>
    <hyperlink ref="F1" location="Inputs!A1" display="Index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L49"/>
  <sheetViews>
    <sheetView workbookViewId="0">
      <selection activeCell="J49" sqref="J49"/>
    </sheetView>
  </sheetViews>
  <sheetFormatPr defaultColWidth="8.85546875" defaultRowHeight="15"/>
  <cols>
    <col min="1" max="4" width="8.85546875" style="2" customWidth="1"/>
    <col min="5" max="5" width="17.42578125" style="2" customWidth="1"/>
    <col min="6" max="7" width="8.85546875" style="2" customWidth="1"/>
    <col min="8" max="12" width="8.42578125" style="2" bestFit="1" customWidth="1"/>
    <col min="13" max="16384" width="8.85546875" style="2"/>
  </cols>
  <sheetData>
    <row r="1" spans="1:12">
      <c r="C1" s="2" t="s">
        <v>757</v>
      </c>
    </row>
    <row r="8" spans="1:12">
      <c r="A8" s="2" t="s">
        <v>758</v>
      </c>
      <c r="H8" s="29" t="s">
        <v>79</v>
      </c>
      <c r="I8" s="29" t="s">
        <v>80</v>
      </c>
      <c r="J8" s="29" t="s">
        <v>81</v>
      </c>
      <c r="K8" s="29" t="s">
        <v>82</v>
      </c>
      <c r="L8" s="29" t="s">
        <v>44</v>
      </c>
    </row>
    <row r="9" spans="1:12">
      <c r="H9" s="29">
        <v>16</v>
      </c>
      <c r="I9" s="29">
        <v>17</v>
      </c>
      <c r="J9" s="29">
        <v>18</v>
      </c>
      <c r="K9" s="29">
        <v>19</v>
      </c>
      <c r="L9" s="29">
        <v>20</v>
      </c>
    </row>
    <row r="11" spans="1:12">
      <c r="B11" s="2" t="s">
        <v>759</v>
      </c>
      <c r="F11" s="2" t="s">
        <v>203</v>
      </c>
      <c r="H11" s="47">
        <v>257.60172699999998</v>
      </c>
      <c r="I11" s="47">
        <v>263.83625999999998</v>
      </c>
      <c r="J11" s="47">
        <v>276.42685499999999</v>
      </c>
      <c r="K11" s="48"/>
      <c r="L11" s="48"/>
    </row>
    <row r="12" spans="1:12">
      <c r="B12" s="2" t="s">
        <v>760</v>
      </c>
      <c r="F12" s="2" t="s">
        <v>203</v>
      </c>
      <c r="H12" s="47">
        <v>2.1202839999999998</v>
      </c>
      <c r="I12" s="47">
        <v>-2.1209500000000001</v>
      </c>
      <c r="J12" s="47">
        <v>-4.5983270000000003</v>
      </c>
      <c r="K12" s="48"/>
      <c r="L12" s="48"/>
    </row>
    <row r="13" spans="1:12">
      <c r="B13" s="2" t="s">
        <v>761</v>
      </c>
      <c r="F13" s="2" t="s">
        <v>203</v>
      </c>
      <c r="H13" s="47">
        <v>9.429665</v>
      </c>
      <c r="I13" s="47">
        <v>8.5679599999999994</v>
      </c>
      <c r="J13" s="47">
        <v>26.407907999999999</v>
      </c>
      <c r="K13" s="48"/>
      <c r="L13" s="48"/>
    </row>
    <row r="14" spans="1:12">
      <c r="B14" s="2" t="s">
        <v>762</v>
      </c>
      <c r="F14" s="2" t="s">
        <v>203</v>
      </c>
      <c r="H14" s="47">
        <v>8.5620899999999995</v>
      </c>
      <c r="I14" s="47">
        <v>-5.3793519999999999</v>
      </c>
      <c r="J14" s="47">
        <v>-1.480097</v>
      </c>
      <c r="K14" s="48"/>
      <c r="L14" s="48"/>
    </row>
    <row r="15" spans="1:12">
      <c r="H15" s="49"/>
      <c r="I15" s="49"/>
      <c r="J15" s="49"/>
      <c r="K15" s="50"/>
      <c r="L15" s="50"/>
    </row>
    <row r="16" spans="1:12">
      <c r="B16" s="2" t="s">
        <v>763</v>
      </c>
      <c r="F16" s="2" t="s">
        <v>203</v>
      </c>
      <c r="H16" s="51">
        <v>260.589586</v>
      </c>
      <c r="I16" s="51">
        <v>275.662622</v>
      </c>
      <c r="J16" s="51">
        <v>299.71653300000003</v>
      </c>
      <c r="K16" s="52"/>
      <c r="L16" s="52"/>
    </row>
    <row r="17" spans="1:12">
      <c r="H17" s="53"/>
      <c r="I17" s="53"/>
      <c r="J17" s="53"/>
      <c r="K17" s="54"/>
      <c r="L17" s="54"/>
    </row>
    <row r="18" spans="1:12">
      <c r="B18" s="2" t="s">
        <v>764</v>
      </c>
      <c r="F18" s="2" t="s">
        <v>203</v>
      </c>
      <c r="H18" s="47">
        <v>255.53</v>
      </c>
      <c r="I18" s="47">
        <v>274.27999999999997</v>
      </c>
      <c r="J18" s="47">
        <v>287.86</v>
      </c>
      <c r="K18" s="48"/>
      <c r="L18" s="48"/>
    </row>
    <row r="19" spans="1:12">
      <c r="B19" s="2" t="s">
        <v>765</v>
      </c>
      <c r="F19" s="2" t="s">
        <v>203</v>
      </c>
      <c r="H19" s="47">
        <v>1.83</v>
      </c>
      <c r="I19" s="47">
        <v>-0.72</v>
      </c>
      <c r="J19" s="47">
        <v>-3.93</v>
      </c>
      <c r="K19" s="48"/>
      <c r="L19" s="48"/>
    </row>
    <row r="20" spans="1:12">
      <c r="H20" s="49"/>
      <c r="I20" s="49"/>
      <c r="J20" s="49"/>
      <c r="K20" s="50"/>
      <c r="L20" s="50"/>
    </row>
    <row r="21" spans="1:12">
      <c r="B21" s="2" t="s">
        <v>766</v>
      </c>
      <c r="F21" s="2" t="s">
        <v>203</v>
      </c>
      <c r="H21" s="55">
        <v>-5.0595860000000004</v>
      </c>
      <c r="I21" s="55">
        <v>-1.382622</v>
      </c>
      <c r="J21" s="55">
        <v>-11.856533000000001</v>
      </c>
      <c r="K21" s="56"/>
      <c r="L21" s="56"/>
    </row>
    <row r="22" spans="1:12">
      <c r="H22" s="53"/>
      <c r="I22" s="53"/>
      <c r="J22" s="53"/>
      <c r="K22" s="54"/>
      <c r="L22" s="54"/>
    </row>
    <row r="23" spans="1:12">
      <c r="H23" s="53"/>
      <c r="I23" s="53"/>
      <c r="J23" s="53"/>
      <c r="K23" s="54"/>
      <c r="L23" s="54"/>
    </row>
    <row r="24" spans="1:12">
      <c r="A24" s="2" t="s">
        <v>767</v>
      </c>
      <c r="H24" s="53"/>
      <c r="I24" s="53"/>
      <c r="J24" s="53"/>
      <c r="K24" s="54"/>
      <c r="L24" s="54"/>
    </row>
    <row r="25" spans="1:12">
      <c r="H25" s="53"/>
      <c r="I25" s="53"/>
      <c r="J25" s="53"/>
      <c r="K25" s="54"/>
      <c r="L25" s="54"/>
    </row>
    <row r="26" spans="1:12">
      <c r="B26" s="2" t="s">
        <v>768</v>
      </c>
      <c r="F26" s="2" t="s">
        <v>203</v>
      </c>
      <c r="H26" s="47">
        <v>0</v>
      </c>
      <c r="I26" s="47">
        <v>1.2822999999999999E-2</v>
      </c>
      <c r="J26" s="47">
        <v>4.2557999999999999E-2</v>
      </c>
      <c r="K26" s="48"/>
      <c r="L26" s="48"/>
    </row>
    <row r="27" spans="1:12">
      <c r="B27" s="2" t="s">
        <v>769</v>
      </c>
      <c r="F27" s="2" t="s">
        <v>203</v>
      </c>
      <c r="H27" s="47">
        <v>0</v>
      </c>
      <c r="I27" s="47">
        <v>0</v>
      </c>
      <c r="J27" s="47">
        <v>0</v>
      </c>
      <c r="K27" s="48"/>
      <c r="L27" s="48"/>
    </row>
    <row r="28" spans="1:12">
      <c r="B28" s="2" t="s">
        <v>770</v>
      </c>
      <c r="F28" s="2" t="s">
        <v>203</v>
      </c>
      <c r="H28" s="47">
        <v>0</v>
      </c>
      <c r="I28" s="47">
        <v>0</v>
      </c>
      <c r="J28" s="47">
        <v>-3.0219999999999999E-3</v>
      </c>
      <c r="K28" s="48"/>
      <c r="L28" s="48"/>
    </row>
    <row r="29" spans="1:12">
      <c r="H29" s="49"/>
      <c r="I29" s="49"/>
      <c r="J29" s="49"/>
      <c r="K29" s="50"/>
      <c r="L29" s="50"/>
    </row>
    <row r="30" spans="1:12">
      <c r="B30" s="2" t="s">
        <v>767</v>
      </c>
      <c r="F30" s="2" t="s">
        <v>203</v>
      </c>
      <c r="H30" s="51">
        <v>0</v>
      </c>
      <c r="I30" s="51">
        <v>1.2822999999999999E-2</v>
      </c>
      <c r="J30" s="51">
        <v>4.5580000000000002E-2</v>
      </c>
      <c r="K30" s="52"/>
      <c r="L30" s="52"/>
    </row>
    <row r="31" spans="1:12">
      <c r="H31" s="53"/>
      <c r="I31" s="53"/>
      <c r="J31" s="53"/>
      <c r="K31" s="54"/>
      <c r="L31" s="54"/>
    </row>
    <row r="32" spans="1:12">
      <c r="B32" s="2" t="s">
        <v>771</v>
      </c>
      <c r="F32" s="2" t="s">
        <v>203</v>
      </c>
      <c r="H32" s="47">
        <v>0</v>
      </c>
      <c r="I32" s="47">
        <v>0.01</v>
      </c>
      <c r="J32" s="47">
        <v>0.08</v>
      </c>
      <c r="K32" s="48"/>
      <c r="L32" s="48"/>
    </row>
    <row r="33" spans="1:12">
      <c r="H33" s="53"/>
      <c r="I33" s="53"/>
      <c r="J33" s="53"/>
      <c r="K33" s="54"/>
      <c r="L33" s="54"/>
    </row>
    <row r="34" spans="1:12">
      <c r="B34" s="2" t="s">
        <v>766</v>
      </c>
      <c r="F34" s="2" t="s">
        <v>203</v>
      </c>
      <c r="H34" s="55">
        <v>0</v>
      </c>
      <c r="I34" s="55">
        <v>-2.823E-3</v>
      </c>
      <c r="J34" s="55">
        <v>3.4419999999999999E-2</v>
      </c>
      <c r="K34" s="56"/>
      <c r="L34" s="56"/>
    </row>
    <row r="35" spans="1:12">
      <c r="H35" s="53"/>
      <c r="I35" s="53"/>
      <c r="J35" s="53"/>
      <c r="K35" s="54"/>
      <c r="L35" s="54"/>
    </row>
    <row r="36" spans="1:12">
      <c r="H36" s="53"/>
      <c r="I36" s="53"/>
      <c r="J36" s="53"/>
      <c r="K36" s="54"/>
      <c r="L36" s="54"/>
    </row>
    <row r="37" spans="1:12">
      <c r="A37" s="2" t="s">
        <v>772</v>
      </c>
      <c r="H37" s="57"/>
      <c r="I37" s="57"/>
      <c r="J37" s="57"/>
      <c r="K37" s="58"/>
      <c r="L37" s="58"/>
    </row>
    <row r="38" spans="1:12">
      <c r="B38" s="2" t="s">
        <v>773</v>
      </c>
      <c r="F38" s="2" t="s">
        <v>203</v>
      </c>
      <c r="H38" s="47">
        <v>9.06</v>
      </c>
      <c r="I38" s="47">
        <v>8.98</v>
      </c>
      <c r="J38" s="47">
        <v>9.85</v>
      </c>
      <c r="K38" s="48"/>
      <c r="L38" s="48"/>
    </row>
    <row r="39" spans="1:12">
      <c r="B39" s="2" t="s">
        <v>774</v>
      </c>
      <c r="F39" s="2" t="s">
        <v>203</v>
      </c>
      <c r="H39" s="47">
        <v>6.7381739999999999</v>
      </c>
      <c r="I39" s="47">
        <v>4.3875710000000003</v>
      </c>
      <c r="J39" s="59">
        <v>0</v>
      </c>
      <c r="K39" s="60"/>
      <c r="L39" s="60"/>
    </row>
    <row r="40" spans="1:12">
      <c r="H40" s="53"/>
      <c r="I40" s="53"/>
      <c r="J40" s="53"/>
      <c r="K40" s="54"/>
      <c r="L40" s="54"/>
    </row>
    <row r="41" spans="1:12">
      <c r="H41" s="61">
        <v>15.798173999999999</v>
      </c>
      <c r="I41" s="61">
        <v>13.367571</v>
      </c>
      <c r="J41" s="61">
        <v>9.85</v>
      </c>
      <c r="K41" s="62"/>
      <c r="L41" s="62"/>
    </row>
    <row r="42" spans="1:12">
      <c r="H42" s="57"/>
      <c r="I42" s="57"/>
      <c r="J42" s="57"/>
      <c r="K42" s="58"/>
      <c r="L42" s="58"/>
    </row>
    <row r="43" spans="1:12">
      <c r="H43" s="57"/>
      <c r="I43" s="57"/>
      <c r="J43" s="57"/>
      <c r="K43" s="58"/>
      <c r="L43" s="58"/>
    </row>
    <row r="44" spans="1:12">
      <c r="A44" s="2" t="s">
        <v>775</v>
      </c>
      <c r="H44" s="57"/>
      <c r="I44" s="57"/>
      <c r="J44" s="57"/>
      <c r="K44" s="58"/>
      <c r="L44" s="58"/>
    </row>
    <row r="45" spans="1:12">
      <c r="B45" s="2" t="s">
        <v>776</v>
      </c>
      <c r="F45" s="2" t="s">
        <v>203</v>
      </c>
      <c r="H45" s="47">
        <v>63.79</v>
      </c>
      <c r="I45" s="47">
        <v>67.66</v>
      </c>
      <c r="J45" s="47">
        <v>104.02</v>
      </c>
      <c r="K45" s="48"/>
      <c r="L45" s="48"/>
    </row>
    <row r="46" spans="1:12">
      <c r="B46" s="2" t="s">
        <v>777</v>
      </c>
      <c r="F46" s="2" t="s">
        <v>203</v>
      </c>
      <c r="H46" s="63">
        <v>4.87</v>
      </c>
      <c r="I46" s="63">
        <v>4.63</v>
      </c>
      <c r="J46" s="63">
        <v>4.45</v>
      </c>
      <c r="K46" s="64"/>
      <c r="L46" s="64"/>
    </row>
    <row r="47" spans="1:12">
      <c r="B47" s="2" t="s">
        <v>778</v>
      </c>
      <c r="F47" s="2" t="s">
        <v>203</v>
      </c>
      <c r="H47" s="63">
        <v>2.89</v>
      </c>
      <c r="I47" s="63">
        <v>2.57</v>
      </c>
      <c r="J47" s="63">
        <v>2.2200000000000002</v>
      </c>
      <c r="K47" s="64"/>
      <c r="L47" s="64"/>
    </row>
    <row r="48" spans="1:12">
      <c r="H48" s="57"/>
      <c r="I48" s="57"/>
      <c r="J48" s="57"/>
      <c r="K48" s="58"/>
      <c r="L48" s="58"/>
    </row>
    <row r="49" spans="8:12">
      <c r="H49" s="55">
        <v>71.55</v>
      </c>
      <c r="I49" s="55">
        <v>74.86</v>
      </c>
      <c r="J49" s="55">
        <v>110.69</v>
      </c>
      <c r="K49" s="56"/>
      <c r="L49" s="56"/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6:I163"/>
  <sheetViews>
    <sheetView showGridLines="0" topLeftCell="A121" workbookViewId="0">
      <selection activeCell="E151" sqref="E151:E152"/>
    </sheetView>
  </sheetViews>
  <sheetFormatPr defaultColWidth="10.85546875" defaultRowHeight="15"/>
  <cols>
    <col min="1" max="1" width="4.28515625" style="1" customWidth="1"/>
    <col min="2" max="2" width="4.28515625" style="2" customWidth="1"/>
    <col min="3" max="3" width="27.42578125" style="2" bestFit="1" customWidth="1"/>
    <col min="4" max="9" width="22.85546875" style="2" customWidth="1"/>
    <col min="10" max="16384" width="10.85546875" style="2"/>
  </cols>
  <sheetData>
    <row r="16" spans="3:9" s="1" customFormat="1" ht="30">
      <c r="C16" s="1" t="s">
        <v>77</v>
      </c>
      <c r="D16" s="1" t="s">
        <v>190</v>
      </c>
      <c r="E16" s="31" t="s">
        <v>779</v>
      </c>
      <c r="F16" s="31"/>
      <c r="G16" s="31" t="s">
        <v>780</v>
      </c>
      <c r="H16" s="31" t="s">
        <v>781</v>
      </c>
      <c r="I16" s="31" t="s">
        <v>782</v>
      </c>
    </row>
    <row r="17" spans="1:9" s="1" customFormat="1" ht="60">
      <c r="E17" s="31" t="s">
        <v>783</v>
      </c>
      <c r="F17" s="31" t="s">
        <v>784</v>
      </c>
      <c r="G17" s="31" t="s">
        <v>785</v>
      </c>
      <c r="H17" s="31" t="s">
        <v>786</v>
      </c>
      <c r="I17" s="31" t="s">
        <v>787</v>
      </c>
    </row>
    <row r="18" spans="1:9">
      <c r="A18" s="1" t="s">
        <v>89</v>
      </c>
    </row>
    <row r="19" spans="1:9">
      <c r="B19" s="2" t="s">
        <v>429</v>
      </c>
    </row>
    <row r="20" spans="1:9">
      <c r="C20" s="2" t="s">
        <v>91</v>
      </c>
      <c r="D20" s="2" t="s">
        <v>516</v>
      </c>
      <c r="E20" s="2">
        <f>IF(ISNUMBER('FBPQ C2'!J12),'FBPQ C2'!J12,IF(ISNUMBER('FBPQ C2'!I12),'FBPQ C2'!I12,""))</f>
        <v>39.50991010706953</v>
      </c>
      <c r="F20" s="2" t="s">
        <v>788</v>
      </c>
      <c r="G20" s="2">
        <f t="shared" ref="G20:G83" si="0">IF(ISNUMBER(E20),E20,IF(H20&gt;0,F20," "))</f>
        <v>39.50991010706953</v>
      </c>
      <c r="H20" s="2">
        <f>IF(ISBLANK('FBPQ T4'!E12)," ",'FBPQ T4'!AE12)</f>
        <v>5011.7</v>
      </c>
      <c r="I20" s="2">
        <f t="shared" ref="I20:I83" si="1">IF(ISERROR(G20*H20)," ",G20*H20)</f>
        <v>198011.81648360036</v>
      </c>
    </row>
    <row r="21" spans="1:9">
      <c r="C21" s="2" t="s">
        <v>92</v>
      </c>
      <c r="D21" s="2" t="s">
        <v>517</v>
      </c>
      <c r="E21" s="2">
        <f>IF(ISNUMBER('FBPQ C2'!J13),'FBPQ C2'!J13,IF(ISNUMBER('FBPQ C2'!I13),'FBPQ C2'!I13,""))</f>
        <v>0.48182817203743339</v>
      </c>
      <c r="F21" s="2" t="s">
        <v>788</v>
      </c>
      <c r="G21" s="2">
        <f t="shared" si="0"/>
        <v>0.48182817203743339</v>
      </c>
      <c r="H21" s="2">
        <f>IF(ISBLANK('FBPQ T4'!E13)," ",'FBPQ T4'!AE13)</f>
        <v>124564</v>
      </c>
      <c r="I21" s="2">
        <f t="shared" si="1"/>
        <v>60018.444421670851</v>
      </c>
    </row>
    <row r="22" spans="1:9">
      <c r="E22" s="2" t="str">
        <f>IF(ISNUMBER('FBPQ C2'!J14),'FBPQ C2'!J14,IF(ISNUMBER('FBPQ C2'!I14),'FBPQ C2'!I14,""))</f>
        <v/>
      </c>
      <c r="G22" s="2">
        <f t="shared" si="0"/>
        <v>0</v>
      </c>
      <c r="H22" s="2" t="str">
        <f>IF(ISBLANK('FBPQ T4'!E14)," ",'FBPQ T4'!AE14)</f>
        <v xml:space="preserve"> </v>
      </c>
      <c r="I22" s="2" t="str">
        <f t="shared" si="1"/>
        <v xml:space="preserve"> </v>
      </c>
    </row>
    <row r="23" spans="1:9">
      <c r="B23" s="2" t="s">
        <v>93</v>
      </c>
      <c r="E23" s="2" t="str">
        <f>IF(ISNUMBER('FBPQ C2'!J15),'FBPQ C2'!J15,IF(ISNUMBER('FBPQ C2'!I15),'FBPQ C2'!I15,""))</f>
        <v/>
      </c>
      <c r="G23" s="2">
        <f t="shared" si="0"/>
        <v>0</v>
      </c>
      <c r="H23" s="2" t="str">
        <f>IF(ISBLANK('FBPQ T4'!E15)," ",'FBPQ T4'!AE15)</f>
        <v xml:space="preserve"> </v>
      </c>
      <c r="I23" s="2" t="str">
        <f t="shared" si="1"/>
        <v xml:space="preserve"> </v>
      </c>
    </row>
    <row r="24" spans="1:9">
      <c r="C24" s="2" t="s">
        <v>94</v>
      </c>
      <c r="D24" s="2" t="s">
        <v>517</v>
      </c>
      <c r="E24" s="1483">
        <v>0</v>
      </c>
      <c r="F24" s="2" t="s">
        <v>788</v>
      </c>
      <c r="G24" s="2">
        <f t="shared" si="0"/>
        <v>0</v>
      </c>
      <c r="H24" s="2">
        <f>IF(ISBLANK('FBPQ T4'!E16)," ",'FBPQ T4'!AE16)</f>
        <v>121993</v>
      </c>
      <c r="I24" s="2">
        <f t="shared" si="1"/>
        <v>0</v>
      </c>
    </row>
    <row r="25" spans="1:9">
      <c r="E25" s="2" t="str">
        <f>IF(ISNUMBER('FBPQ C2'!J17),'FBPQ C2'!J17,IF(ISNUMBER('FBPQ C2'!I17),'FBPQ C2'!I17,""))</f>
        <v/>
      </c>
      <c r="G25" s="2">
        <f t="shared" si="0"/>
        <v>0</v>
      </c>
      <c r="H25" s="2" t="str">
        <f>IF(ISBLANK('FBPQ T4'!E17)," ",'FBPQ T4'!AE17)</f>
        <v xml:space="preserve"> </v>
      </c>
      <c r="I25" s="2" t="str">
        <f t="shared" si="1"/>
        <v xml:space="preserve"> </v>
      </c>
    </row>
    <row r="26" spans="1:9">
      <c r="B26" s="2" t="s">
        <v>95</v>
      </c>
      <c r="E26" s="2" t="str">
        <f>IF(ISNUMBER('FBPQ C2'!J18),'FBPQ C2'!J18,IF(ISNUMBER('FBPQ C2'!I18),'FBPQ C2'!I18,""))</f>
        <v/>
      </c>
      <c r="G26" s="2">
        <f t="shared" si="0"/>
        <v>0</v>
      </c>
      <c r="H26" s="2" t="str">
        <f>IF(ISBLANK('FBPQ T4'!E18)," ",'FBPQ T4'!AE18)</f>
        <v xml:space="preserve"> </v>
      </c>
      <c r="I26" s="2" t="str">
        <f t="shared" si="1"/>
        <v xml:space="preserve"> </v>
      </c>
    </row>
    <row r="27" spans="1:9">
      <c r="C27" s="2" t="s">
        <v>96</v>
      </c>
      <c r="D27" s="2" t="s">
        <v>516</v>
      </c>
      <c r="E27" s="2">
        <f>IF(ISNUMBER('FBPQ C2'!J19),'FBPQ C2'!J19,IF(ISNUMBER('FBPQ C2'!I19),'FBPQ C2'!I19,""))</f>
        <v>120.45704300935833</v>
      </c>
      <c r="F27" s="2" t="s">
        <v>788</v>
      </c>
      <c r="G27" s="2">
        <f t="shared" si="0"/>
        <v>120.45704300935833</v>
      </c>
      <c r="H27" s="2">
        <f>IF(ISBLANK('FBPQ T4'!E19)," ",'FBPQ T4'!AE19)</f>
        <v>11</v>
      </c>
      <c r="I27" s="2">
        <f t="shared" si="1"/>
        <v>1325.0274731029417</v>
      </c>
    </row>
    <row r="28" spans="1:9">
      <c r="C28" s="2" t="s">
        <v>97</v>
      </c>
      <c r="D28" s="2" t="s">
        <v>516</v>
      </c>
      <c r="E28" s="2">
        <f>IF(ISNUMBER('FBPQ C2'!J20),'FBPQ C2'!J20,IF(ISNUMBER('FBPQ C2'!I20),'FBPQ C2'!I20,""))</f>
        <v>120.45704300935833</v>
      </c>
      <c r="F28" s="2" t="s">
        <v>788</v>
      </c>
      <c r="G28" s="2">
        <f t="shared" si="0"/>
        <v>120.45704300935833</v>
      </c>
      <c r="H28" s="2">
        <f>IF(ISBLANK('FBPQ T4'!E20)," ",'FBPQ T4'!AE20)</f>
        <v>15211.5</v>
      </c>
      <c r="I28" s="2">
        <f t="shared" si="1"/>
        <v>1832332.3097368542</v>
      </c>
    </row>
    <row r="29" spans="1:9">
      <c r="C29" s="2" t="s">
        <v>98</v>
      </c>
      <c r="D29" s="2" t="s">
        <v>516</v>
      </c>
      <c r="E29" s="2">
        <f>IF(ISNUMBER('FBPQ C2'!J21),'FBPQ C2'!J21,IF(ISNUMBER('FBPQ C2'!I21),'FBPQ C2'!I21,""))</f>
        <v>120.45704300935833</v>
      </c>
      <c r="F29" s="2" t="s">
        <v>788</v>
      </c>
      <c r="G29" s="2">
        <f t="shared" si="0"/>
        <v>120.45704300935833</v>
      </c>
      <c r="H29" s="2">
        <f>IF(ISBLANK('FBPQ T4'!E21)," ",'FBPQ T4'!AE21)</f>
        <v>18317</v>
      </c>
      <c r="I29" s="2">
        <f t="shared" si="1"/>
        <v>2206411.6568024163</v>
      </c>
    </row>
    <row r="30" spans="1:9">
      <c r="C30" s="2" t="s">
        <v>99</v>
      </c>
      <c r="D30" s="2" t="s">
        <v>517</v>
      </c>
      <c r="E30" s="2">
        <f>IF(ISNUMBER('FBPQ C2'!J22),'FBPQ C2'!J22,IF(ISNUMBER('FBPQ C2'!I22),'FBPQ C2'!I22,""))</f>
        <v>1.6107756705297416</v>
      </c>
      <c r="F30" s="2" t="s">
        <v>788</v>
      </c>
      <c r="G30" s="2">
        <f t="shared" si="0"/>
        <v>1.6107756705297416</v>
      </c>
      <c r="H30" s="2">
        <f>IF(ISBLANK('FBPQ T4'!E22)," ",'FBPQ T4'!AE22)</f>
        <v>2485119.1</v>
      </c>
      <c r="I30" s="2">
        <f t="shared" si="1"/>
        <v>4002969.3846487682</v>
      </c>
    </row>
    <row r="31" spans="1:9">
      <c r="E31" s="2" t="str">
        <f>IF(ISNUMBER('FBPQ C2'!J23),'FBPQ C2'!J23,IF(ISNUMBER('FBPQ C2'!I23),'FBPQ C2'!I23,""))</f>
        <v/>
      </c>
      <c r="G31" s="2">
        <f t="shared" si="0"/>
        <v>0</v>
      </c>
      <c r="H31" s="2" t="str">
        <f>IF(ISBLANK('FBPQ T4'!E23)," ",'FBPQ T4'!AE23)</f>
        <v xml:space="preserve"> </v>
      </c>
      <c r="I31" s="2" t="str">
        <f t="shared" si="1"/>
        <v xml:space="preserve"> </v>
      </c>
    </row>
    <row r="32" spans="1:9">
      <c r="B32" s="2" t="s">
        <v>100</v>
      </c>
      <c r="E32" s="2" t="str">
        <f>IF(ISNUMBER('FBPQ C2'!J24),'FBPQ C2'!J24,IF(ISNUMBER('FBPQ C2'!I24),'FBPQ C2'!I24,""))</f>
        <v/>
      </c>
      <c r="G32" s="2">
        <f t="shared" si="0"/>
        <v>0</v>
      </c>
      <c r="H32" s="2" t="str">
        <f>IF(ISBLANK('FBPQ T4'!E24)," ",'FBPQ T4'!AE24)</f>
        <v xml:space="preserve"> </v>
      </c>
      <c r="I32" s="2" t="str">
        <f t="shared" si="1"/>
        <v xml:space="preserve"> </v>
      </c>
    </row>
    <row r="33" spans="1:9">
      <c r="C33" s="2" t="s">
        <v>101</v>
      </c>
      <c r="D33" s="2" t="s">
        <v>517</v>
      </c>
      <c r="E33" s="2">
        <f>IF(ISNUMBER('FBPQ C2'!J25),'FBPQ C2'!J25,IF(ISNUMBER('FBPQ C2'!I25),'FBPQ C2'!I25,""))</f>
        <v>5.4205669354211254</v>
      </c>
      <c r="F33" s="2" t="s">
        <v>788</v>
      </c>
      <c r="G33" s="2">
        <f t="shared" si="0"/>
        <v>5.4205669354211254</v>
      </c>
      <c r="H33" s="2">
        <f>IF(ISBLANK('FBPQ T4'!E25)," ",'FBPQ T4'!AE25)</f>
        <v>9596</v>
      </c>
      <c r="I33" s="2">
        <f t="shared" si="1"/>
        <v>52015.760312301121</v>
      </c>
    </row>
    <row r="34" spans="1:9">
      <c r="C34" s="2" t="s">
        <v>102</v>
      </c>
      <c r="D34" s="2" t="s">
        <v>517</v>
      </c>
      <c r="E34" s="2">
        <f>IF(ISNUMBER('FBPQ C2'!J26),'FBPQ C2'!J26,IF(ISNUMBER('FBPQ C2'!I26),'FBPQ C2'!I26,""))</f>
        <v>5.4205669354211254</v>
      </c>
      <c r="F34" s="2" t="s">
        <v>788</v>
      </c>
      <c r="G34" s="2">
        <f t="shared" si="0"/>
        <v>5.4205669354211254</v>
      </c>
      <c r="H34" s="2">
        <f>IF(ISBLANK('FBPQ T4'!E26)," ",'FBPQ T4'!AE26)</f>
        <v>7772</v>
      </c>
      <c r="I34" s="2">
        <f t="shared" si="1"/>
        <v>42128.64622209299</v>
      </c>
    </row>
    <row r="35" spans="1:9">
      <c r="C35" s="2" t="s">
        <v>103</v>
      </c>
      <c r="D35" s="2" t="s">
        <v>517</v>
      </c>
      <c r="E35" s="2">
        <f>IF(ISNUMBER('FBPQ C2'!J27),'FBPQ C2'!J27,IF(ISNUMBER('FBPQ C2'!I27),'FBPQ C2'!I27,""))</f>
        <v>5.4205669354211254</v>
      </c>
      <c r="F35" s="2" t="s">
        <v>788</v>
      </c>
      <c r="G35" s="2">
        <f t="shared" si="0"/>
        <v>5.4205669354211254</v>
      </c>
      <c r="H35" s="2">
        <f>IF(ISBLANK('FBPQ T4'!E27)," ",'FBPQ T4'!AE27)</f>
        <v>2299</v>
      </c>
      <c r="I35" s="2">
        <f t="shared" si="1"/>
        <v>12461.883384533168</v>
      </c>
    </row>
    <row r="36" spans="1:9">
      <c r="C36" s="2" t="s">
        <v>104</v>
      </c>
      <c r="D36" s="2" t="s">
        <v>517</v>
      </c>
      <c r="E36" s="2">
        <f>IF(ISNUMBER('FBPQ C2'!J28),'FBPQ C2'!J28,IF(ISNUMBER('FBPQ C2'!I28),'FBPQ C2'!I28,""))</f>
        <v>4.5773676343556167</v>
      </c>
      <c r="F36" s="2" t="s">
        <v>788</v>
      </c>
      <c r="G36" s="2">
        <f t="shared" si="0"/>
        <v>4.5773676343556167</v>
      </c>
      <c r="H36" s="2">
        <f>IF(ISBLANK('FBPQ T4'!E28)," ",'FBPQ T4'!AE28)</f>
        <v>28524</v>
      </c>
      <c r="I36" s="2">
        <f t="shared" si="1"/>
        <v>130564.83440235961</v>
      </c>
    </row>
    <row r="37" spans="1:9">
      <c r="C37" s="2" t="s">
        <v>105</v>
      </c>
      <c r="D37" s="2" t="s">
        <v>517</v>
      </c>
      <c r="E37" s="1483">
        <v>0</v>
      </c>
      <c r="F37" s="2" t="s">
        <v>788</v>
      </c>
      <c r="G37" s="2">
        <f t="shared" si="0"/>
        <v>0</v>
      </c>
      <c r="H37" s="2">
        <f>IF(ISBLANK('FBPQ T4'!E29)," ",'FBPQ T4'!AE29)</f>
        <v>22692</v>
      </c>
      <c r="I37" s="2">
        <f t="shared" si="1"/>
        <v>0</v>
      </c>
    </row>
    <row r="38" spans="1:9">
      <c r="C38" s="2" t="s">
        <v>106</v>
      </c>
      <c r="D38" s="2" t="s">
        <v>517</v>
      </c>
      <c r="E38" s="2" t="str">
        <f>IF(ISNUMBER('FBPQ C2'!J30),'FBPQ C2'!J30,IF(ISNUMBER('FBPQ C2'!I30),'FBPQ C2'!I30,""))</f>
        <v/>
      </c>
      <c r="F38" s="2" t="s">
        <v>788</v>
      </c>
      <c r="G38" s="2" t="str">
        <f t="shared" si="0"/>
        <v xml:space="preserve"> </v>
      </c>
      <c r="H38" s="2">
        <f>IF(ISBLANK('FBPQ T4'!E30)," ",'FBPQ T4'!AE30)</f>
        <v>0</v>
      </c>
      <c r="I38" s="2" t="str">
        <f t="shared" si="1"/>
        <v xml:space="preserve"> </v>
      </c>
    </row>
    <row r="39" spans="1:9">
      <c r="E39" s="2" t="str">
        <f>IF(ISNUMBER('FBPQ C2'!J31),'FBPQ C2'!J31,IF(ISNUMBER('FBPQ C2'!I31),'FBPQ C2'!I31,""))</f>
        <v/>
      </c>
      <c r="G39" s="2">
        <f t="shared" si="0"/>
        <v>0</v>
      </c>
      <c r="H39" s="2" t="str">
        <f>IF(ISBLANK('FBPQ T4'!E31)," ",'FBPQ T4'!AE31)</f>
        <v xml:space="preserve"> </v>
      </c>
      <c r="I39" s="2" t="str">
        <f t="shared" si="1"/>
        <v xml:space="preserve"> </v>
      </c>
    </row>
    <row r="40" spans="1:9">
      <c r="A40" s="1" t="s">
        <v>107</v>
      </c>
      <c r="E40" s="2" t="str">
        <f>IF(ISNUMBER('FBPQ C2'!J32),'FBPQ C2'!J32,IF(ISNUMBER('FBPQ C2'!I32),'FBPQ C2'!I32,""))</f>
        <v/>
      </c>
      <c r="G40" s="2">
        <f t="shared" si="0"/>
        <v>0</v>
      </c>
      <c r="H40" s="2" t="str">
        <f>IF(ISBLANK('FBPQ T4'!E32)," ",'FBPQ T4'!AE32)</f>
        <v xml:space="preserve"> </v>
      </c>
      <c r="I40" s="2" t="str">
        <f t="shared" si="1"/>
        <v xml:space="preserve"> </v>
      </c>
    </row>
    <row r="41" spans="1:9">
      <c r="B41" s="2" t="s">
        <v>429</v>
      </c>
      <c r="E41" s="2" t="str">
        <f>IF(ISNUMBER('FBPQ C2'!J33),'FBPQ C2'!J33,IF(ISNUMBER('FBPQ C2'!I33),'FBPQ C2'!I33,""))</f>
        <v/>
      </c>
      <c r="G41" s="2">
        <f t="shared" si="0"/>
        <v>0</v>
      </c>
      <c r="H41" s="2" t="str">
        <f>IF(ISBLANK('FBPQ T4'!E33)," ",'FBPQ T4'!AE33)</f>
        <v xml:space="preserve"> </v>
      </c>
      <c r="I41" s="2" t="str">
        <f t="shared" si="1"/>
        <v xml:space="preserve"> </v>
      </c>
    </row>
    <row r="42" spans="1:9">
      <c r="C42" s="2" t="s">
        <v>108</v>
      </c>
      <c r="D42" s="2" t="s">
        <v>516</v>
      </c>
      <c r="E42" s="2">
        <f>IF(ISNUMBER('FBPQ C2'!J34),'FBPQ C2'!J34,IF(ISNUMBER('FBPQ C2'!I34),'FBPQ C2'!I34,""))</f>
        <v>40.834937580172472</v>
      </c>
      <c r="F42" s="2" t="s">
        <v>788</v>
      </c>
      <c r="G42" s="2">
        <f t="shared" si="0"/>
        <v>40.834937580172472</v>
      </c>
      <c r="H42" s="2">
        <f>IF(ISBLANK('FBPQ T4'!E34)," ",'FBPQ T4'!AE34)</f>
        <v>12473.2</v>
      </c>
      <c r="I42" s="2">
        <f t="shared" si="1"/>
        <v>509342.3434250073</v>
      </c>
    </row>
    <row r="43" spans="1:9">
      <c r="C43" s="2" t="s">
        <v>109</v>
      </c>
      <c r="D43" s="2" t="s">
        <v>516</v>
      </c>
      <c r="E43" s="2">
        <f>IF(ISNUMBER('FBPQ C2'!J35),'FBPQ C2'!J35,IF(ISNUMBER('FBPQ C2'!I35),'FBPQ C2'!I35,""))</f>
        <v>40.834937580172472</v>
      </c>
      <c r="F43" s="2" t="s">
        <v>788</v>
      </c>
      <c r="G43" s="2">
        <f t="shared" si="0"/>
        <v>40.834937580172472</v>
      </c>
      <c r="H43" s="2">
        <f>IF(ISBLANK('FBPQ T4'!E35)," ",'FBPQ T4'!AE35)</f>
        <v>20</v>
      </c>
      <c r="I43" s="2">
        <f t="shared" si="1"/>
        <v>816.69875160344941</v>
      </c>
    </row>
    <row r="44" spans="1:9">
      <c r="C44" s="2" t="s">
        <v>110</v>
      </c>
      <c r="D44" s="2" t="s">
        <v>516</v>
      </c>
      <c r="E44" s="2">
        <f>IF(ISNUMBER('FBPQ C2'!J36),'FBPQ C2'!J36,IF(ISNUMBER('FBPQ C2'!I36),'FBPQ C2'!I36,""))</f>
        <v>0</v>
      </c>
      <c r="F44" s="2" t="s">
        <v>788</v>
      </c>
      <c r="G44" s="2">
        <f t="shared" si="0"/>
        <v>0</v>
      </c>
      <c r="H44" s="2">
        <f>IF(ISBLANK('FBPQ T4'!E36)," ",'FBPQ T4'!AE36)</f>
        <v>0</v>
      </c>
      <c r="I44" s="2">
        <f t="shared" si="1"/>
        <v>0</v>
      </c>
    </row>
    <row r="45" spans="1:9">
      <c r="C45" s="2" t="s">
        <v>111</v>
      </c>
      <c r="D45" s="2" t="s">
        <v>516</v>
      </c>
      <c r="E45" s="2">
        <f>IF(ISNUMBER('FBPQ C2'!J37),'FBPQ C2'!J37,IF(ISNUMBER('FBPQ C2'!I37),'FBPQ C2'!I37,""))</f>
        <v>0</v>
      </c>
      <c r="F45" s="2" t="s">
        <v>788</v>
      </c>
      <c r="G45" s="2">
        <f t="shared" si="0"/>
        <v>0</v>
      </c>
      <c r="H45" s="2">
        <f>IF(ISBLANK('FBPQ T4'!E37)," ",'FBPQ T4'!AE37)</f>
        <v>0</v>
      </c>
      <c r="I45" s="2">
        <f t="shared" si="1"/>
        <v>0</v>
      </c>
    </row>
    <row r="46" spans="1:9">
      <c r="E46" s="2" t="str">
        <f>IF(ISNUMBER('FBPQ C2'!J38),'FBPQ C2'!J38,IF(ISNUMBER('FBPQ C2'!I38),'FBPQ C2'!I38,""))</f>
        <v/>
      </c>
      <c r="G46" s="2">
        <f t="shared" si="0"/>
        <v>0</v>
      </c>
      <c r="H46" s="2" t="str">
        <f>IF(ISBLANK('FBPQ T4'!E38)," ",'FBPQ T4'!AE38)</f>
        <v xml:space="preserve"> </v>
      </c>
      <c r="I46" s="2" t="str">
        <f t="shared" si="1"/>
        <v xml:space="preserve"> </v>
      </c>
    </row>
    <row r="47" spans="1:9">
      <c r="B47" s="2" t="s">
        <v>93</v>
      </c>
      <c r="E47" s="2" t="str">
        <f>IF(ISNUMBER('FBPQ C2'!J39),'FBPQ C2'!J39,IF(ISNUMBER('FBPQ C2'!I39),'FBPQ C2'!I39,""))</f>
        <v/>
      </c>
      <c r="G47" s="2">
        <f t="shared" si="0"/>
        <v>0</v>
      </c>
      <c r="H47" s="2" t="str">
        <f>IF(ISBLANK('FBPQ T4'!E39)," ",'FBPQ T4'!AE39)</f>
        <v xml:space="preserve"> </v>
      </c>
      <c r="I47" s="2" t="str">
        <f t="shared" si="1"/>
        <v xml:space="preserve"> </v>
      </c>
    </row>
    <row r="48" spans="1:9">
      <c r="C48" s="2" t="s">
        <v>112</v>
      </c>
      <c r="D48" s="2" t="s">
        <v>517</v>
      </c>
      <c r="E48" s="1483">
        <v>0</v>
      </c>
      <c r="F48" s="2" t="s">
        <v>788</v>
      </c>
      <c r="G48" s="2">
        <f t="shared" si="0"/>
        <v>0</v>
      </c>
      <c r="H48" s="2">
        <f>IF(ISBLANK('FBPQ T4'!E40)," ",'FBPQ T4'!AE40)</f>
        <v>160773</v>
      </c>
      <c r="I48" s="2">
        <f t="shared" si="1"/>
        <v>0</v>
      </c>
    </row>
    <row r="49" spans="2:9">
      <c r="C49" s="2" t="s">
        <v>113</v>
      </c>
      <c r="D49" s="2" t="s">
        <v>517</v>
      </c>
      <c r="E49" s="2">
        <f>IF(ISNUMBER('FBPQ C2'!J41),'FBPQ C2'!J41,IF(ISNUMBER('FBPQ C2'!I41),'FBPQ C2'!I41,""))</f>
        <v>0</v>
      </c>
      <c r="F49" s="2" t="s">
        <v>788</v>
      </c>
      <c r="G49" s="2">
        <f t="shared" si="0"/>
        <v>0</v>
      </c>
      <c r="H49" s="2">
        <f>IF(ISBLANK('FBPQ T4'!E41)," ",'FBPQ T4'!AE41)</f>
        <v>0</v>
      </c>
      <c r="I49" s="2">
        <f t="shared" si="1"/>
        <v>0</v>
      </c>
    </row>
    <row r="50" spans="2:9">
      <c r="E50" s="2" t="str">
        <f>IF(ISNUMBER('FBPQ C2'!J42),'FBPQ C2'!J42,IF(ISNUMBER('FBPQ C2'!I42),'FBPQ C2'!I42,""))</f>
        <v/>
      </c>
      <c r="F50" s="2" t="s">
        <v>788</v>
      </c>
      <c r="G50" s="2" t="str">
        <f t="shared" si="0"/>
        <v>DATA</v>
      </c>
      <c r="H50" s="2" t="str">
        <f>IF(ISBLANK('FBPQ T4'!E42)," ",'FBPQ T4'!AE42)</f>
        <v xml:space="preserve"> </v>
      </c>
      <c r="I50" s="2" t="str">
        <f t="shared" si="1"/>
        <v xml:space="preserve"> </v>
      </c>
    </row>
    <row r="51" spans="2:9">
      <c r="B51" s="2" t="s">
        <v>114</v>
      </c>
      <c r="E51" s="2" t="str">
        <f>IF(ISNUMBER('FBPQ C2'!J43),'FBPQ C2'!J43,IF(ISNUMBER('FBPQ C2'!I43),'FBPQ C2'!I43,""))</f>
        <v/>
      </c>
      <c r="G51" s="2">
        <f t="shared" si="0"/>
        <v>0</v>
      </c>
      <c r="H51" s="2" t="str">
        <f>IF(ISBLANK('FBPQ T4'!E43)," ",'FBPQ T4'!AE43)</f>
        <v xml:space="preserve"> </v>
      </c>
      <c r="I51" s="2" t="str">
        <f t="shared" si="1"/>
        <v xml:space="preserve"> </v>
      </c>
    </row>
    <row r="52" spans="2:9">
      <c r="C52" s="2" t="s">
        <v>115</v>
      </c>
      <c r="D52" s="2" t="s">
        <v>516</v>
      </c>
      <c r="E52" s="2">
        <f>IF(ISNUMBER('FBPQ C2'!J44),'FBPQ C2'!J44,IF(ISNUMBER('FBPQ C2'!I44),'FBPQ C2'!I44,""))</f>
        <v>80.103933601223289</v>
      </c>
      <c r="F52" s="2" t="s">
        <v>788</v>
      </c>
      <c r="G52" s="2">
        <f t="shared" si="0"/>
        <v>80.103933601223289</v>
      </c>
      <c r="H52" s="2">
        <f>IF(ISBLANK('FBPQ T4'!E44)," ",'FBPQ T4'!AE44)</f>
        <v>13673.9</v>
      </c>
      <c r="I52" s="2">
        <f t="shared" si="1"/>
        <v>1095333.1776697671</v>
      </c>
    </row>
    <row r="53" spans="2:9">
      <c r="C53" s="2" t="s">
        <v>116</v>
      </c>
      <c r="D53" s="2" t="s">
        <v>516</v>
      </c>
      <c r="E53" s="2">
        <f>IF(ISNUMBER('FBPQ C2'!J45),'FBPQ C2'!J45,IF(ISNUMBER('FBPQ C2'!I45),'FBPQ C2'!I45,""))</f>
        <v>0</v>
      </c>
      <c r="F53" s="2" t="s">
        <v>788</v>
      </c>
      <c r="G53" s="2">
        <f t="shared" si="0"/>
        <v>0</v>
      </c>
      <c r="H53" s="2">
        <f>IF(ISBLANK('FBPQ T4'!E45)," ",'FBPQ T4'!AE45)</f>
        <v>0</v>
      </c>
      <c r="I53" s="2">
        <f t="shared" si="1"/>
        <v>0</v>
      </c>
    </row>
    <row r="54" spans="2:9">
      <c r="E54" s="2" t="str">
        <f>IF(ISNUMBER('FBPQ C2'!J46),'FBPQ C2'!J46,IF(ISNUMBER('FBPQ C2'!I46),'FBPQ C2'!I46,""))</f>
        <v/>
      </c>
      <c r="G54" s="2">
        <f t="shared" si="0"/>
        <v>0</v>
      </c>
      <c r="H54" s="2" t="str">
        <f>IF(ISBLANK('FBPQ T4'!E46)," ",'FBPQ T4'!AE46)</f>
        <v xml:space="preserve"> </v>
      </c>
      <c r="I54" s="2" t="str">
        <f t="shared" si="1"/>
        <v xml:space="preserve"> </v>
      </c>
    </row>
    <row r="55" spans="2:9">
      <c r="B55" s="2" t="s">
        <v>117</v>
      </c>
      <c r="E55" s="2" t="str">
        <f>IF(ISNUMBER('FBPQ C2'!J47),'FBPQ C2'!J47,IF(ISNUMBER('FBPQ C2'!I47),'FBPQ C2'!I47,""))</f>
        <v/>
      </c>
      <c r="G55" s="2">
        <f t="shared" si="0"/>
        <v>0</v>
      </c>
      <c r="H55" s="2" t="str">
        <f>IF(ISBLANK('FBPQ T4'!E47)," ",'FBPQ T4'!AE47)</f>
        <v xml:space="preserve"> </v>
      </c>
      <c r="I55" s="2" t="str">
        <f t="shared" si="1"/>
        <v xml:space="preserve"> </v>
      </c>
    </row>
    <row r="56" spans="2:9">
      <c r="C56" s="2" t="s">
        <v>118</v>
      </c>
      <c r="D56" s="2" t="s">
        <v>516</v>
      </c>
      <c r="E56" s="2">
        <f>IF(ISNUMBER('FBPQ C2'!J48),'FBPQ C2'!J48,IF(ISNUMBER('FBPQ C2'!I48),'FBPQ C2'!I48,""))</f>
        <v>0</v>
      </c>
      <c r="F56" s="2" t="s">
        <v>788</v>
      </c>
      <c r="G56" s="2">
        <f t="shared" si="0"/>
        <v>0</v>
      </c>
      <c r="H56" s="2">
        <f>IF(ISBLANK('FBPQ T4'!E48)," ",'FBPQ T4'!AE48)</f>
        <v>0</v>
      </c>
      <c r="I56" s="2">
        <f t="shared" si="1"/>
        <v>0</v>
      </c>
    </row>
    <row r="57" spans="2:9">
      <c r="E57" s="2" t="str">
        <f>IF(ISNUMBER('FBPQ C2'!J49),'FBPQ C2'!J49,IF(ISNUMBER('FBPQ C2'!I49),'FBPQ C2'!I49,""))</f>
        <v/>
      </c>
      <c r="F57" s="2" t="s">
        <v>788</v>
      </c>
      <c r="G57" s="2" t="str">
        <f t="shared" si="0"/>
        <v>DATA</v>
      </c>
      <c r="H57" s="2" t="str">
        <f>IF(ISBLANK('FBPQ T4'!E49)," ",'FBPQ T4'!AE49)</f>
        <v xml:space="preserve"> </v>
      </c>
      <c r="I57" s="2" t="str">
        <f t="shared" si="1"/>
        <v xml:space="preserve"> </v>
      </c>
    </row>
    <row r="58" spans="2:9">
      <c r="B58" s="2" t="s">
        <v>100</v>
      </c>
      <c r="E58" s="2" t="str">
        <f>IF(ISNUMBER('FBPQ C2'!J50),'FBPQ C2'!J50,IF(ISNUMBER('FBPQ C2'!I50),'FBPQ C2'!I50,""))</f>
        <v/>
      </c>
      <c r="G58" s="2">
        <f t="shared" si="0"/>
        <v>0</v>
      </c>
      <c r="H58" s="2" t="str">
        <f>IF(ISBLANK('FBPQ T4'!E50)," ",'FBPQ T4'!AE50)</f>
        <v xml:space="preserve"> </v>
      </c>
      <c r="I58" s="2" t="str">
        <f t="shared" si="1"/>
        <v xml:space="preserve"> </v>
      </c>
    </row>
    <row r="59" spans="2:9">
      <c r="C59" s="2" t="s">
        <v>119</v>
      </c>
      <c r="D59" s="2" t="s">
        <v>517</v>
      </c>
      <c r="E59" s="2">
        <f>IF(ISNUMBER('FBPQ C2'!J51),'FBPQ C2'!J51,IF(ISNUMBER('FBPQ C2'!I51),'FBPQ C2'!I51,""))</f>
        <v>13.250274731029416</v>
      </c>
      <c r="F59" s="2" t="s">
        <v>788</v>
      </c>
      <c r="G59" s="2">
        <f t="shared" si="0"/>
        <v>13.250274731029416</v>
      </c>
      <c r="H59" s="2">
        <f>IF(ISBLANK('FBPQ T4'!E51)," ",'FBPQ T4'!AE51)</f>
        <v>1227</v>
      </c>
      <c r="I59" s="2">
        <f t="shared" si="1"/>
        <v>16258.087094973092</v>
      </c>
    </row>
    <row r="60" spans="2:9">
      <c r="C60" s="2" t="s">
        <v>120</v>
      </c>
      <c r="D60" s="2" t="s">
        <v>517</v>
      </c>
      <c r="E60" s="2">
        <f>IF(ISNUMBER('FBPQ C2'!J52),'FBPQ C2'!J52,IF(ISNUMBER('FBPQ C2'!I52),'FBPQ C2'!I52,""))</f>
        <v>29.271061451274075</v>
      </c>
      <c r="F60" s="2" t="s">
        <v>788</v>
      </c>
      <c r="G60" s="2">
        <f t="shared" si="0"/>
        <v>29.271061451274075</v>
      </c>
      <c r="H60" s="2">
        <f>IF(ISBLANK('FBPQ T4'!E52)," ",'FBPQ T4'!AE52)</f>
        <v>7868</v>
      </c>
      <c r="I60" s="2">
        <f t="shared" si="1"/>
        <v>230304.71149862441</v>
      </c>
    </row>
    <row r="61" spans="2:9">
      <c r="C61" s="2" t="s">
        <v>121</v>
      </c>
      <c r="D61" s="2" t="s">
        <v>517</v>
      </c>
      <c r="E61" s="2">
        <f>IF(ISNUMBER('FBPQ C2'!J53),'FBPQ C2'!J53,IF(ISNUMBER('FBPQ C2'!I53),'FBPQ C2'!I53,""))</f>
        <v>1.5659415591216583</v>
      </c>
      <c r="F61" s="2" t="s">
        <v>788</v>
      </c>
      <c r="G61" s="2">
        <f t="shared" si="0"/>
        <v>1.5659415591216583</v>
      </c>
      <c r="H61" s="2">
        <f>IF(ISBLANK('FBPQ T4'!E53)," ",'FBPQ T4'!AE53)</f>
        <v>387</v>
      </c>
      <c r="I61" s="2">
        <f t="shared" si="1"/>
        <v>606.01938338008176</v>
      </c>
    </row>
    <row r="62" spans="2:9">
      <c r="C62" s="2" t="s">
        <v>122</v>
      </c>
      <c r="D62" s="2" t="s">
        <v>517</v>
      </c>
      <c r="E62" s="2">
        <f>IF(ISNUMBER('FBPQ C2'!J54),'FBPQ C2'!J54,IF(ISNUMBER('FBPQ C2'!I54),'FBPQ C2'!I54,""))</f>
        <v>4.9387387633836912</v>
      </c>
      <c r="F62" s="2" t="s">
        <v>788</v>
      </c>
      <c r="G62" s="2">
        <f t="shared" si="0"/>
        <v>4.9387387633836912</v>
      </c>
      <c r="H62" s="2">
        <f>IF(ISBLANK('FBPQ T4'!E54)," ",'FBPQ T4'!AE54)</f>
        <v>10608</v>
      </c>
      <c r="I62" s="2">
        <f t="shared" si="1"/>
        <v>52390.140801974194</v>
      </c>
    </row>
    <row r="63" spans="2:9">
      <c r="C63" s="2" t="s">
        <v>123</v>
      </c>
      <c r="D63" s="2" t="s">
        <v>517</v>
      </c>
      <c r="E63" s="2">
        <f>IF(ISNUMBER('FBPQ C2'!J55),'FBPQ C2'!J55,IF(ISNUMBER('FBPQ C2'!I55),'FBPQ C2'!I55,""))</f>
        <v>15.538958548207226</v>
      </c>
      <c r="F63" s="2" t="s">
        <v>788</v>
      </c>
      <c r="G63" s="2">
        <f t="shared" si="0"/>
        <v>15.538958548207226</v>
      </c>
      <c r="H63" s="2">
        <f>IF(ISBLANK('FBPQ T4'!E55)," ",'FBPQ T4'!AE55)</f>
        <v>17327</v>
      </c>
      <c r="I63" s="2">
        <f t="shared" si="1"/>
        <v>269243.5347647866</v>
      </c>
    </row>
    <row r="64" spans="2:9">
      <c r="C64" s="2" t="s">
        <v>124</v>
      </c>
      <c r="D64" s="2" t="s">
        <v>517</v>
      </c>
      <c r="E64" s="1483">
        <f>E61</f>
        <v>1.5659415591216583</v>
      </c>
      <c r="F64" s="2" t="s">
        <v>788</v>
      </c>
      <c r="G64" s="2">
        <f t="shared" si="0"/>
        <v>1.5659415591216583</v>
      </c>
      <c r="H64" s="2">
        <f>IF(ISBLANK('FBPQ T4'!E56)," ",'FBPQ T4'!AE56)</f>
        <v>11757</v>
      </c>
      <c r="I64" s="2">
        <f t="shared" si="1"/>
        <v>18410.774910593336</v>
      </c>
    </row>
    <row r="65" spans="1:9">
      <c r="C65" s="2" t="s">
        <v>125</v>
      </c>
      <c r="D65" s="2" t="s">
        <v>517</v>
      </c>
      <c r="E65" s="2" t="str">
        <f>IF(ISNUMBER('FBPQ C2'!J57),'FBPQ C2'!J57,IF(ISNUMBER('FBPQ C2'!I57),'FBPQ C2'!I57,""))</f>
        <v/>
      </c>
      <c r="F65" s="2" t="s">
        <v>788</v>
      </c>
      <c r="G65" s="2" t="str">
        <f t="shared" si="0"/>
        <v xml:space="preserve"> </v>
      </c>
      <c r="H65" s="2">
        <f>IF(ISBLANK('FBPQ T4'!E57)," ",'FBPQ T4'!AE57)</f>
        <v>0</v>
      </c>
      <c r="I65" s="2" t="str">
        <f t="shared" si="1"/>
        <v xml:space="preserve"> </v>
      </c>
    </row>
    <row r="66" spans="1:9">
      <c r="C66" s="2" t="s">
        <v>126</v>
      </c>
      <c r="D66" s="2" t="s">
        <v>517</v>
      </c>
      <c r="E66" s="2">
        <f>IF(ISNUMBER('FBPQ C2'!J58),'FBPQ C2'!J58,IF(ISNUMBER('FBPQ C2'!I58),'FBPQ C2'!I58,""))</f>
        <v>0</v>
      </c>
      <c r="F66" s="2" t="s">
        <v>788</v>
      </c>
      <c r="G66" s="2">
        <f t="shared" si="0"/>
        <v>0</v>
      </c>
      <c r="H66" s="2">
        <f>IF(ISBLANK('FBPQ T4'!E58)," ",'FBPQ T4'!AE58)</f>
        <v>0</v>
      </c>
      <c r="I66" s="2">
        <f t="shared" si="1"/>
        <v>0</v>
      </c>
    </row>
    <row r="67" spans="1:9">
      <c r="C67" s="2" t="s">
        <v>127</v>
      </c>
      <c r="D67" s="2" t="s">
        <v>517</v>
      </c>
      <c r="E67" s="2">
        <f>IF(ISNUMBER('FBPQ C2'!J59),'FBPQ C2'!J59,IF(ISNUMBER('FBPQ C2'!I59),'FBPQ C2'!I59,""))</f>
        <v>0</v>
      </c>
      <c r="F67" s="2" t="s">
        <v>788</v>
      </c>
      <c r="G67" s="2">
        <f t="shared" si="0"/>
        <v>0</v>
      </c>
      <c r="H67" s="2">
        <f>IF(ISBLANK('FBPQ T4'!E59)," ",'FBPQ T4'!AE59)</f>
        <v>0</v>
      </c>
      <c r="I67" s="2">
        <f t="shared" si="1"/>
        <v>0</v>
      </c>
    </row>
    <row r="68" spans="1:9">
      <c r="C68" s="2" t="s">
        <v>128</v>
      </c>
      <c r="D68" s="2" t="s">
        <v>517</v>
      </c>
      <c r="E68" s="2">
        <f>IF(ISNUMBER('FBPQ C2'!J60),'FBPQ C2'!J60,IF(ISNUMBER('FBPQ C2'!I60),'FBPQ C2'!I60,""))</f>
        <v>0</v>
      </c>
      <c r="F68" s="2" t="s">
        <v>788</v>
      </c>
      <c r="G68" s="2">
        <f t="shared" si="0"/>
        <v>0</v>
      </c>
      <c r="H68" s="2">
        <f>IF(ISBLANK('FBPQ T4'!E60)," ",'FBPQ T4'!AE60)</f>
        <v>0</v>
      </c>
      <c r="I68" s="2">
        <f t="shared" si="1"/>
        <v>0</v>
      </c>
    </row>
    <row r="69" spans="1:9">
      <c r="C69" s="2" t="s">
        <v>129</v>
      </c>
      <c r="D69" s="2" t="s">
        <v>517</v>
      </c>
      <c r="E69" s="2">
        <f>IF(ISNUMBER('FBPQ C2'!J61),'FBPQ C2'!J61,IF(ISNUMBER('FBPQ C2'!I61),'FBPQ C2'!I61,""))</f>
        <v>0</v>
      </c>
      <c r="F69" s="2" t="s">
        <v>788</v>
      </c>
      <c r="G69" s="2">
        <f t="shared" si="0"/>
        <v>0</v>
      </c>
      <c r="H69" s="2">
        <f>IF(ISBLANK('FBPQ T4'!E61)," ",'FBPQ T4'!AE61)</f>
        <v>0</v>
      </c>
      <c r="I69" s="2">
        <f t="shared" si="1"/>
        <v>0</v>
      </c>
    </row>
    <row r="70" spans="1:9">
      <c r="C70" s="2" t="s">
        <v>130</v>
      </c>
      <c r="D70" s="2" t="s">
        <v>517</v>
      </c>
      <c r="E70" s="2">
        <f>IF(ISNUMBER('FBPQ C2'!J62),'FBPQ C2'!J62,IF(ISNUMBER('FBPQ C2'!I62),'FBPQ C2'!I62,""))</f>
        <v>0</v>
      </c>
      <c r="F70" s="2" t="s">
        <v>788</v>
      </c>
      <c r="G70" s="2">
        <f t="shared" si="0"/>
        <v>0</v>
      </c>
      <c r="H70" s="2">
        <f>IF(ISBLANK('FBPQ T4'!E62)," ",'FBPQ T4'!AE62)</f>
        <v>0</v>
      </c>
      <c r="I70" s="2">
        <f t="shared" si="1"/>
        <v>0</v>
      </c>
    </row>
    <row r="71" spans="1:9">
      <c r="C71" s="2" t="s">
        <v>131</v>
      </c>
      <c r="D71" s="2" t="s">
        <v>517</v>
      </c>
      <c r="E71" s="2" t="str">
        <f>IF(ISNUMBER('FBPQ C2'!J63),'FBPQ C2'!J63,IF(ISNUMBER('FBPQ C2'!I63),'FBPQ C2'!I63,""))</f>
        <v/>
      </c>
      <c r="F71" s="2" t="s">
        <v>788</v>
      </c>
      <c r="G71" s="2" t="str">
        <f t="shared" si="0"/>
        <v xml:space="preserve"> </v>
      </c>
      <c r="H71" s="2">
        <f>IF(ISBLANK('FBPQ T4'!E63)," ",'FBPQ T4'!AE63)</f>
        <v>0</v>
      </c>
      <c r="I71" s="2" t="str">
        <f t="shared" si="1"/>
        <v xml:space="preserve"> </v>
      </c>
    </row>
    <row r="72" spans="1:9">
      <c r="C72" s="2" t="s">
        <v>132</v>
      </c>
      <c r="D72" s="2" t="s">
        <v>517</v>
      </c>
      <c r="E72" s="2" t="str">
        <f>IF(ISNUMBER('FBPQ C2'!J64),'FBPQ C2'!J64,IF(ISNUMBER('FBPQ C2'!I64),'FBPQ C2'!I64,""))</f>
        <v/>
      </c>
      <c r="F72" s="2" t="s">
        <v>788</v>
      </c>
      <c r="G72" s="2" t="str">
        <f t="shared" si="0"/>
        <v xml:space="preserve"> </v>
      </c>
      <c r="H72" s="2">
        <f>IF(ISBLANK('FBPQ T4'!E64)," ",'FBPQ T4'!AE64)</f>
        <v>0</v>
      </c>
      <c r="I72" s="2" t="str">
        <f t="shared" si="1"/>
        <v xml:space="preserve"> </v>
      </c>
    </row>
    <row r="73" spans="1:9">
      <c r="E73" s="2" t="str">
        <f>IF(ISNUMBER('FBPQ C2'!J65),'FBPQ C2'!J65,IF(ISNUMBER('FBPQ C2'!I65),'FBPQ C2'!I65,""))</f>
        <v/>
      </c>
      <c r="G73" s="2">
        <f t="shared" si="0"/>
        <v>0</v>
      </c>
      <c r="H73" s="2" t="str">
        <f>IF(ISBLANK('FBPQ T4'!E65)," ",'FBPQ T4'!AE65)</f>
        <v xml:space="preserve"> </v>
      </c>
      <c r="I73" s="2" t="str">
        <f t="shared" si="1"/>
        <v xml:space="preserve"> </v>
      </c>
    </row>
    <row r="74" spans="1:9">
      <c r="B74" s="2" t="s">
        <v>133</v>
      </c>
      <c r="E74" s="2" t="str">
        <f>IF(ISNUMBER('FBPQ C2'!J66),'FBPQ C2'!J66,IF(ISNUMBER('FBPQ C2'!I66),'FBPQ C2'!I66,""))</f>
        <v/>
      </c>
      <c r="G74" s="2">
        <f t="shared" si="0"/>
        <v>0</v>
      </c>
      <c r="H74" s="2" t="str">
        <f>IF(ISBLANK('FBPQ T4'!E66)," ",'FBPQ T4'!AE66)</f>
        <v xml:space="preserve"> </v>
      </c>
      <c r="I74" s="2" t="str">
        <f t="shared" si="1"/>
        <v xml:space="preserve"> </v>
      </c>
    </row>
    <row r="75" spans="1:9">
      <c r="C75" s="2" t="s">
        <v>134</v>
      </c>
      <c r="D75" s="2" t="s">
        <v>517</v>
      </c>
      <c r="E75" s="2">
        <f>IF(ISNUMBER('FBPQ C2'!J67),'FBPQ C2'!J67,IF(ISNUMBER('FBPQ C2'!I67),'FBPQ C2'!I67,""))</f>
        <v>3.4932542472713912</v>
      </c>
      <c r="F75" s="2" t="s">
        <v>788</v>
      </c>
      <c r="G75" s="2">
        <f t="shared" si="0"/>
        <v>3.4932542472713912</v>
      </c>
      <c r="H75" s="2">
        <f>IF(ISBLANK('FBPQ T4'!E67)," ",'FBPQ T4'!AE67)</f>
        <v>22854</v>
      </c>
      <c r="I75" s="2">
        <f t="shared" si="1"/>
        <v>79834.832567140373</v>
      </c>
    </row>
    <row r="76" spans="1:9">
      <c r="C76" s="2" t="s">
        <v>135</v>
      </c>
      <c r="D76" s="2" t="s">
        <v>517</v>
      </c>
      <c r="E76" s="2">
        <f>IF(ISNUMBER('FBPQ C2'!J68),'FBPQ C2'!J68,IF(ISNUMBER('FBPQ C2'!I68),'FBPQ C2'!I68,""))</f>
        <v>11.322962042879682</v>
      </c>
      <c r="F76" s="2" t="s">
        <v>788</v>
      </c>
      <c r="G76" s="2">
        <f t="shared" si="0"/>
        <v>11.322962042879682</v>
      </c>
      <c r="H76" s="2">
        <f>IF(ISBLANK('FBPQ T4'!E68)," ",'FBPQ T4'!AE68)</f>
        <v>19308</v>
      </c>
      <c r="I76" s="2">
        <f t="shared" si="1"/>
        <v>218623.7511239209</v>
      </c>
    </row>
    <row r="77" spans="1:9">
      <c r="C77" s="2" t="s">
        <v>136</v>
      </c>
      <c r="D77" s="2" t="s">
        <v>517</v>
      </c>
      <c r="E77" s="2">
        <f>IF(ISNUMBER('FBPQ C2'!J69),'FBPQ C2'!J69,IF(ISNUMBER('FBPQ C2'!I69),'FBPQ C2'!I69,""))</f>
        <v>0</v>
      </c>
      <c r="F77" s="2" t="s">
        <v>788</v>
      </c>
      <c r="G77" s="2">
        <f t="shared" si="0"/>
        <v>0</v>
      </c>
      <c r="H77" s="2">
        <f>IF(ISBLANK('FBPQ T4'!E69)," ",'FBPQ T4'!AE69)</f>
        <v>0</v>
      </c>
      <c r="I77" s="2">
        <f t="shared" si="1"/>
        <v>0</v>
      </c>
    </row>
    <row r="78" spans="1:9">
      <c r="C78" s="2" t="s">
        <v>137</v>
      </c>
      <c r="D78" s="2" t="s">
        <v>517</v>
      </c>
      <c r="E78" s="2">
        <f>IF(ISNUMBER('FBPQ C2'!J70),'FBPQ C2'!J70,IF(ISNUMBER('FBPQ C2'!I70),'FBPQ C2'!I70,""))</f>
        <v>0</v>
      </c>
      <c r="F78" s="2" t="s">
        <v>788</v>
      </c>
      <c r="G78" s="2">
        <f t="shared" si="0"/>
        <v>0</v>
      </c>
      <c r="H78" s="2">
        <f>IF(ISBLANK('FBPQ T4'!E70)," ",'FBPQ T4'!AE70)</f>
        <v>0</v>
      </c>
      <c r="I78" s="2">
        <f t="shared" si="1"/>
        <v>0</v>
      </c>
    </row>
    <row r="79" spans="1:9">
      <c r="E79" s="2" t="str">
        <f>IF(ISNUMBER('FBPQ C2'!J71),'FBPQ C2'!J71,IF(ISNUMBER('FBPQ C2'!I71),'FBPQ C2'!I71,""))</f>
        <v/>
      </c>
      <c r="G79" s="2">
        <f t="shared" si="0"/>
        <v>0</v>
      </c>
      <c r="H79" s="2" t="str">
        <f>IF(ISBLANK('FBPQ T4'!E71)," ",'FBPQ T4'!AE71)</f>
        <v xml:space="preserve"> </v>
      </c>
      <c r="I79" s="2" t="str">
        <f t="shared" si="1"/>
        <v xml:space="preserve"> </v>
      </c>
    </row>
    <row r="80" spans="1:9">
      <c r="A80" s="1" t="s">
        <v>138</v>
      </c>
      <c r="E80" s="2" t="str">
        <f>IF(ISNUMBER('FBPQ C2'!J72),'FBPQ C2'!J72,IF(ISNUMBER('FBPQ C2'!I72),'FBPQ C2'!I72,""))</f>
        <v/>
      </c>
      <c r="G80" s="2">
        <f t="shared" si="0"/>
        <v>0</v>
      </c>
      <c r="H80" s="2" t="str">
        <f>IF(ISBLANK('FBPQ T4'!E72)," ",'FBPQ T4'!AE72)</f>
        <v xml:space="preserve"> </v>
      </c>
      <c r="I80" s="2" t="str">
        <f t="shared" si="1"/>
        <v xml:space="preserve"> </v>
      </c>
    </row>
    <row r="81" spans="2:9">
      <c r="B81" s="2" t="s">
        <v>429</v>
      </c>
      <c r="E81" s="2" t="str">
        <f>IF(ISNUMBER('FBPQ C2'!J73),'FBPQ C2'!J73,IF(ISNUMBER('FBPQ C2'!I73),'FBPQ C2'!I73,""))</f>
        <v/>
      </c>
      <c r="G81" s="2">
        <f t="shared" si="0"/>
        <v>0</v>
      </c>
      <c r="H81" s="2" t="str">
        <f>IF(ISBLANK('FBPQ T4'!E73)," ",'FBPQ T4'!AE73)</f>
        <v xml:space="preserve"> </v>
      </c>
      <c r="I81" s="2" t="str">
        <f t="shared" si="1"/>
        <v xml:space="preserve"> </v>
      </c>
    </row>
    <row r="82" spans="2:9">
      <c r="C82" s="2" t="s">
        <v>139</v>
      </c>
      <c r="D82" s="2" t="s">
        <v>516</v>
      </c>
      <c r="E82" s="2">
        <f>IF(ISNUMBER('FBPQ C2'!J74),'FBPQ C2'!J74,IF(ISNUMBER('FBPQ C2'!I74),'FBPQ C2'!I74,""))</f>
        <v>93.233751289243358</v>
      </c>
      <c r="F82" s="2" t="s">
        <v>788</v>
      </c>
      <c r="G82" s="2">
        <f t="shared" si="0"/>
        <v>93.233751289243358</v>
      </c>
      <c r="H82" s="2">
        <f>IF(ISBLANK('FBPQ T4'!E74)," ",'FBPQ T4'!AE74)</f>
        <v>1753.5</v>
      </c>
      <c r="I82" s="2">
        <f t="shared" si="1"/>
        <v>163485.38288568822</v>
      </c>
    </row>
    <row r="83" spans="2:9">
      <c r="C83" s="2" t="s">
        <v>140</v>
      </c>
      <c r="D83" s="2" t="s">
        <v>516</v>
      </c>
      <c r="E83" s="2">
        <f>IF(ISNUMBER('FBPQ C2'!J75),'FBPQ C2'!J75,IF(ISNUMBER('FBPQ C2'!I75),'FBPQ C2'!I75,""))</f>
        <v>148.5235340305388</v>
      </c>
      <c r="F83" s="2" t="s">
        <v>788</v>
      </c>
      <c r="G83" s="2">
        <f t="shared" si="0"/>
        <v>148.5235340305388</v>
      </c>
      <c r="H83" s="2">
        <f>IF(ISBLANK('FBPQ T4'!E75)," ",'FBPQ T4'!AE75)</f>
        <v>933</v>
      </c>
      <c r="I83" s="2">
        <f t="shared" si="1"/>
        <v>138572.45725049271</v>
      </c>
    </row>
    <row r="84" spans="2:9">
      <c r="C84" s="2" t="s">
        <v>141</v>
      </c>
      <c r="D84" s="2" t="s">
        <v>516</v>
      </c>
      <c r="E84" s="2">
        <f>IF(ISNUMBER('FBPQ C2'!J76),'FBPQ C2'!J76,IF(ISNUMBER('FBPQ C2'!I76),'FBPQ C2'!I76,""))</f>
        <v>175.86728279366315</v>
      </c>
      <c r="F84" s="2" t="s">
        <v>788</v>
      </c>
      <c r="G84" s="2">
        <f t="shared" ref="G84:G147" si="2">IF(ISNUMBER(E84),E84,IF(H84&gt;0,F84," "))</f>
        <v>175.86728279366315</v>
      </c>
      <c r="H84" s="2">
        <f>IF(ISBLANK('FBPQ T4'!E76)," ",'FBPQ T4'!AE76)</f>
        <v>0</v>
      </c>
      <c r="I84" s="2">
        <f t="shared" ref="I84:I147" si="3">IF(ISERROR(G84*H84)," ",G84*H84)</f>
        <v>0</v>
      </c>
    </row>
    <row r="85" spans="2:9">
      <c r="C85" s="2" t="s">
        <v>142</v>
      </c>
      <c r="D85" s="2" t="s">
        <v>516</v>
      </c>
      <c r="E85" s="2">
        <f>IF(ISNUMBER('FBPQ C2'!J77),'FBPQ C2'!J77,IF(ISNUMBER('FBPQ C2'!I77),'FBPQ C2'!I77,""))</f>
        <v>175.86728279366315</v>
      </c>
      <c r="F85" s="2" t="s">
        <v>788</v>
      </c>
      <c r="G85" s="2">
        <f t="shared" si="2"/>
        <v>175.86728279366315</v>
      </c>
      <c r="H85" s="2">
        <f>IF(ISBLANK('FBPQ T4'!E77)," ",'FBPQ T4'!AE77)</f>
        <v>0</v>
      </c>
      <c r="I85" s="2">
        <f t="shared" si="3"/>
        <v>0</v>
      </c>
    </row>
    <row r="86" spans="2:9">
      <c r="E86" s="2" t="str">
        <f>IF(ISNUMBER('FBPQ C2'!J78),'FBPQ C2'!J78,IF(ISNUMBER('FBPQ C2'!I78),'FBPQ C2'!I78,""))</f>
        <v/>
      </c>
      <c r="G86" s="2">
        <f t="shared" si="2"/>
        <v>0</v>
      </c>
      <c r="H86" s="2" t="str">
        <f>IF(ISBLANK('FBPQ T4'!E78)," ",'FBPQ T4'!AE78)</f>
        <v xml:space="preserve"> </v>
      </c>
      <c r="I86" s="2" t="str">
        <f t="shared" si="3"/>
        <v xml:space="preserve"> </v>
      </c>
    </row>
    <row r="87" spans="2:9">
      <c r="B87" s="2" t="s">
        <v>93</v>
      </c>
      <c r="E87" s="2" t="str">
        <f>IF(ISNUMBER('FBPQ C2'!J79),'FBPQ C2'!J79,IF(ISNUMBER('FBPQ C2'!I79),'FBPQ C2'!I79,""))</f>
        <v/>
      </c>
      <c r="G87" s="2">
        <f t="shared" si="2"/>
        <v>0</v>
      </c>
      <c r="H87" s="2" t="str">
        <f>IF(ISBLANK('FBPQ T4'!E79)," ",'FBPQ T4'!AE79)</f>
        <v xml:space="preserve"> </v>
      </c>
      <c r="I87" s="2" t="str">
        <f t="shared" si="3"/>
        <v xml:space="preserve"> </v>
      </c>
    </row>
    <row r="88" spans="2:9">
      <c r="C88" s="2" t="s">
        <v>143</v>
      </c>
      <c r="D88" s="2" t="s">
        <v>517</v>
      </c>
      <c r="E88" s="1483">
        <v>0</v>
      </c>
      <c r="F88" s="2" t="s">
        <v>788</v>
      </c>
      <c r="G88" s="2">
        <f t="shared" si="2"/>
        <v>0</v>
      </c>
      <c r="H88" s="2">
        <f>IF(ISBLANK('FBPQ T4'!E80)," ",'FBPQ T4'!AE80)</f>
        <v>28125</v>
      </c>
      <c r="I88" s="2">
        <f t="shared" si="3"/>
        <v>0</v>
      </c>
    </row>
    <row r="89" spans="2:9">
      <c r="C89" s="2" t="s">
        <v>144</v>
      </c>
      <c r="D89" s="2" t="s">
        <v>517</v>
      </c>
      <c r="E89" s="1483">
        <v>0</v>
      </c>
      <c r="F89" s="2" t="s">
        <v>788</v>
      </c>
      <c r="G89" s="2">
        <f t="shared" si="2"/>
        <v>0</v>
      </c>
      <c r="H89" s="2">
        <f>IF(ISBLANK('FBPQ T4'!E81)," ",'FBPQ T4'!AE81)</f>
        <v>1287</v>
      </c>
      <c r="I89" s="2">
        <f t="shared" si="3"/>
        <v>0</v>
      </c>
    </row>
    <row r="90" spans="2:9">
      <c r="C90" s="2" t="s">
        <v>145</v>
      </c>
      <c r="D90" s="2" t="s">
        <v>517</v>
      </c>
      <c r="E90" s="2">
        <f>IF(ISNUMBER('FBPQ C2'!J82),'FBPQ C2'!J82,IF(ISNUMBER('FBPQ C2'!I82),'FBPQ C2'!I82,""))</f>
        <v>0</v>
      </c>
      <c r="F90" s="2" t="s">
        <v>788</v>
      </c>
      <c r="G90" s="2">
        <f t="shared" si="2"/>
        <v>0</v>
      </c>
      <c r="H90" s="2">
        <f>IF(ISBLANK('FBPQ T4'!E82)," ",'FBPQ T4'!AE82)</f>
        <v>0</v>
      </c>
      <c r="I90" s="2">
        <f t="shared" si="3"/>
        <v>0</v>
      </c>
    </row>
    <row r="91" spans="2:9">
      <c r="C91" s="2" t="s">
        <v>146</v>
      </c>
      <c r="D91" s="2" t="s">
        <v>517</v>
      </c>
      <c r="E91" s="2">
        <f>IF(ISNUMBER('FBPQ C2'!J83),'FBPQ C2'!J83,IF(ISNUMBER('FBPQ C2'!I83),'FBPQ C2'!I83,""))</f>
        <v>0</v>
      </c>
      <c r="F91" s="2" t="s">
        <v>788</v>
      </c>
      <c r="G91" s="2">
        <f t="shared" si="2"/>
        <v>0</v>
      </c>
      <c r="H91" s="2">
        <f>IF(ISBLANK('FBPQ T4'!E83)," ",'FBPQ T4'!AE83)</f>
        <v>0</v>
      </c>
      <c r="I91" s="2">
        <f t="shared" si="3"/>
        <v>0</v>
      </c>
    </row>
    <row r="92" spans="2:9">
      <c r="E92" s="2" t="str">
        <f>IF(ISNUMBER('FBPQ C2'!J84),'FBPQ C2'!J84,IF(ISNUMBER('FBPQ C2'!I84),'FBPQ C2'!I84,""))</f>
        <v/>
      </c>
      <c r="G92" s="2">
        <f t="shared" si="2"/>
        <v>0</v>
      </c>
      <c r="H92" s="2" t="str">
        <f>IF(ISBLANK('FBPQ T4'!E84)," ",'FBPQ T4'!AE84)</f>
        <v xml:space="preserve"> </v>
      </c>
      <c r="I92" s="2" t="str">
        <f t="shared" si="3"/>
        <v xml:space="preserve"> </v>
      </c>
    </row>
    <row r="93" spans="2:9">
      <c r="B93" s="2" t="s">
        <v>114</v>
      </c>
      <c r="E93" s="2" t="str">
        <f>IF(ISNUMBER('FBPQ C2'!J85),'FBPQ C2'!J85,IF(ISNUMBER('FBPQ C2'!I85),'FBPQ C2'!I85,""))</f>
        <v/>
      </c>
      <c r="G93" s="2">
        <f t="shared" si="2"/>
        <v>0</v>
      </c>
      <c r="H93" s="2" t="str">
        <f>IF(ISBLANK('FBPQ T4'!E85)," ",'FBPQ T4'!AE85)</f>
        <v xml:space="preserve"> </v>
      </c>
      <c r="I93" s="2" t="str">
        <f t="shared" si="3"/>
        <v xml:space="preserve"> </v>
      </c>
    </row>
    <row r="94" spans="2:9">
      <c r="C94" s="2" t="s">
        <v>147</v>
      </c>
      <c r="D94" s="2" t="s">
        <v>516</v>
      </c>
      <c r="E94" s="2">
        <f>IF(ISNUMBER('FBPQ C2'!J86),'FBPQ C2'!J86,IF(ISNUMBER('FBPQ C2'!I86),'FBPQ C2'!I86,""))</f>
        <v>243.56414096492253</v>
      </c>
      <c r="F94" s="2" t="s">
        <v>788</v>
      </c>
      <c r="G94" s="2">
        <f t="shared" si="2"/>
        <v>243.56414096492253</v>
      </c>
      <c r="H94" s="2">
        <f>IF(ISBLANK('FBPQ T4'!E86)," ",'FBPQ T4'!AE86)</f>
        <v>1562.6</v>
      </c>
      <c r="I94" s="2">
        <f t="shared" si="3"/>
        <v>380593.32667178795</v>
      </c>
    </row>
    <row r="95" spans="2:9">
      <c r="C95" s="2" t="s">
        <v>148</v>
      </c>
      <c r="D95" s="2" t="s">
        <v>516</v>
      </c>
      <c r="E95" s="2">
        <f>IF(ISNUMBER('FBPQ C2'!J87),'FBPQ C2'!J87,IF(ISNUMBER('FBPQ C2'!I87),'FBPQ C2'!I87,""))</f>
        <v>243.56414096492253</v>
      </c>
      <c r="F95" s="2" t="s">
        <v>788</v>
      </c>
      <c r="G95" s="2">
        <f t="shared" si="2"/>
        <v>243.56414096492253</v>
      </c>
      <c r="H95" s="2">
        <f>IF(ISBLANK('FBPQ T4'!E87)," ",'FBPQ T4'!AE87)</f>
        <v>156</v>
      </c>
      <c r="I95" s="2">
        <f t="shared" si="3"/>
        <v>37996.005990527912</v>
      </c>
    </row>
    <row r="96" spans="2:9">
      <c r="C96" s="2" t="s">
        <v>149</v>
      </c>
      <c r="D96" s="2" t="s">
        <v>516</v>
      </c>
      <c r="E96" s="2">
        <f>IF(ISNUMBER('FBPQ C2'!J88),'FBPQ C2'!J88,IF(ISNUMBER('FBPQ C2'!I88),'FBPQ C2'!I88,""))</f>
        <v>0</v>
      </c>
      <c r="F96" s="2" t="s">
        <v>788</v>
      </c>
      <c r="G96" s="2">
        <f t="shared" si="2"/>
        <v>0</v>
      </c>
      <c r="H96" s="2">
        <f>IF(ISBLANK('FBPQ T4'!E88)," ",'FBPQ T4'!AE88)</f>
        <v>0</v>
      </c>
      <c r="I96" s="2">
        <f t="shared" si="3"/>
        <v>0</v>
      </c>
    </row>
    <row r="97" spans="2:9">
      <c r="C97" s="2" t="s">
        <v>150</v>
      </c>
      <c r="D97" s="2" t="s">
        <v>516</v>
      </c>
      <c r="E97" s="2">
        <f>IF(ISNUMBER('FBPQ C2'!J89),'FBPQ C2'!J89,IF(ISNUMBER('FBPQ C2'!I89),'FBPQ C2'!I89,""))</f>
        <v>1143.1373381588107</v>
      </c>
      <c r="F97" s="2" t="s">
        <v>788</v>
      </c>
      <c r="G97" s="2">
        <f t="shared" si="2"/>
        <v>1143.1373381588107</v>
      </c>
      <c r="H97" s="2">
        <f>IF(ISBLANK('FBPQ T4'!E89)," ",'FBPQ T4'!AE89)</f>
        <v>0</v>
      </c>
      <c r="I97" s="2">
        <f t="shared" si="3"/>
        <v>0</v>
      </c>
    </row>
    <row r="98" spans="2:9">
      <c r="C98" s="2" t="s">
        <v>151</v>
      </c>
      <c r="D98" s="2" t="s">
        <v>516</v>
      </c>
      <c r="E98" s="2">
        <f>IF(ISNUMBER('FBPQ C2'!J90),'FBPQ C2'!J90,IF(ISNUMBER('FBPQ C2'!I90),'FBPQ C2'!I90,""))</f>
        <v>1143.1373381588107</v>
      </c>
      <c r="F98" s="2" t="s">
        <v>788</v>
      </c>
      <c r="G98" s="2">
        <f t="shared" si="2"/>
        <v>1143.1373381588107</v>
      </c>
      <c r="H98" s="2">
        <f>IF(ISBLANK('FBPQ T4'!E90)," ",'FBPQ T4'!AE90)</f>
        <v>0</v>
      </c>
      <c r="I98" s="2">
        <f t="shared" si="3"/>
        <v>0</v>
      </c>
    </row>
    <row r="99" spans="2:9">
      <c r="C99" s="2" t="s">
        <v>152</v>
      </c>
      <c r="D99" s="2" t="s">
        <v>516</v>
      </c>
      <c r="E99" s="2">
        <f>IF(ISNUMBER('FBPQ C2'!J91),'FBPQ C2'!J91,IF(ISNUMBER('FBPQ C2'!I91),'FBPQ C2'!I91,""))</f>
        <v>0</v>
      </c>
      <c r="F99" s="2" t="s">
        <v>788</v>
      </c>
      <c r="G99" s="2">
        <f t="shared" si="2"/>
        <v>0</v>
      </c>
      <c r="H99" s="2">
        <f>IF(ISBLANK('FBPQ T4'!E91)," ",'FBPQ T4'!AE91)</f>
        <v>0</v>
      </c>
      <c r="I99" s="2">
        <f t="shared" si="3"/>
        <v>0</v>
      </c>
    </row>
    <row r="100" spans="2:9">
      <c r="E100" s="2" t="str">
        <f>IF(ISNUMBER('FBPQ C2'!J92),'FBPQ C2'!J92,IF(ISNUMBER('FBPQ C2'!I92),'FBPQ C2'!I92,""))</f>
        <v/>
      </c>
      <c r="G100" s="2">
        <f t="shared" si="2"/>
        <v>0</v>
      </c>
      <c r="H100" s="2" t="str">
        <f>IF(ISBLANK('FBPQ T4'!E92)," ",'FBPQ T4'!AE92)</f>
        <v xml:space="preserve"> </v>
      </c>
      <c r="I100" s="2" t="str">
        <f t="shared" si="3"/>
        <v xml:space="preserve"> </v>
      </c>
    </row>
    <row r="101" spans="2:9">
      <c r="B101" s="2" t="s">
        <v>117</v>
      </c>
      <c r="E101" s="2" t="str">
        <f>IF(ISNUMBER('FBPQ C2'!J93),'FBPQ C2'!J93,IF(ISNUMBER('FBPQ C2'!I93),'FBPQ C2'!I93,""))</f>
        <v/>
      </c>
      <c r="G101" s="2">
        <f t="shared" si="2"/>
        <v>0</v>
      </c>
      <c r="H101" s="2" t="str">
        <f>IF(ISBLANK('FBPQ T4'!E93)," ",'FBPQ T4'!AE93)</f>
        <v xml:space="preserve"> </v>
      </c>
      <c r="I101" s="2" t="str">
        <f t="shared" si="3"/>
        <v xml:space="preserve"> </v>
      </c>
    </row>
    <row r="102" spans="2:9">
      <c r="C102" s="2" t="s">
        <v>153</v>
      </c>
      <c r="D102" s="2" t="s">
        <v>516</v>
      </c>
      <c r="E102" s="2">
        <f>IF(ISNUMBER('FBPQ C2'!J94),'FBPQ C2'!J94,IF(ISNUMBER('FBPQ C2'!I94),'FBPQ C2'!I94,""))</f>
        <v>0</v>
      </c>
      <c r="F102" s="2" t="s">
        <v>788</v>
      </c>
      <c r="G102" s="2">
        <f t="shared" si="2"/>
        <v>0</v>
      </c>
      <c r="H102" s="2">
        <f>IF(ISBLANK('FBPQ T4'!E94)," ",'FBPQ T4'!AE94)</f>
        <v>0</v>
      </c>
      <c r="I102" s="2">
        <f t="shared" si="3"/>
        <v>0</v>
      </c>
    </row>
    <row r="103" spans="2:9">
      <c r="E103" s="2" t="str">
        <f>IF(ISNUMBER('FBPQ C2'!J95),'FBPQ C2'!J95,IF(ISNUMBER('FBPQ C2'!I95),'FBPQ C2'!I95,""))</f>
        <v/>
      </c>
      <c r="G103" s="2">
        <f t="shared" si="2"/>
        <v>0</v>
      </c>
      <c r="H103" s="2" t="str">
        <f>IF(ISBLANK('FBPQ T4'!E95)," ",'FBPQ T4'!AE95)</f>
        <v xml:space="preserve"> </v>
      </c>
      <c r="I103" s="2" t="str">
        <f t="shared" si="3"/>
        <v xml:space="preserve"> </v>
      </c>
    </row>
    <row r="104" spans="2:9">
      <c r="B104" s="2" t="s">
        <v>100</v>
      </c>
      <c r="E104" s="2" t="str">
        <f>IF(ISNUMBER('FBPQ C2'!J96),'FBPQ C2'!J96,IF(ISNUMBER('FBPQ C2'!I96),'FBPQ C2'!I96,""))</f>
        <v/>
      </c>
      <c r="G104" s="2">
        <f t="shared" si="2"/>
        <v>0</v>
      </c>
      <c r="H104" s="2" t="str">
        <f>IF(ISBLANK('FBPQ T4'!E96)," ",'FBPQ T4'!AE96)</f>
        <v xml:space="preserve"> </v>
      </c>
      <c r="I104" s="2" t="str">
        <f t="shared" si="3"/>
        <v xml:space="preserve"> </v>
      </c>
    </row>
    <row r="105" spans="2:9">
      <c r="C105" s="2" t="s">
        <v>154</v>
      </c>
      <c r="D105" s="2" t="s">
        <v>517</v>
      </c>
      <c r="E105" s="2">
        <f>IF(ISNUMBER('FBPQ C2'!J97),'FBPQ C2'!J97,IF(ISNUMBER('FBPQ C2'!I97),'FBPQ C2'!I97,""))</f>
        <v>175.26499757861637</v>
      </c>
      <c r="F105" s="2" t="s">
        <v>788</v>
      </c>
      <c r="G105" s="2">
        <f t="shared" si="2"/>
        <v>175.26499757861637</v>
      </c>
      <c r="H105" s="2">
        <f>IF(ISBLANK('FBPQ T4'!E97)," ",'FBPQ T4'!AE97)</f>
        <v>414</v>
      </c>
      <c r="I105" s="2">
        <f t="shared" si="3"/>
        <v>72559.708997547175</v>
      </c>
    </row>
    <row r="106" spans="2:9">
      <c r="C106" s="2" t="s">
        <v>155</v>
      </c>
      <c r="D106" s="2" t="s">
        <v>517</v>
      </c>
      <c r="E106" s="2">
        <f>IF(ISNUMBER('FBPQ C2'!J98),'FBPQ C2'!J98,IF(ISNUMBER('FBPQ C2'!I98),'FBPQ C2'!I98,""))</f>
        <v>175.26499757861637</v>
      </c>
      <c r="F106" s="2" t="s">
        <v>788</v>
      </c>
      <c r="G106" s="2">
        <f t="shared" si="2"/>
        <v>175.26499757861637</v>
      </c>
      <c r="H106" s="2">
        <f>IF(ISBLANK('FBPQ T4'!E98)," ",'FBPQ T4'!AE98)</f>
        <v>575</v>
      </c>
      <c r="I106" s="2">
        <f t="shared" si="3"/>
        <v>100777.37360770442</v>
      </c>
    </row>
    <row r="107" spans="2:9">
      <c r="C107" s="2" t="s">
        <v>156</v>
      </c>
      <c r="D107" s="2" t="s">
        <v>517</v>
      </c>
      <c r="E107" s="2">
        <f>IF(ISNUMBER('FBPQ C2'!J99),'FBPQ C2'!J99,IF(ISNUMBER('FBPQ C2'!I99),'FBPQ C2'!I99,""))</f>
        <v>0</v>
      </c>
      <c r="F107" s="2" t="s">
        <v>788</v>
      </c>
      <c r="G107" s="2">
        <f t="shared" si="2"/>
        <v>0</v>
      </c>
      <c r="H107" s="2">
        <f>IF(ISBLANK('FBPQ T4'!E99)," ",'FBPQ T4'!AE99)</f>
        <v>0</v>
      </c>
      <c r="I107" s="2">
        <f t="shared" si="3"/>
        <v>0</v>
      </c>
    </row>
    <row r="108" spans="2:9">
      <c r="C108" s="2" t="s">
        <v>157</v>
      </c>
      <c r="D108" s="2" t="s">
        <v>517</v>
      </c>
      <c r="E108" s="2">
        <f>IF(ISNUMBER('FBPQ C2'!J100),'FBPQ C2'!J100,IF(ISNUMBER('FBPQ C2'!I100),'FBPQ C2'!I100,""))</f>
        <v>0</v>
      </c>
      <c r="F108" s="2" t="s">
        <v>788</v>
      </c>
      <c r="G108" s="2">
        <f t="shared" si="2"/>
        <v>0</v>
      </c>
      <c r="H108" s="2">
        <f>IF(ISBLANK('FBPQ T4'!E100)," ",'FBPQ T4'!AE100)</f>
        <v>0</v>
      </c>
      <c r="I108" s="2">
        <f t="shared" si="3"/>
        <v>0</v>
      </c>
    </row>
    <row r="109" spans="2:9">
      <c r="C109" s="2" t="s">
        <v>158</v>
      </c>
      <c r="D109" s="2" t="s">
        <v>517</v>
      </c>
      <c r="E109" s="2">
        <f>IF(ISNUMBER('FBPQ C2'!J101),'FBPQ C2'!J101,IF(ISNUMBER('FBPQ C2'!I101),'FBPQ C2'!I101,""))</f>
        <v>557.59565209031973</v>
      </c>
      <c r="F109" s="2" t="s">
        <v>788</v>
      </c>
      <c r="G109" s="2">
        <f t="shared" si="2"/>
        <v>557.59565209031973</v>
      </c>
      <c r="H109" s="2">
        <f>IF(ISBLANK('FBPQ T4'!E101)," ",'FBPQ T4'!AE101)</f>
        <v>54</v>
      </c>
      <c r="I109" s="2">
        <f t="shared" si="3"/>
        <v>30110.165212877266</v>
      </c>
    </row>
    <row r="110" spans="2:9">
      <c r="C110" s="2" t="s">
        <v>159</v>
      </c>
      <c r="D110" s="2" t="s">
        <v>517</v>
      </c>
      <c r="E110" s="1483">
        <f>E106</f>
        <v>175.26499757861637</v>
      </c>
      <c r="F110" s="2" t="s">
        <v>788</v>
      </c>
      <c r="G110" s="2">
        <f t="shared" si="2"/>
        <v>175.26499757861637</v>
      </c>
      <c r="H110" s="2">
        <f>IF(ISBLANK('FBPQ T4'!E102)," ",'FBPQ T4'!AE102)</f>
        <v>2044</v>
      </c>
      <c r="I110" s="2">
        <f t="shared" si="3"/>
        <v>358241.65505069186</v>
      </c>
    </row>
    <row r="111" spans="2:9">
      <c r="C111" s="2" t="s">
        <v>160</v>
      </c>
      <c r="D111" s="2" t="s">
        <v>517</v>
      </c>
      <c r="E111" s="2">
        <f>IF(ISNUMBER('FBPQ C2'!J103),'FBPQ C2'!J103,IF(ISNUMBER('FBPQ C2'!I103),'FBPQ C2'!I103,""))</f>
        <v>661.18870907836788</v>
      </c>
      <c r="F111" s="2" t="s">
        <v>788</v>
      </c>
      <c r="G111" s="2">
        <f t="shared" si="2"/>
        <v>661.18870907836788</v>
      </c>
      <c r="H111" s="2">
        <f>IF(ISBLANK('FBPQ T4'!E103)," ",'FBPQ T4'!AE103)</f>
        <v>0</v>
      </c>
      <c r="I111" s="2">
        <f t="shared" si="3"/>
        <v>0</v>
      </c>
    </row>
    <row r="112" spans="2:9">
      <c r="C112" s="2" t="s">
        <v>161</v>
      </c>
      <c r="D112" s="2" t="s">
        <v>517</v>
      </c>
      <c r="E112" s="2" t="str">
        <f>IF(ISNUMBER('FBPQ C2'!J104),'FBPQ C2'!J104,IF(ISNUMBER('FBPQ C2'!I104),'FBPQ C2'!I104,""))</f>
        <v/>
      </c>
      <c r="F112" s="2" t="s">
        <v>788</v>
      </c>
      <c r="G112" s="2" t="str">
        <f t="shared" si="2"/>
        <v xml:space="preserve"> </v>
      </c>
      <c r="H112" s="2">
        <f>IF(ISBLANK('FBPQ T4'!E104)," ",'FBPQ T4'!AE104)</f>
        <v>0</v>
      </c>
      <c r="I112" s="2" t="str">
        <f t="shared" si="3"/>
        <v xml:space="preserve"> </v>
      </c>
    </row>
    <row r="113" spans="1:9">
      <c r="E113" s="2" t="str">
        <f>IF(ISNUMBER('FBPQ C2'!J105),'FBPQ C2'!J105,IF(ISNUMBER('FBPQ C2'!I105),'FBPQ C2'!I105,""))</f>
        <v/>
      </c>
      <c r="G113" s="2">
        <f t="shared" si="2"/>
        <v>0</v>
      </c>
      <c r="H113" s="2" t="str">
        <f>IF(ISBLANK('FBPQ T4'!E105)," ",'FBPQ T4'!AE105)</f>
        <v xml:space="preserve"> </v>
      </c>
      <c r="I113" s="2" t="str">
        <f t="shared" si="3"/>
        <v xml:space="preserve"> </v>
      </c>
    </row>
    <row r="114" spans="1:9">
      <c r="B114" s="2" t="s">
        <v>133</v>
      </c>
      <c r="E114" s="2" t="str">
        <f>IF(ISNUMBER('FBPQ C2'!J106),'FBPQ C2'!J106,IF(ISNUMBER('FBPQ C2'!I106),'FBPQ C2'!I106,""))</f>
        <v/>
      </c>
      <c r="G114" s="2">
        <f t="shared" si="2"/>
        <v>0</v>
      </c>
      <c r="H114" s="2" t="str">
        <f>IF(ISBLANK('FBPQ T4'!E106)," ",'FBPQ T4'!AE106)</f>
        <v xml:space="preserve"> </v>
      </c>
      <c r="I114" s="2" t="str">
        <f t="shared" si="3"/>
        <v xml:space="preserve"> </v>
      </c>
    </row>
    <row r="115" spans="1:9">
      <c r="C115" s="2" t="s">
        <v>162</v>
      </c>
      <c r="D115" s="2" t="s">
        <v>517</v>
      </c>
      <c r="E115" s="2">
        <f>IF(ISNUMBER('FBPQ C2'!J107),'FBPQ C2'!J107,IF(ISNUMBER('FBPQ C2'!I107),'FBPQ C2'!I107,""))</f>
        <v>504.59455316620199</v>
      </c>
      <c r="F115" s="2" t="s">
        <v>788</v>
      </c>
      <c r="G115" s="2">
        <f t="shared" si="2"/>
        <v>504.59455316620199</v>
      </c>
      <c r="H115" s="2">
        <f>IF(ISBLANK('FBPQ T4'!E107)," ",'FBPQ T4'!AE107)</f>
        <v>0</v>
      </c>
      <c r="I115" s="2">
        <f t="shared" si="3"/>
        <v>0</v>
      </c>
    </row>
    <row r="116" spans="1:9">
      <c r="C116" s="2" t="s">
        <v>163</v>
      </c>
      <c r="D116" s="2" t="s">
        <v>517</v>
      </c>
      <c r="E116" s="2">
        <f>IF(ISNUMBER('FBPQ C2'!J108),'FBPQ C2'!J108,IF(ISNUMBER('FBPQ C2'!I108),'FBPQ C2'!I108,""))</f>
        <v>541.93623649910307</v>
      </c>
      <c r="F116" s="2" t="s">
        <v>788</v>
      </c>
      <c r="G116" s="2">
        <f t="shared" si="2"/>
        <v>541.93623649910307</v>
      </c>
      <c r="H116" s="2">
        <f>IF(ISBLANK('FBPQ T4'!E108)," ",'FBPQ T4'!AE108)</f>
        <v>717</v>
      </c>
      <c r="I116" s="2">
        <f t="shared" si="3"/>
        <v>388568.28156985692</v>
      </c>
    </row>
    <row r="117" spans="1:9">
      <c r="C117" s="2" t="s">
        <v>164</v>
      </c>
      <c r="D117" s="2" t="s">
        <v>517</v>
      </c>
      <c r="E117" s="1485">
        <v>11.322962042879682</v>
      </c>
      <c r="F117" s="2" t="s">
        <v>788</v>
      </c>
      <c r="G117" s="2">
        <f t="shared" si="2"/>
        <v>11.322962042879682</v>
      </c>
      <c r="H117" s="2">
        <f>IF(ISBLANK('FBPQ T4'!E109)," ",'FBPQ T4'!AE109)</f>
        <v>651</v>
      </c>
      <c r="I117" s="2">
        <f t="shared" si="3"/>
        <v>7371.2482899146735</v>
      </c>
    </row>
    <row r="118" spans="1:9">
      <c r="C118" s="2" t="s">
        <v>165</v>
      </c>
      <c r="D118" s="2" t="s">
        <v>517</v>
      </c>
      <c r="E118" s="2">
        <f>IF(ISNUMBER('FBPQ C2'!J110),'FBPQ C2'!J110,IF(ISNUMBER('FBPQ C2'!I110),'FBPQ C2'!I110,""))</f>
        <v>2117.5143590615103</v>
      </c>
      <c r="F118" s="2" t="s">
        <v>788</v>
      </c>
      <c r="G118" s="2">
        <f t="shared" si="2"/>
        <v>2117.5143590615103</v>
      </c>
      <c r="H118" s="2">
        <f>IF(ISBLANK('FBPQ T4'!E110)," ",'FBPQ T4'!AE110)</f>
        <v>0</v>
      </c>
      <c r="I118" s="2">
        <f t="shared" si="3"/>
        <v>0</v>
      </c>
    </row>
    <row r="119" spans="1:9">
      <c r="C119" s="2" t="s">
        <v>166</v>
      </c>
      <c r="D119" s="2" t="s">
        <v>517</v>
      </c>
      <c r="E119" s="2" t="str">
        <f>IF(ISNUMBER('FBPQ C2'!J111),'FBPQ C2'!J111,IF(ISNUMBER('FBPQ C2'!I111),'FBPQ C2'!I111,""))</f>
        <v/>
      </c>
      <c r="F119" s="2" t="s">
        <v>788</v>
      </c>
      <c r="G119" s="2" t="str">
        <f t="shared" si="2"/>
        <v xml:space="preserve"> </v>
      </c>
      <c r="H119" s="2">
        <f>IF(ISBLANK('FBPQ T4'!E111)," ",'FBPQ T4'!AE111)</f>
        <v>0</v>
      </c>
      <c r="I119" s="2" t="str">
        <f t="shared" si="3"/>
        <v xml:space="preserve"> </v>
      </c>
    </row>
    <row r="120" spans="1:9">
      <c r="E120" s="2" t="str">
        <f>IF(ISNUMBER('FBPQ C2'!J112),'FBPQ C2'!J112,IF(ISNUMBER('FBPQ C2'!I112),'FBPQ C2'!I112,""))</f>
        <v/>
      </c>
      <c r="G120" s="2">
        <f t="shared" si="2"/>
        <v>0</v>
      </c>
      <c r="H120" s="2" t="str">
        <f>IF(ISBLANK('FBPQ T4'!E112)," ",'FBPQ T4'!AE112)</f>
        <v xml:space="preserve"> </v>
      </c>
      <c r="I120" s="2" t="str">
        <f t="shared" si="3"/>
        <v xml:space="preserve"> </v>
      </c>
    </row>
    <row r="121" spans="1:9">
      <c r="A121" s="1" t="s">
        <v>167</v>
      </c>
      <c r="E121" s="2" t="str">
        <f>IF(ISNUMBER('FBPQ C2'!J113),'FBPQ C2'!J113,IF(ISNUMBER('FBPQ C2'!I113),'FBPQ C2'!I113,""))</f>
        <v/>
      </c>
      <c r="G121" s="2">
        <f t="shared" si="2"/>
        <v>0</v>
      </c>
      <c r="H121" s="2" t="str">
        <f>IF(ISBLANK('FBPQ T4'!E113)," ",'FBPQ T4'!AE113)</f>
        <v xml:space="preserve"> </v>
      </c>
      <c r="I121" s="2" t="str">
        <f t="shared" si="3"/>
        <v xml:space="preserve"> </v>
      </c>
    </row>
    <row r="122" spans="1:9">
      <c r="B122" s="2" t="s">
        <v>429</v>
      </c>
      <c r="E122" s="2" t="str">
        <f>IF(ISNUMBER('FBPQ C2'!J114),'FBPQ C2'!J114,IF(ISNUMBER('FBPQ C2'!I114),'FBPQ C2'!I114,""))</f>
        <v/>
      </c>
      <c r="G122" s="2">
        <f t="shared" si="2"/>
        <v>0</v>
      </c>
      <c r="H122" s="2" t="str">
        <f>IF(ISBLANK('FBPQ T4'!E114)," ",'FBPQ T4'!AE114)</f>
        <v xml:space="preserve"> </v>
      </c>
      <c r="I122" s="2" t="str">
        <f t="shared" si="3"/>
        <v xml:space="preserve"> </v>
      </c>
    </row>
    <row r="123" spans="1:9">
      <c r="C123" s="2" t="s">
        <v>168</v>
      </c>
      <c r="D123" s="2" t="s">
        <v>516</v>
      </c>
      <c r="E123" s="2">
        <f>IF(ISNUMBER('FBPQ C2'!J115),'FBPQ C2'!J115,IF(ISNUMBER('FBPQ C2'!I115),'FBPQ C2'!I115,""))</f>
        <v>677.32995284162189</v>
      </c>
      <c r="F123" s="2" t="s">
        <v>788</v>
      </c>
      <c r="G123" s="2">
        <f t="shared" si="2"/>
        <v>677.32995284162189</v>
      </c>
      <c r="H123" s="2">
        <f>IF(ISBLANK('FBPQ T4'!E115)," ",'FBPQ T4'!AE115)</f>
        <v>138</v>
      </c>
      <c r="I123" s="2">
        <f t="shared" si="3"/>
        <v>93471.533492143819</v>
      </c>
    </row>
    <row r="124" spans="1:9">
      <c r="C124" s="2" t="s">
        <v>169</v>
      </c>
      <c r="D124" s="2" t="s">
        <v>516</v>
      </c>
      <c r="E124" s="2">
        <f>IF(ISNUMBER('FBPQ C2'!J116),'FBPQ C2'!J116,IF(ISNUMBER('FBPQ C2'!I116),'FBPQ C2'!I116,""))</f>
        <v>1163.9764065994295</v>
      </c>
      <c r="F124" s="2" t="s">
        <v>788</v>
      </c>
      <c r="G124" s="2">
        <f t="shared" si="2"/>
        <v>1163.9764065994295</v>
      </c>
      <c r="H124" s="2">
        <f>IF(ISBLANK('FBPQ T4'!E116)," ",'FBPQ T4'!AE116)</f>
        <v>2246</v>
      </c>
      <c r="I124" s="2">
        <f t="shared" si="3"/>
        <v>2614291.0092223189</v>
      </c>
    </row>
    <row r="125" spans="1:9">
      <c r="E125" s="2" t="str">
        <f>IF(ISNUMBER('FBPQ C2'!J117),'FBPQ C2'!J117,IF(ISNUMBER('FBPQ C2'!I117),'FBPQ C2'!I117,""))</f>
        <v/>
      </c>
      <c r="G125" s="2">
        <f t="shared" si="2"/>
        <v>0</v>
      </c>
      <c r="H125" s="2" t="str">
        <f>IF(ISBLANK('FBPQ T4'!E117)," ",'FBPQ T4'!AE117)</f>
        <v xml:space="preserve"> </v>
      </c>
      <c r="I125" s="2" t="str">
        <f t="shared" si="3"/>
        <v xml:space="preserve"> </v>
      </c>
    </row>
    <row r="126" spans="1:9">
      <c r="B126" s="2" t="s">
        <v>93</v>
      </c>
      <c r="E126" s="2" t="str">
        <f>IF(ISNUMBER('FBPQ C2'!J118),'FBPQ C2'!J118,IF(ISNUMBER('FBPQ C2'!I118),'FBPQ C2'!I118,""))</f>
        <v/>
      </c>
      <c r="G126" s="2">
        <f t="shared" si="2"/>
        <v>0</v>
      </c>
      <c r="H126" s="2" t="str">
        <f>IF(ISBLANK('FBPQ T4'!E118)," ",'FBPQ T4'!AE118)</f>
        <v xml:space="preserve"> </v>
      </c>
      <c r="I126" s="2" t="str">
        <f t="shared" si="3"/>
        <v xml:space="preserve"> </v>
      </c>
    </row>
    <row r="127" spans="1:9">
      <c r="C127" s="2" t="s">
        <v>170</v>
      </c>
      <c r="D127" s="2" t="s">
        <v>517</v>
      </c>
      <c r="E127" s="1483">
        <v>0</v>
      </c>
      <c r="F127" s="2" t="s">
        <v>788</v>
      </c>
      <c r="G127" s="2">
        <f t="shared" si="2"/>
        <v>0</v>
      </c>
      <c r="H127" s="2">
        <f>IF(ISBLANK('FBPQ T4'!E119)," ",'FBPQ T4'!AE119)</f>
        <v>56</v>
      </c>
      <c r="I127" s="2">
        <f t="shared" si="3"/>
        <v>0</v>
      </c>
    </row>
    <row r="128" spans="1:9">
      <c r="C128" s="2" t="s">
        <v>171</v>
      </c>
      <c r="D128" s="2" t="s">
        <v>517</v>
      </c>
      <c r="E128" s="1483">
        <v>0</v>
      </c>
      <c r="F128" s="2" t="s">
        <v>788</v>
      </c>
      <c r="G128" s="2">
        <f t="shared" si="2"/>
        <v>0</v>
      </c>
      <c r="H128" s="2">
        <f>IF(ISBLANK('FBPQ T4'!E120)," ",'FBPQ T4'!AE120)</f>
        <v>4562</v>
      </c>
      <c r="I128" s="2">
        <f t="shared" si="3"/>
        <v>0</v>
      </c>
    </row>
    <row r="129" spans="2:9">
      <c r="C129" s="2" t="s">
        <v>172</v>
      </c>
      <c r="D129" s="2" t="s">
        <v>517</v>
      </c>
      <c r="E129" s="1483">
        <v>0</v>
      </c>
      <c r="F129" s="2" t="s">
        <v>788</v>
      </c>
      <c r="G129" s="2">
        <f t="shared" si="2"/>
        <v>0</v>
      </c>
      <c r="H129" s="2">
        <f>IF(ISBLANK('FBPQ T4'!E121)," ",'FBPQ T4'!AE121)</f>
        <v>9124</v>
      </c>
      <c r="I129" s="2">
        <f t="shared" si="3"/>
        <v>0</v>
      </c>
    </row>
    <row r="130" spans="2:9">
      <c r="E130" s="2" t="str">
        <f>IF(ISNUMBER('FBPQ C2'!J122),'FBPQ C2'!J122,IF(ISNUMBER('FBPQ C2'!I122),'FBPQ C2'!I122,""))</f>
        <v/>
      </c>
      <c r="G130" s="2">
        <f t="shared" si="2"/>
        <v>0</v>
      </c>
      <c r="H130" s="2" t="str">
        <f>IF(ISBLANK('FBPQ T4'!E122)," ",'FBPQ T4'!AE122)</f>
        <v xml:space="preserve"> </v>
      </c>
      <c r="I130" s="2" t="str">
        <f t="shared" si="3"/>
        <v xml:space="preserve"> </v>
      </c>
    </row>
    <row r="131" spans="2:9">
      <c r="B131" s="2" t="s">
        <v>114</v>
      </c>
      <c r="E131" s="2" t="str">
        <f>IF(ISNUMBER('FBPQ C2'!J123),'FBPQ C2'!J123,IF(ISNUMBER('FBPQ C2'!I123),'FBPQ C2'!I123,""))</f>
        <v/>
      </c>
      <c r="G131" s="2">
        <f t="shared" si="2"/>
        <v>0</v>
      </c>
      <c r="H131" s="2" t="str">
        <f>IF(ISBLANK('FBPQ T4'!E123)," ",'FBPQ T4'!AE123)</f>
        <v xml:space="preserve"> </v>
      </c>
      <c r="I131" s="2" t="str">
        <f t="shared" si="3"/>
        <v xml:space="preserve"> </v>
      </c>
    </row>
    <row r="132" spans="2:9">
      <c r="C132" s="2" t="s">
        <v>173</v>
      </c>
      <c r="D132" s="2" t="s">
        <v>516</v>
      </c>
      <c r="E132" s="2">
        <f>IF(ISNUMBER('FBPQ C2'!J124),'FBPQ C2'!J124,IF(ISNUMBER('FBPQ C2'!I124),'FBPQ C2'!I124,""))</f>
        <v>1174.4561693412438</v>
      </c>
      <c r="F132" s="2" t="s">
        <v>788</v>
      </c>
      <c r="G132" s="2">
        <f t="shared" si="2"/>
        <v>1174.4561693412438</v>
      </c>
      <c r="H132" s="2">
        <f>IF(ISBLANK('FBPQ T4'!E124)," ",'FBPQ T4'!AE124)</f>
        <v>42</v>
      </c>
      <c r="I132" s="2">
        <f t="shared" si="3"/>
        <v>49327.159112332243</v>
      </c>
    </row>
    <row r="133" spans="2:9">
      <c r="C133" s="2" t="s">
        <v>174</v>
      </c>
      <c r="D133" s="2" t="s">
        <v>516</v>
      </c>
      <c r="E133" s="2">
        <f>IF(ISNUMBER('FBPQ C2'!J125),'FBPQ C2'!J125,IF(ISNUMBER('FBPQ C2'!I125),'FBPQ C2'!I125,""))</f>
        <v>1174.4561693412438</v>
      </c>
      <c r="F133" s="2" t="s">
        <v>788</v>
      </c>
      <c r="G133" s="2">
        <f t="shared" si="2"/>
        <v>1174.4561693412438</v>
      </c>
      <c r="H133" s="2">
        <f>IF(ISBLANK('FBPQ T4'!E125)," ",'FBPQ T4'!AE125)</f>
        <v>164</v>
      </c>
      <c r="I133" s="2">
        <f t="shared" si="3"/>
        <v>192610.81177196398</v>
      </c>
    </row>
    <row r="134" spans="2:9">
      <c r="C134" s="2" t="s">
        <v>175</v>
      </c>
      <c r="D134" s="2" t="s">
        <v>516</v>
      </c>
      <c r="E134" s="2">
        <f>IF(ISNUMBER('FBPQ C2'!J126),'FBPQ C2'!J126,IF(ISNUMBER('FBPQ C2'!I126),'FBPQ C2'!I126,""))</f>
        <v>0</v>
      </c>
      <c r="F134" s="2" t="s">
        <v>788</v>
      </c>
      <c r="G134" s="2">
        <f t="shared" si="2"/>
        <v>0</v>
      </c>
      <c r="H134" s="2">
        <f>IF(ISBLANK('FBPQ T4'!E126)," ",'FBPQ T4'!AE126)</f>
        <v>0</v>
      </c>
      <c r="I134" s="2">
        <f t="shared" si="3"/>
        <v>0</v>
      </c>
    </row>
    <row r="135" spans="2:9">
      <c r="E135" s="2" t="str">
        <f>IF(ISNUMBER('FBPQ C2'!J127),'FBPQ C2'!J127,IF(ISNUMBER('FBPQ C2'!I127),'FBPQ C2'!I127,""))</f>
        <v/>
      </c>
      <c r="G135" s="2">
        <f t="shared" si="2"/>
        <v>0</v>
      </c>
      <c r="H135" s="2" t="str">
        <f>IF(ISBLANK('FBPQ T4'!E127)," ",'FBPQ T4'!AE127)</f>
        <v xml:space="preserve"> </v>
      </c>
      <c r="I135" s="2" t="str">
        <f t="shared" si="3"/>
        <v xml:space="preserve"> </v>
      </c>
    </row>
    <row r="136" spans="2:9">
      <c r="B136" s="2" t="s">
        <v>117</v>
      </c>
      <c r="E136" s="2" t="str">
        <f>IF(ISNUMBER('FBPQ C2'!J128),'FBPQ C2'!J128,IF(ISNUMBER('FBPQ C2'!I128),'FBPQ C2'!I128,""))</f>
        <v/>
      </c>
      <c r="G136" s="2">
        <f t="shared" si="2"/>
        <v>0</v>
      </c>
      <c r="H136" s="2" t="str">
        <f>IF(ISBLANK('FBPQ T4'!E128)," ",'FBPQ T4'!AE128)</f>
        <v xml:space="preserve"> </v>
      </c>
      <c r="I136" s="2" t="str">
        <f t="shared" si="3"/>
        <v xml:space="preserve"> </v>
      </c>
    </row>
    <row r="137" spans="2:9">
      <c r="C137" s="2" t="s">
        <v>176</v>
      </c>
      <c r="D137" s="2" t="s">
        <v>516</v>
      </c>
      <c r="E137" s="2">
        <f>IF(ISNUMBER('FBPQ C2'!J129),'FBPQ C2'!J129,IF(ISNUMBER('FBPQ C2'!I129),'FBPQ C2'!I129,""))</f>
        <v>0</v>
      </c>
      <c r="F137" s="2" t="s">
        <v>788</v>
      </c>
      <c r="G137" s="2">
        <f t="shared" si="2"/>
        <v>0</v>
      </c>
      <c r="H137" s="2">
        <f>IF(ISBLANK('FBPQ T4'!E129)," ",'FBPQ T4'!AE129)</f>
        <v>0</v>
      </c>
      <c r="I137" s="2">
        <f t="shared" si="3"/>
        <v>0</v>
      </c>
    </row>
    <row r="138" spans="2:9">
      <c r="E138" s="2" t="str">
        <f>IF(ISNUMBER('FBPQ C2'!J130),'FBPQ C2'!J130,IF(ISNUMBER('FBPQ C2'!I130),'FBPQ C2'!I130,""))</f>
        <v/>
      </c>
      <c r="G138" s="2">
        <f t="shared" si="2"/>
        <v>0</v>
      </c>
      <c r="H138" s="2" t="str">
        <f>IF(ISBLANK('FBPQ T4'!E130)," ",'FBPQ T4'!AE130)</f>
        <v xml:space="preserve"> </v>
      </c>
      <c r="I138" s="2" t="str">
        <f t="shared" si="3"/>
        <v xml:space="preserve"> </v>
      </c>
    </row>
    <row r="139" spans="2:9">
      <c r="B139" s="2" t="s">
        <v>100</v>
      </c>
      <c r="E139" s="2" t="str">
        <f>IF(ISNUMBER('FBPQ C2'!J131),'FBPQ C2'!J131,IF(ISNUMBER('FBPQ C2'!I131),'FBPQ C2'!I131,""))</f>
        <v/>
      </c>
      <c r="G139" s="2">
        <f t="shared" si="2"/>
        <v>0</v>
      </c>
      <c r="H139" s="2" t="str">
        <f>IF(ISBLANK('FBPQ T4'!E131)," ",'FBPQ T4'!AE131)</f>
        <v xml:space="preserve"> </v>
      </c>
      <c r="I139" s="2" t="str">
        <f t="shared" si="3"/>
        <v xml:space="preserve"> </v>
      </c>
    </row>
    <row r="140" spans="2:9">
      <c r="C140" s="2" t="s">
        <v>177</v>
      </c>
      <c r="D140" s="2" t="s">
        <v>517</v>
      </c>
      <c r="E140" s="2">
        <f>IF(ISNUMBER('FBPQ C2'!J132),'FBPQ C2'!J132,IF(ISNUMBER('FBPQ C2'!I132),'FBPQ C2'!I132,""))</f>
        <v>1048.3376453104456</v>
      </c>
      <c r="F140" s="2" t="s">
        <v>788</v>
      </c>
      <c r="G140" s="2">
        <f t="shared" si="2"/>
        <v>1048.3376453104456</v>
      </c>
      <c r="H140" s="2">
        <f>IF(ISBLANK('FBPQ T4'!E132)," ",'FBPQ T4'!AE132)</f>
        <v>245</v>
      </c>
      <c r="I140" s="2">
        <f t="shared" si="3"/>
        <v>256842.72310105918</v>
      </c>
    </row>
    <row r="141" spans="2:9">
      <c r="C141" s="2" t="s">
        <v>178</v>
      </c>
      <c r="D141" s="2" t="s">
        <v>517</v>
      </c>
      <c r="E141" s="1483">
        <f>E140</f>
        <v>1048.3376453104456</v>
      </c>
      <c r="F141" s="2" t="s">
        <v>788</v>
      </c>
      <c r="G141" s="2">
        <f t="shared" si="2"/>
        <v>1048.3376453104456</v>
      </c>
      <c r="H141" s="2">
        <f>IF(ISBLANK('FBPQ T4'!E133)," ",'FBPQ T4'!AE133)</f>
        <v>1662</v>
      </c>
      <c r="I141" s="2">
        <f t="shared" si="3"/>
        <v>1742337.1665059605</v>
      </c>
    </row>
    <row r="142" spans="2:9">
      <c r="E142" s="2" t="str">
        <f>IF(ISNUMBER('FBPQ C2'!J134),'FBPQ C2'!J134,IF(ISNUMBER('FBPQ C2'!I134),'FBPQ C2'!I134,""))</f>
        <v/>
      </c>
      <c r="G142" s="2">
        <f t="shared" si="2"/>
        <v>0</v>
      </c>
      <c r="H142" s="2" t="str">
        <f>IF(ISBLANK('FBPQ T4'!E134)," ",'FBPQ T4'!AE134)</f>
        <v xml:space="preserve"> </v>
      </c>
      <c r="I142" s="2" t="str">
        <f t="shared" si="3"/>
        <v xml:space="preserve"> </v>
      </c>
    </row>
    <row r="143" spans="2:9">
      <c r="B143" s="2" t="s">
        <v>133</v>
      </c>
      <c r="E143" s="2" t="str">
        <f>IF(ISNUMBER('FBPQ C2'!J135),'FBPQ C2'!J135,IF(ISNUMBER('FBPQ C2'!I135),'FBPQ C2'!I135,""))</f>
        <v/>
      </c>
      <c r="G143" s="2">
        <f t="shared" si="2"/>
        <v>0</v>
      </c>
      <c r="H143" s="2" t="str">
        <f>IF(ISBLANK('FBPQ T4'!E135)," ",'FBPQ T4'!AE135)</f>
        <v xml:space="preserve"> </v>
      </c>
      <c r="I143" s="2" t="str">
        <f t="shared" si="3"/>
        <v xml:space="preserve"> </v>
      </c>
    </row>
    <row r="144" spans="2:9">
      <c r="C144" s="2" t="s">
        <v>179</v>
      </c>
      <c r="D144" s="2" t="s">
        <v>517</v>
      </c>
      <c r="E144" s="2">
        <f>IF(ISNUMBER('FBPQ C2'!J136),'FBPQ C2'!J136,IF(ISNUMBER('FBPQ C2'!I136),'FBPQ C2'!I136,""))</f>
        <v>2117.5143590615103</v>
      </c>
      <c r="F144" s="2" t="s">
        <v>788</v>
      </c>
      <c r="G144" s="2">
        <f t="shared" si="2"/>
        <v>2117.5143590615103</v>
      </c>
      <c r="H144" s="2">
        <f>IF(ISBLANK('FBPQ T4'!E136)," ",'FBPQ T4'!AE136)</f>
        <v>191</v>
      </c>
      <c r="I144" s="2">
        <f t="shared" si="3"/>
        <v>404445.24258074845</v>
      </c>
    </row>
    <row r="145" spans="1:9">
      <c r="C145" s="2" t="s">
        <v>180</v>
      </c>
      <c r="D145" s="2" t="s">
        <v>517</v>
      </c>
      <c r="E145" s="1483">
        <f>E76</f>
        <v>11.322962042879682</v>
      </c>
      <c r="F145" s="2" t="s">
        <v>788</v>
      </c>
      <c r="G145" s="2">
        <f t="shared" si="2"/>
        <v>11.322962042879682</v>
      </c>
      <c r="H145" s="2">
        <f>IF(ISBLANK('FBPQ T4'!E137)," ",'FBPQ T4'!AE137)</f>
        <v>336</v>
      </c>
      <c r="I145" s="2">
        <f t="shared" si="3"/>
        <v>3804.5152464075732</v>
      </c>
    </row>
    <row r="146" spans="1:9">
      <c r="E146" s="1484" t="s">
        <v>986</v>
      </c>
      <c r="G146" s="2">
        <f t="shared" si="2"/>
        <v>0</v>
      </c>
      <c r="H146" s="2" t="str">
        <f>IF(ISBLANK('FBPQ T4'!E138)," ",'FBPQ T4'!AE138)</f>
        <v xml:space="preserve"> </v>
      </c>
      <c r="I146" s="2" t="str">
        <f t="shared" si="3"/>
        <v xml:space="preserve"> </v>
      </c>
    </row>
    <row r="147" spans="1:9">
      <c r="A147" s="1" t="s">
        <v>181</v>
      </c>
      <c r="E147" s="1484" t="s">
        <v>986</v>
      </c>
      <c r="G147" s="2">
        <f t="shared" si="2"/>
        <v>0</v>
      </c>
      <c r="H147" s="2" t="str">
        <f>IF(ISBLANK('FBPQ T4'!E139)," ",'FBPQ T4'!AE139)</f>
        <v xml:space="preserve"> </v>
      </c>
      <c r="I147" s="2" t="str">
        <f t="shared" si="3"/>
        <v xml:space="preserve"> </v>
      </c>
    </row>
    <row r="148" spans="1:9">
      <c r="B148" s="2" t="s">
        <v>182</v>
      </c>
      <c r="E148" s="1484" t="s">
        <v>986</v>
      </c>
      <c r="G148" s="2">
        <f t="shared" ref="G148:G163" si="4">IF(ISNUMBER(E148),E148,IF(H148&gt;0,F148," "))</f>
        <v>0</v>
      </c>
      <c r="H148" s="2" t="str">
        <f>IF(ISBLANK('FBPQ T4'!E140)," ",'FBPQ T4'!AE140)</f>
        <v xml:space="preserve"> </v>
      </c>
      <c r="I148" s="2" t="str">
        <f t="shared" ref="I148:I163" si="5">IF(ISERROR(G148*H148)," ",G148*H148)</f>
        <v xml:space="preserve"> </v>
      </c>
    </row>
    <row r="149" spans="1:9">
      <c r="C149" s="2" t="s">
        <v>183</v>
      </c>
      <c r="D149" s="2" t="s">
        <v>517</v>
      </c>
      <c r="E149" s="1483">
        <v>62.645000000000003</v>
      </c>
      <c r="F149" s="2" t="s">
        <v>788</v>
      </c>
      <c r="G149" s="2">
        <f t="shared" si="4"/>
        <v>62.645000000000003</v>
      </c>
      <c r="H149" s="2">
        <f>IF(ISBLANK('FBPQ T4'!E141)," ",'FBPQ T4'!AE141)</f>
        <v>2</v>
      </c>
      <c r="I149" s="2">
        <f t="shared" si="5"/>
        <v>125.29</v>
      </c>
    </row>
    <row r="150" spans="1:9">
      <c r="C150" s="2" t="s">
        <v>184</v>
      </c>
      <c r="D150" s="2" t="s">
        <v>517</v>
      </c>
      <c r="E150" s="1483">
        <v>62.645000000000003</v>
      </c>
      <c r="F150" s="2" t="s">
        <v>788</v>
      </c>
      <c r="G150" s="2">
        <f t="shared" si="4"/>
        <v>62.645000000000003</v>
      </c>
      <c r="H150" s="2">
        <f>IF(ISBLANK('FBPQ T4'!E142)," ",'FBPQ T4'!AE142)</f>
        <v>484</v>
      </c>
      <c r="I150" s="2">
        <f t="shared" si="5"/>
        <v>30320.18</v>
      </c>
    </row>
    <row r="151" spans="1:9">
      <c r="E151" s="1484" t="s">
        <v>986</v>
      </c>
      <c r="G151" s="2">
        <f t="shared" si="4"/>
        <v>0</v>
      </c>
      <c r="H151" s="2" t="str">
        <f>IF(ISBLANK('FBPQ T4'!E143)," ",'FBPQ T4'!AE143)</f>
        <v xml:space="preserve"> </v>
      </c>
      <c r="I151" s="2" t="str">
        <f t="shared" si="5"/>
        <v xml:space="preserve"> </v>
      </c>
    </row>
    <row r="152" spans="1:9">
      <c r="B152" s="2" t="s">
        <v>185</v>
      </c>
      <c r="E152" s="1484" t="s">
        <v>986</v>
      </c>
      <c r="G152" s="2">
        <f t="shared" si="4"/>
        <v>0</v>
      </c>
      <c r="H152" s="2" t="str">
        <f>IF(ISBLANK('FBPQ T4'!E144)," ",'FBPQ T4'!AE144)</f>
        <v xml:space="preserve"> </v>
      </c>
      <c r="I152" s="2" t="str">
        <f t="shared" si="5"/>
        <v xml:space="preserve"> </v>
      </c>
    </row>
    <row r="153" spans="1:9">
      <c r="C153" s="2" t="s">
        <v>186</v>
      </c>
      <c r="D153" s="2" t="s">
        <v>517</v>
      </c>
      <c r="E153" s="1483">
        <v>62.645000000000003</v>
      </c>
      <c r="F153" s="2" t="s">
        <v>788</v>
      </c>
      <c r="G153" s="2">
        <f t="shared" si="4"/>
        <v>62.645000000000003</v>
      </c>
      <c r="H153" s="2">
        <f>IF(ISBLANK('FBPQ T4'!E145)," ",'FBPQ T4'!AE145)</f>
        <v>1491</v>
      </c>
      <c r="I153" s="2">
        <f t="shared" si="5"/>
        <v>93403.695000000007</v>
      </c>
    </row>
    <row r="154" spans="1:9">
      <c r="C154" s="2" t="s">
        <v>187</v>
      </c>
      <c r="D154" s="2" t="s">
        <v>517</v>
      </c>
      <c r="E154" s="1483">
        <v>62.645000000000003</v>
      </c>
      <c r="F154" s="2" t="s">
        <v>788</v>
      </c>
      <c r="G154" s="2">
        <f t="shared" si="4"/>
        <v>62.645000000000003</v>
      </c>
      <c r="H154" s="2">
        <f>IF(ISBLANK('FBPQ T4'!E146)," ",'FBPQ T4'!AE146)</f>
        <v>751</v>
      </c>
      <c r="I154" s="2">
        <f t="shared" si="5"/>
        <v>47046.395000000004</v>
      </c>
    </row>
    <row r="155" spans="1:9">
      <c r="E155" s="2" t="str">
        <f>IF(ISNUMBER('FBPQ C2'!J147),'FBPQ C2'!J147,IF(ISNUMBER('FBPQ C2'!I147),'FBPQ C2'!I147,""))</f>
        <v/>
      </c>
      <c r="G155" s="2">
        <f t="shared" si="4"/>
        <v>0</v>
      </c>
      <c r="H155" s="2" t="str">
        <f>IF(ISBLANK('FBPQ T4'!E147)," ",'FBPQ T4'!AE147)</f>
        <v xml:space="preserve"> </v>
      </c>
      <c r="I155" s="2" t="str">
        <f t="shared" si="5"/>
        <v xml:space="preserve"> </v>
      </c>
    </row>
    <row r="156" spans="1:9">
      <c r="E156" s="2" t="str">
        <f>IF(ISNUMBER('FBPQ C2'!J148),'FBPQ C2'!J148,IF(ISNUMBER('FBPQ C2'!I148),'FBPQ C2'!I148,""))</f>
        <v/>
      </c>
      <c r="G156" s="2">
        <f t="shared" si="4"/>
        <v>0</v>
      </c>
      <c r="H156" s="2" t="str">
        <f>IF(ISBLANK('FBPQ T4'!E148)," ",'FBPQ T4'!AE148)</f>
        <v xml:space="preserve"> </v>
      </c>
      <c r="I156" s="2" t="str">
        <f t="shared" si="5"/>
        <v xml:space="preserve"> </v>
      </c>
    </row>
    <row r="157" spans="1:9">
      <c r="A157" s="1" t="s">
        <v>518</v>
      </c>
      <c r="E157" s="2" t="str">
        <f>IF(ISNUMBER('FBPQ C2'!J149),'FBPQ C2'!J149,IF(ISNUMBER('FBPQ C2'!I149),'FBPQ C2'!I149,""))</f>
        <v/>
      </c>
      <c r="G157" s="2">
        <f t="shared" si="4"/>
        <v>0</v>
      </c>
      <c r="H157" s="2" t="str">
        <f>IF(ISBLANK('FBPQ T4'!E149)," ",'FBPQ T4'!AE149)</f>
        <v xml:space="preserve"> </v>
      </c>
      <c r="I157" s="2" t="str">
        <f t="shared" si="5"/>
        <v xml:space="preserve"> </v>
      </c>
    </row>
    <row r="158" spans="1:9">
      <c r="C158" s="2" t="s">
        <v>120</v>
      </c>
      <c r="E158" s="2" t="str">
        <f>IF(ISNUMBER('FBPQ C2'!J150),'FBPQ C2'!J150,IF(ISNUMBER('FBPQ C2'!I150),'FBPQ C2'!I150,""))</f>
        <v/>
      </c>
      <c r="G158" s="2">
        <f t="shared" si="4"/>
        <v>0</v>
      </c>
      <c r="H158" s="2" t="str">
        <f>IF(ISBLANK('FBPQ T4'!E150)," ",'FBPQ T4'!AE150)</f>
        <v xml:space="preserve"> </v>
      </c>
      <c r="I158" s="2" t="str">
        <f t="shared" si="5"/>
        <v xml:space="preserve"> </v>
      </c>
    </row>
    <row r="159" spans="1:9">
      <c r="C159" s="2" t="s">
        <v>519</v>
      </c>
      <c r="D159" s="2" t="s">
        <v>517</v>
      </c>
      <c r="E159" s="2">
        <f>IF(ISNUMBER('FBPQ C2'!J151),'FBPQ C2'!J151,IF(ISNUMBER('FBPQ C2'!I151),'FBPQ C2'!I151,""))</f>
        <v>29.271061451274075</v>
      </c>
      <c r="F159" s="2" t="s">
        <v>788</v>
      </c>
      <c r="G159" s="2">
        <f t="shared" si="4"/>
        <v>29.271061451274075</v>
      </c>
      <c r="H159" s="2" t="str">
        <f>IF(ISBLANK('FBPQ T4'!E151)," ",'FBPQ T4'!AE151)</f>
        <v xml:space="preserve"> </v>
      </c>
      <c r="I159" s="2" t="str">
        <f t="shared" si="5"/>
        <v xml:space="preserve"> </v>
      </c>
    </row>
    <row r="160" spans="1:9">
      <c r="C160" s="2" t="s">
        <v>520</v>
      </c>
      <c r="D160" s="2" t="s">
        <v>517</v>
      </c>
      <c r="E160" s="2">
        <f>IF(ISNUMBER('FBPQ C2'!J152),'FBPQ C2'!J152,IF(ISNUMBER('FBPQ C2'!I152),'FBPQ C2'!I152,""))</f>
        <v>7.4683366665802167</v>
      </c>
      <c r="F160" s="2" t="s">
        <v>788</v>
      </c>
      <c r="G160" s="2">
        <f t="shared" si="4"/>
        <v>7.4683366665802167</v>
      </c>
      <c r="H160" s="2" t="str">
        <f>IF(ISBLANK('FBPQ T4'!E152)," ",'FBPQ T4'!AE152)</f>
        <v xml:space="preserve"> </v>
      </c>
      <c r="I160" s="2" t="str">
        <f t="shared" si="5"/>
        <v xml:space="preserve"> </v>
      </c>
    </row>
    <row r="161" spans="3:9">
      <c r="C161" s="2" t="s">
        <v>129</v>
      </c>
      <c r="E161" s="2" t="str">
        <f>IF(ISNUMBER('FBPQ C2'!J153),'FBPQ C2'!J153,IF(ISNUMBER('FBPQ C2'!I153),'FBPQ C2'!I153,""))</f>
        <v/>
      </c>
      <c r="F161" s="2" t="s">
        <v>788</v>
      </c>
      <c r="G161" s="2" t="str">
        <f t="shared" si="4"/>
        <v>DATA</v>
      </c>
      <c r="H161" s="2" t="str">
        <f>IF(ISBLANK('FBPQ T4'!E153)," ",'FBPQ T4'!AE153)</f>
        <v xml:space="preserve"> </v>
      </c>
      <c r="I161" s="2" t="str">
        <f t="shared" si="5"/>
        <v xml:space="preserve"> </v>
      </c>
    </row>
    <row r="162" spans="3:9">
      <c r="C162" s="2" t="s">
        <v>519</v>
      </c>
      <c r="D162" s="2" t="s">
        <v>517</v>
      </c>
      <c r="E162" s="2">
        <f>IF(ISNUMBER('FBPQ C2'!J154),'FBPQ C2'!J154,IF(ISNUMBER('FBPQ C2'!I154),'FBPQ C2'!I154,""))</f>
        <v>0</v>
      </c>
      <c r="F162" s="2" t="s">
        <v>788</v>
      </c>
      <c r="G162" s="2">
        <f t="shared" si="4"/>
        <v>0</v>
      </c>
      <c r="H162" s="2" t="str">
        <f>IF(ISBLANK('FBPQ T4'!E154)," ",'FBPQ T4'!AE154)</f>
        <v xml:space="preserve"> </v>
      </c>
      <c r="I162" s="2" t="str">
        <f t="shared" si="5"/>
        <v xml:space="preserve"> </v>
      </c>
    </row>
    <row r="163" spans="3:9">
      <c r="C163" s="2" t="s">
        <v>520</v>
      </c>
      <c r="D163" s="2" t="s">
        <v>517</v>
      </c>
      <c r="E163" s="2">
        <f>IF(ISNUMBER('FBPQ C2'!J155),'FBPQ C2'!J155,IF(ISNUMBER('FBPQ C2'!I155),'FBPQ C2'!I155,""))</f>
        <v>0</v>
      </c>
      <c r="F163" s="2" t="s">
        <v>788</v>
      </c>
      <c r="G163" s="2">
        <f t="shared" si="4"/>
        <v>0</v>
      </c>
      <c r="H163" s="2" t="str">
        <f>IF(ISBLANK('FBPQ T4'!E155)," ",'FBPQ T4'!AE155)</f>
        <v xml:space="preserve"> </v>
      </c>
      <c r="I163" s="2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workbookViewId="0">
      <selection activeCell="C7" sqref="C7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Mid East in April 17  Status: Finals</v>
      </c>
    </row>
    <row r="2" spans="1:12">
      <c r="C2" s="17"/>
    </row>
    <row r="3" spans="1:12" ht="17.25">
      <c r="A3" s="45" t="s">
        <v>26</v>
      </c>
      <c r="B3" s="5"/>
      <c r="C3" s="17"/>
    </row>
    <row r="4" spans="1:12">
      <c r="A4" s="5"/>
      <c r="B4" s="5"/>
      <c r="C4" s="17"/>
    </row>
    <row r="5" spans="1:12">
      <c r="B5" s="14" t="s">
        <v>27</v>
      </c>
      <c r="C5" s="14" t="s">
        <v>28</v>
      </c>
      <c r="D5" s="14" t="s">
        <v>29</v>
      </c>
    </row>
    <row r="6" spans="1:12" ht="17.25" customHeight="1">
      <c r="A6" s="14" t="s">
        <v>26</v>
      </c>
      <c r="B6" s="37" t="s">
        <v>982</v>
      </c>
      <c r="C6" s="37" t="s">
        <v>1146</v>
      </c>
      <c r="D6" s="37" t="s">
        <v>983</v>
      </c>
    </row>
    <row r="7" spans="1:12">
      <c r="C7" s="17"/>
    </row>
    <row r="8" spans="1:12" ht="17.25">
      <c r="A8" s="45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5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sheetProtection sheet="1" objects="1" scenarios="1"/>
  <phoneticPr fontId="1" type="noConversion"/>
  <pageMargins left="0.75" right="0.75" top="1" bottom="1" header="0.5" footer="0.5"/>
  <pageSetup paperSize="9" scale="32" orientation="portrait" horizontalDpi="4294967292" verticalDpi="4294967292" r:id="rId1"/>
  <headerFooter>
    <oddHeader>&amp;A&amp;RPage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2</xdr:col>
                    <xdr:colOff>1343025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Mid East in April 17  Status: Finals</v>
      </c>
    </row>
    <row r="3" spans="1:8" ht="26.25" customHeight="1">
      <c r="F3" s="2" t="s">
        <v>789</v>
      </c>
    </row>
    <row r="4" spans="1:8" ht="27.75" customHeight="1">
      <c r="F4" s="2" t="s">
        <v>790</v>
      </c>
    </row>
    <row r="5" spans="1:8">
      <c r="G5" s="2" t="s">
        <v>203</v>
      </c>
      <c r="H5" s="2" t="s">
        <v>791</v>
      </c>
    </row>
    <row r="6" spans="1:8">
      <c r="F6" s="2" t="s">
        <v>222</v>
      </c>
      <c r="G6" s="2">
        <f>SUM('Data-MEAV'!I20:I39)</f>
        <v>8538239.7638876997</v>
      </c>
      <c r="H6" s="2">
        <f>G6/$G$11</f>
        <v>0.4682154974447662</v>
      </c>
    </row>
    <row r="7" spans="1:8">
      <c r="F7" s="2" t="s">
        <v>525</v>
      </c>
      <c r="G7" s="2">
        <f>SUM('Data-MEAV'!I62:I63)+SUM('Data-MEAV'!I69:I70)+SUM('Data-MEAV'!I75:I78)</f>
        <v>620092.25925782206</v>
      </c>
      <c r="H7" s="2">
        <f>G7/$G$11</f>
        <v>3.4004292882242937E-2</v>
      </c>
    </row>
    <row r="8" spans="1:8">
      <c r="F8" s="2" t="s">
        <v>223</v>
      </c>
      <c r="G8" s="2">
        <f>SUM('Data-MEAV'!I42:I56)+SUM('Data-MEAV'!I59:I61)+SUM('Data-MEAV'!I64:I68)+SUM('Data-MEAV'!I71:I72)+SUM('Data-MEAV'!I158:I163)+SUM('Data-MEAV'!I153:I154)</f>
        <v>2011521.902733949</v>
      </c>
      <c r="H8" s="2">
        <f>G8/$G$11</f>
        <v>0.11030677919037249</v>
      </c>
    </row>
    <row r="9" spans="1:8">
      <c r="F9" s="2" t="s">
        <v>402</v>
      </c>
      <c r="G9" s="2">
        <f>SUM('Data-MEAV'!I81:I120)+SUM('Data-MEAV'!I149:I150)</f>
        <v>1708721.0755270889</v>
      </c>
      <c r="H9" s="2">
        <f>G9/$G$11</f>
        <v>9.3701946829376326E-2</v>
      </c>
    </row>
    <row r="10" spans="1:8">
      <c r="F10" s="2" t="s">
        <v>481</v>
      </c>
      <c r="G10" s="2">
        <f>SUM('Data-MEAV'!I121:I146)</f>
        <v>5357130.1610329337</v>
      </c>
      <c r="H10" s="2">
        <f>G10/$G$11</f>
        <v>0.29377148365324196</v>
      </c>
    </row>
    <row r="11" spans="1:8">
      <c r="F11" s="2" t="s">
        <v>200</v>
      </c>
      <c r="G11" s="2">
        <f>SUM(G6:G10)</f>
        <v>18235705.162439495</v>
      </c>
      <c r="H11" s="2">
        <f>SUM(H6:H10)</f>
        <v>0.99999999999999978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Mid East in April 17  Status: Finals</v>
      </c>
    </row>
    <row r="3" spans="1:6">
      <c r="A3" s="2" t="s">
        <v>792</v>
      </c>
    </row>
    <row r="4" spans="1:6">
      <c r="B4" s="2" t="s">
        <v>793</v>
      </c>
    </row>
    <row r="5" spans="1:6">
      <c r="A5" s="2" t="s">
        <v>794</v>
      </c>
      <c r="B5" s="2">
        <f>'RRP 5.1'!G36</f>
        <v>19286</v>
      </c>
    </row>
    <row r="6" spans="1:6">
      <c r="A6" s="2" t="s">
        <v>795</v>
      </c>
      <c r="B6" s="2">
        <f>'RRP 5.1'!G35</f>
        <v>9669</v>
      </c>
    </row>
    <row r="7" spans="1:6">
      <c r="A7" s="2" t="s">
        <v>796</v>
      </c>
      <c r="B7" s="2">
        <f>'RRP 5.1'!G34</f>
        <v>710</v>
      </c>
    </row>
    <row r="8" spans="1:6">
      <c r="A8" s="2" t="s">
        <v>797</v>
      </c>
      <c r="B8" s="2">
        <f>'RRP 5.1'!G40</f>
        <v>1439</v>
      </c>
    </row>
    <row r="10" spans="1:6">
      <c r="A10" s="2" t="s">
        <v>798</v>
      </c>
    </row>
    <row r="11" spans="1:6">
      <c r="B11" s="2" t="s">
        <v>799</v>
      </c>
      <c r="C11" s="2" t="s">
        <v>222</v>
      </c>
      <c r="D11" s="2" t="s">
        <v>223</v>
      </c>
      <c r="E11" s="2" t="s">
        <v>402</v>
      </c>
      <c r="F11" s="2" t="s">
        <v>401</v>
      </c>
    </row>
    <row r="12" spans="1:6">
      <c r="A12" s="2" t="s">
        <v>794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795</v>
      </c>
      <c r="B13" s="2">
        <v>0</v>
      </c>
      <c r="C13" s="2">
        <v>0</v>
      </c>
      <c r="D13" s="2">
        <f>(1+$B$8/($B$5+$B$6/2+$B$7/4)/2)/(1+$B$8/($B$5+$B$6/2+$B$7/4))</f>
        <v>0.97204413878851448</v>
      </c>
      <c r="E13" s="2">
        <f>(1+$B$8/($B$5+$B$6/2+$B$7/4)/2)/(1+$B$8/($B$5+$B$6/2+$B$7/4))</f>
        <v>0.97204413878851448</v>
      </c>
      <c r="F13" s="2">
        <f>(1+$B$8/($B$5+$B$6/2+$B$7/4)/2)/(1+$B$8/($B$5+$B$6/2+$B$7/4))</f>
        <v>0.97204413878851448</v>
      </c>
    </row>
    <row r="14" spans="1:6">
      <c r="A14" s="2" t="s">
        <v>796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0.95806620818277188</v>
      </c>
      <c r="F14" s="2">
        <f>(1+$B$8/($B$5+$B$6/2+$B$7/4)/4)/(1+$B$8/($B$5+$B$6/2+$B$7/4))</f>
        <v>0.95806620818277188</v>
      </c>
    </row>
    <row r="21" spans="1:6">
      <c r="B21" s="2" t="s">
        <v>799</v>
      </c>
      <c r="C21" s="2" t="s">
        <v>222</v>
      </c>
      <c r="D21" s="2" t="s">
        <v>223</v>
      </c>
      <c r="E21" s="2" t="s">
        <v>402</v>
      </c>
      <c r="F21" s="2" t="s">
        <v>401</v>
      </c>
    </row>
    <row r="22" spans="1:6">
      <c r="A22" s="2" t="s">
        <v>800</v>
      </c>
      <c r="B22" s="2">
        <f>SUMPRODUCT(B$12:B$14,$B$5:$B$7)</f>
        <v>19286</v>
      </c>
      <c r="C22" s="2">
        <f>SUMPRODUCT(C$12:C$14,$B$5:$B$7)</f>
        <v>19286</v>
      </c>
      <c r="D22" s="2">
        <f>SUMPRODUCT(D$12:D$14,$B$5:$B$7)</f>
        <v>28684.694777946148</v>
      </c>
      <c r="E22" s="2">
        <f>SUMPRODUCT(E$12:E$14,$B$5:$B$7)</f>
        <v>29364.921785755916</v>
      </c>
      <c r="F22" s="2">
        <f>SUMPRODUCT(F$12:F$14,$B$5:$B$7)</f>
        <v>29364.921785755916</v>
      </c>
    </row>
    <row r="23" spans="1:6">
      <c r="A23" s="2" t="s">
        <v>801</v>
      </c>
      <c r="B23" s="2">
        <f>B22*1000000</f>
        <v>19286000000</v>
      </c>
      <c r="C23" s="2">
        <f>C22*1000000</f>
        <v>19286000000</v>
      </c>
      <c r="D23" s="2">
        <f>D22*1000000</f>
        <v>28684694777.946148</v>
      </c>
      <c r="E23" s="2">
        <f>E22*1000000</f>
        <v>29364921785.755917</v>
      </c>
      <c r="F23" s="2">
        <f>F22*1000000</f>
        <v>29364921785.755917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Mid East in April 17  Status: Finals</v>
      </c>
    </row>
    <row r="3" spans="1:16" ht="26.25" customHeight="1">
      <c r="A3" s="32" t="s">
        <v>802</v>
      </c>
      <c r="B3" s="33"/>
      <c r="C3" s="33"/>
      <c r="D3" s="34"/>
      <c r="F3" s="1811" t="s">
        <v>803</v>
      </c>
      <c r="G3" s="1812"/>
      <c r="H3" s="1816"/>
      <c r="J3" s="1811" t="s">
        <v>521</v>
      </c>
      <c r="K3" s="1812"/>
      <c r="L3" s="1816"/>
      <c r="N3" s="1818" t="s">
        <v>522</v>
      </c>
      <c r="O3" s="1819"/>
      <c r="P3" s="1820"/>
    </row>
    <row r="4" spans="1:16" ht="12.75" customHeight="1">
      <c r="A4" s="23"/>
      <c r="B4" s="21"/>
      <c r="C4" s="21" t="s">
        <v>804</v>
      </c>
      <c r="D4" s="22" t="s">
        <v>805</v>
      </c>
      <c r="F4" s="23"/>
      <c r="G4" s="21"/>
      <c r="H4" s="22"/>
      <c r="J4" s="1821" t="s">
        <v>523</v>
      </c>
      <c r="K4" s="1822"/>
      <c r="L4" s="1823"/>
      <c r="N4" s="1821" t="s">
        <v>524</v>
      </c>
      <c r="O4" s="1822"/>
      <c r="P4" s="1823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791</v>
      </c>
      <c r="J5" s="23" t="s">
        <v>402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222</v>
      </c>
      <c r="G6" s="21">
        <f>C39+F39+I39+C49+F49-O6</f>
        <v>128.03944818043911</v>
      </c>
      <c r="H6" s="22">
        <f>G6/SUM($G$6:$G$10)</f>
        <v>0.13596332621236557</v>
      </c>
      <c r="J6" s="24" t="s">
        <v>401</v>
      </c>
      <c r="K6" s="25"/>
      <c r="L6" s="26">
        <f>K$5*(F22/(F21+F22))</f>
        <v>0</v>
      </c>
      <c r="N6" s="23" t="s">
        <v>222</v>
      </c>
      <c r="O6" s="21">
        <f>'Reductions to net capex'!O6</f>
        <v>0</v>
      </c>
      <c r="P6" s="22"/>
    </row>
    <row r="7" spans="1:16">
      <c r="F7" s="23" t="s">
        <v>525</v>
      </c>
      <c r="G7" s="21">
        <f>C40+F40+I40+C50+F50-O7</f>
        <v>56.267333977708013</v>
      </c>
      <c r="H7" s="22">
        <f>G7/SUM($G$6:$G$10)</f>
        <v>5.9749506838939877E-2</v>
      </c>
      <c r="N7" s="23" t="s">
        <v>525</v>
      </c>
      <c r="O7" s="21">
        <f>'Reductions to net capex'!O7</f>
        <v>0</v>
      </c>
      <c r="P7" s="22"/>
    </row>
    <row r="8" spans="1:16">
      <c r="F8" s="23" t="s">
        <v>223</v>
      </c>
      <c r="G8" s="21">
        <f>C41+F41+I41+C51+F51-O8</f>
        <v>256.16762102693673</v>
      </c>
      <c r="H8" s="22">
        <f>G8/SUM($G$6:$G$10)</f>
        <v>0.27202086792538993</v>
      </c>
      <c r="N8" s="23" t="s">
        <v>223</v>
      </c>
      <c r="O8" s="21">
        <f>'Reductions to net capex'!O8</f>
        <v>0</v>
      </c>
      <c r="P8" s="22"/>
    </row>
    <row r="9" spans="1:16">
      <c r="F9" s="23" t="s">
        <v>402</v>
      </c>
      <c r="G9" s="21">
        <f>C42+F42+I42+C52+F52-L5-O9</f>
        <v>201.11315333604219</v>
      </c>
      <c r="H9" s="22">
        <f>G9/SUM($G$6:$G$10)</f>
        <v>0.21355928708854907</v>
      </c>
      <c r="N9" s="23" t="s">
        <v>402</v>
      </c>
      <c r="O9" s="21">
        <f>'Reductions to net capex'!O9</f>
        <v>0</v>
      </c>
      <c r="P9" s="22"/>
    </row>
    <row r="10" spans="1:16">
      <c r="F10" s="24" t="s">
        <v>481</v>
      </c>
      <c r="G10" s="25">
        <f>C43+F43+I43+C53+F53-L6-O10</f>
        <v>300.13291875211144</v>
      </c>
      <c r="H10" s="26">
        <f>G10/SUM($G$6:$G$10)</f>
        <v>0.31870701193475565</v>
      </c>
      <c r="N10" s="24" t="s">
        <v>481</v>
      </c>
      <c r="O10" s="25">
        <f>'Reductions to net capex'!O10</f>
        <v>0</v>
      </c>
      <c r="P10" s="26"/>
    </row>
    <row r="12" spans="1:16" ht="12" customHeight="1"/>
    <row r="13" spans="1:16">
      <c r="A13" s="1" t="s">
        <v>806</v>
      </c>
    </row>
    <row r="15" spans="1:16" ht="5.25" customHeight="1"/>
    <row r="16" spans="1:16" ht="26.25" customHeight="1">
      <c r="A16" s="30"/>
      <c r="B16" s="1811" t="s">
        <v>807</v>
      </c>
      <c r="C16" s="1816"/>
      <c r="D16" s="30"/>
      <c r="E16" s="1811" t="s">
        <v>808</v>
      </c>
      <c r="F16" s="1816"/>
      <c r="G16" s="30"/>
      <c r="H16" s="1811" t="s">
        <v>809</v>
      </c>
      <c r="I16" s="1816"/>
    </row>
    <row r="17" spans="1:9" ht="45.95" customHeight="1">
      <c r="A17" s="30"/>
      <c r="B17" s="1807" t="s">
        <v>810</v>
      </c>
      <c r="C17" s="1817"/>
      <c r="D17" s="30"/>
      <c r="E17" s="1807" t="s">
        <v>811</v>
      </c>
      <c r="F17" s="1817"/>
      <c r="G17" s="30"/>
      <c r="H17" s="1807" t="s">
        <v>812</v>
      </c>
      <c r="I17" s="1817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222</v>
      </c>
      <c r="C19" s="22">
        <f>IF(Inputs!$A$12=1,C87,IF(Inputs!$A$12=2,C66,#VALUE!))</f>
        <v>41.132566013145379</v>
      </c>
      <c r="E19" s="23" t="s">
        <v>222</v>
      </c>
      <c r="F19" s="22">
        <f>SUM('FBPQ LR4'!D11:M11)</f>
        <v>10.2948140695399</v>
      </c>
      <c r="H19" s="23" t="s">
        <v>222</v>
      </c>
      <c r="I19" s="22">
        <f>SUM('FBPQ LR6'!C28:L28)</f>
        <v>0</v>
      </c>
    </row>
    <row r="20" spans="1:9" ht="12" customHeight="1">
      <c r="B20" s="23" t="s">
        <v>223</v>
      </c>
      <c r="C20" s="22">
        <f>IF(Inputs!$A$12=1,C88,IF(Inputs!$A$12=2,C67,#VALUE!))</f>
        <v>100.38915569099296</v>
      </c>
      <c r="E20" s="23" t="s">
        <v>223</v>
      </c>
      <c r="F20" s="22">
        <f>SUM('FBPQ LR4'!D12:M12)</f>
        <v>41.569892705940312</v>
      </c>
      <c r="H20" s="23" t="s">
        <v>223</v>
      </c>
      <c r="I20" s="22">
        <f>SUM('FBPQ LR6'!C29:L29)</f>
        <v>2.04974931253745</v>
      </c>
    </row>
    <row r="21" spans="1:9">
      <c r="B21" s="23" t="s">
        <v>402</v>
      </c>
      <c r="C21" s="22">
        <f>IF(Inputs!$A$12=1,C89,IF(Inputs!$A$12=2,C68,#VALUE!))</f>
        <v>0.3967625126607135</v>
      </c>
      <c r="E21" s="23" t="s">
        <v>402</v>
      </c>
      <c r="F21" s="22">
        <f>SUM('FBPQ LR4'!D13:M13)</f>
        <v>95.089517911596914</v>
      </c>
      <c r="H21" s="23" t="s">
        <v>402</v>
      </c>
      <c r="I21" s="22">
        <f>SUM('FBPQ LR6'!C30:L30)</f>
        <v>10.928432918880622</v>
      </c>
    </row>
    <row r="22" spans="1:9">
      <c r="B22" s="24" t="s">
        <v>481</v>
      </c>
      <c r="C22" s="26">
        <f>IF(Inputs!$A$12=1,C90,IF(Inputs!$A$12=2,C69,#VALUE!))</f>
        <v>0</v>
      </c>
      <c r="E22" s="24" t="s">
        <v>481</v>
      </c>
      <c r="F22" s="26">
        <f>SUM('FBPQ LR4'!D14:M14)</f>
        <v>157.49344707378151</v>
      </c>
      <c r="H22" s="24" t="s">
        <v>481</v>
      </c>
      <c r="I22" s="26">
        <f>SUM('FBPQ LR6'!C31:L31)</f>
        <v>10.137299167357355</v>
      </c>
    </row>
    <row r="25" spans="1:9" s="30" customFormat="1" ht="36.950000000000003" customHeight="1">
      <c r="B25" s="1811" t="s">
        <v>813</v>
      </c>
      <c r="C25" s="1816"/>
      <c r="E25" s="1813" t="s">
        <v>814</v>
      </c>
      <c r="F25" s="1814"/>
    </row>
    <row r="26" spans="1:9" s="30" customFormat="1" ht="27.75" customHeight="1">
      <c r="B26" s="1807" t="s">
        <v>815</v>
      </c>
      <c r="C26" s="1817"/>
      <c r="E26" s="1809" t="s">
        <v>816</v>
      </c>
      <c r="F26" s="1810"/>
    </row>
    <row r="27" spans="1:9">
      <c r="B27" s="23"/>
      <c r="C27" s="22"/>
      <c r="E27" s="23"/>
      <c r="F27" s="22"/>
    </row>
    <row r="28" spans="1:9">
      <c r="B28" s="23" t="s">
        <v>222</v>
      </c>
      <c r="C28" s="22">
        <f>SUM('FBPQ NL1'!D10:M16)</f>
        <v>76.612068097753834</v>
      </c>
      <c r="E28" s="23" t="s">
        <v>222</v>
      </c>
      <c r="F28" s="22">
        <f>SUM('NL9 - Legal &amp; Safety'!D33:M33,'NL9 - Legal &amp; Safety'!D42:M42)</f>
        <v>0</v>
      </c>
    </row>
    <row r="29" spans="1:9">
      <c r="B29" s="23" t="s">
        <v>223</v>
      </c>
      <c r="C29" s="22">
        <f>SUM('FBPQ NL1'!D17:M22)</f>
        <v>168.42615729517399</v>
      </c>
      <c r="E29" s="23" t="s">
        <v>223</v>
      </c>
      <c r="F29" s="22">
        <f>SUM('NL9 - Legal &amp; Safety'!D34:M34,'NL9 - Legal &amp; Safety'!D43:M43)</f>
        <v>0</v>
      </c>
    </row>
    <row r="30" spans="1:9">
      <c r="B30" s="23" t="s">
        <v>402</v>
      </c>
      <c r="C30" s="22">
        <f>SUM('FBPQ NL1'!D23:M28)</f>
        <v>94.698439992903943</v>
      </c>
      <c r="E30" s="23" t="s">
        <v>402</v>
      </c>
      <c r="F30" s="22">
        <f>SUM('NL9 - Legal &amp; Safety'!D35:M35,'NL9 - Legal &amp; Safety'!D44:M44)</f>
        <v>0</v>
      </c>
    </row>
    <row r="31" spans="1:9">
      <c r="B31" s="24" t="s">
        <v>481</v>
      </c>
      <c r="C31" s="26">
        <f>SUM('FBPQ NL1'!D29:M34)</f>
        <v>132.50217251097257</v>
      </c>
      <c r="E31" s="24" t="s">
        <v>481</v>
      </c>
      <c r="F31" s="26">
        <f>SUM('NL9 - Legal &amp; Safety'!D36:M36,'NL9 - Legal &amp; Safety'!D45:M45)</f>
        <v>0</v>
      </c>
    </row>
    <row r="33" spans="1:10" s="1" customFormat="1">
      <c r="A33" s="1" t="s">
        <v>817</v>
      </c>
    </row>
    <row r="35" spans="1:10" ht="5.25" customHeight="1"/>
    <row r="36" spans="1:10" s="30" customFormat="1" ht="51" customHeight="1">
      <c r="B36" s="1811" t="s">
        <v>807</v>
      </c>
      <c r="C36" s="1812"/>
      <c r="D36" s="35"/>
      <c r="E36" s="1811" t="s">
        <v>808</v>
      </c>
      <c r="F36" s="1812"/>
      <c r="G36" s="35"/>
      <c r="H36" s="1811" t="s">
        <v>809</v>
      </c>
      <c r="I36" s="1812"/>
      <c r="J36" s="35"/>
    </row>
    <row r="37" spans="1:10" s="30" customFormat="1" ht="51" customHeight="1">
      <c r="B37" s="1807" t="s">
        <v>810</v>
      </c>
      <c r="C37" s="1808"/>
      <c r="D37" s="36"/>
      <c r="E37" s="1807" t="s">
        <v>811</v>
      </c>
      <c r="F37" s="1808"/>
      <c r="G37" s="36"/>
      <c r="H37" s="1807" t="s">
        <v>812</v>
      </c>
      <c r="I37" s="1808"/>
      <c r="J37" s="36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222</v>
      </c>
      <c r="C39" s="21">
        <f>IF(Inputs!$A$12=1,C96,IF(Inputs!$A$12=2,C75,#VALUE!))</f>
        <v>41.132566013145379</v>
      </c>
      <c r="D39" s="22"/>
      <c r="E39" s="23" t="s">
        <v>222</v>
      </c>
      <c r="F39" s="21">
        <f>SUM('FBPQ LR4'!D11:M11)</f>
        <v>10.2948140695399</v>
      </c>
      <c r="G39" s="22"/>
      <c r="H39" s="23" t="s">
        <v>222</v>
      </c>
      <c r="I39" s="21">
        <f>SUM('FBPQ LR6'!C28:L28)</f>
        <v>0</v>
      </c>
      <c r="J39" s="22"/>
    </row>
    <row r="40" spans="1:10">
      <c r="B40" s="23" t="s">
        <v>525</v>
      </c>
      <c r="C40" s="21">
        <f>IF(Inputs!$A$12=1,C97,IF(Inputs!$A$12=2,C76,#VALUE!))</f>
        <v>19.84513086747566</v>
      </c>
      <c r="D40" s="22" t="s">
        <v>818</v>
      </c>
      <c r="E40" s="23" t="s">
        <v>525</v>
      </c>
      <c r="F40" s="21">
        <f>SUM('FBPQ LR4'!D12:M12)*(C55)</f>
        <v>8.2176202720103539</v>
      </c>
      <c r="G40" s="22" t="s">
        <v>818</v>
      </c>
      <c r="H40" s="23" t="s">
        <v>525</v>
      </c>
      <c r="I40" s="21">
        <f>SUM('FBPQ LR6'!C29:L29)*(C55)</f>
        <v>0.40519858019359356</v>
      </c>
      <c r="J40" s="22" t="s">
        <v>818</v>
      </c>
    </row>
    <row r="41" spans="1:10">
      <c r="B41" s="23" t="s">
        <v>223</v>
      </c>
      <c r="C41" s="21">
        <f>IF(Inputs!$A$12=1,C98,IF(Inputs!$A$12=2,C77,#VALUE!))</f>
        <v>80.544024823517304</v>
      </c>
      <c r="D41" s="22"/>
      <c r="E41" s="23" t="s">
        <v>223</v>
      </c>
      <c r="F41" s="21">
        <f>SUM('FBPQ LR4'!D12:M12)*(1-C55)</f>
        <v>33.352272433929961</v>
      </c>
      <c r="G41" s="22"/>
      <c r="H41" s="23" t="s">
        <v>223</v>
      </c>
      <c r="I41" s="21">
        <f>SUM('FBPQ LR6'!C29:L29)*(1-C55)</f>
        <v>1.6445507323438564</v>
      </c>
      <c r="J41" s="22"/>
    </row>
    <row r="42" spans="1:10">
      <c r="B42" s="23" t="s">
        <v>402</v>
      </c>
      <c r="C42" s="21">
        <f>IF(Inputs!$A$12=1,C99,IF(Inputs!$A$12=2,C78,#VALUE!))</f>
        <v>0.3967625126607135</v>
      </c>
      <c r="D42" s="22"/>
      <c r="E42" s="23" t="s">
        <v>402</v>
      </c>
      <c r="F42" s="21">
        <f>SUM('FBPQ LR4'!D13:M13)</f>
        <v>95.089517911596914</v>
      </c>
      <c r="G42" s="22"/>
      <c r="H42" s="23" t="s">
        <v>402</v>
      </c>
      <c r="I42" s="21">
        <f>SUM('FBPQ LR6'!C30:L30)</f>
        <v>10.928432918880622</v>
      </c>
      <c r="J42" s="22"/>
    </row>
    <row r="43" spans="1:10">
      <c r="B43" s="24" t="s">
        <v>481</v>
      </c>
      <c r="C43" s="25">
        <f>IF(Inputs!$A$12=1,C100,IF(Inputs!$A$12=2,C79,#VALUE!))</f>
        <v>0</v>
      </c>
      <c r="D43" s="26"/>
      <c r="E43" s="24" t="s">
        <v>481</v>
      </c>
      <c r="F43" s="25">
        <f>SUM('FBPQ LR4'!D14:M14)</f>
        <v>157.49344707378151</v>
      </c>
      <c r="G43" s="26"/>
      <c r="H43" s="24" t="s">
        <v>481</v>
      </c>
      <c r="I43" s="25">
        <f>SUM('FBPQ LR6'!C31:L31)</f>
        <v>10.137299167357355</v>
      </c>
      <c r="J43" s="26"/>
    </row>
    <row r="46" spans="1:10" s="30" customFormat="1" ht="27.75" customHeight="1">
      <c r="B46" s="1811" t="s">
        <v>813</v>
      </c>
      <c r="C46" s="1812"/>
      <c r="D46" s="35"/>
      <c r="E46" s="1813" t="s">
        <v>814</v>
      </c>
      <c r="F46" s="1814"/>
      <c r="H46" s="1813" t="s">
        <v>814</v>
      </c>
      <c r="I46" s="1815"/>
      <c r="J46" s="35"/>
    </row>
    <row r="47" spans="1:10" s="30" customFormat="1" ht="27.75" customHeight="1">
      <c r="B47" s="1807" t="s">
        <v>815</v>
      </c>
      <c r="C47" s="1808"/>
      <c r="D47" s="36"/>
      <c r="E47" s="1809" t="s">
        <v>816</v>
      </c>
      <c r="F47" s="1810"/>
      <c r="H47" s="1807" t="s">
        <v>819</v>
      </c>
      <c r="I47" s="1808"/>
      <c r="J47" s="36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222</v>
      </c>
      <c r="C49" s="21">
        <f>SUM('FBPQ NL1'!D10:M16)</f>
        <v>76.612068097753834</v>
      </c>
      <c r="D49" s="22"/>
      <c r="E49" s="23" t="s">
        <v>222</v>
      </c>
      <c r="F49" s="22">
        <f>SUM('NL9 - Legal &amp; Safety'!D33:M33,'NL9 - Legal &amp; Safety'!D42:M42)</f>
        <v>0</v>
      </c>
      <c r="H49" s="23" t="s">
        <v>222</v>
      </c>
      <c r="I49" s="21">
        <f>F49+C49</f>
        <v>76.612068097753834</v>
      </c>
      <c r="J49" s="22">
        <f>I49/SUM($I$49:$I$53)</f>
        <v>0.16223161237427791</v>
      </c>
    </row>
    <row r="50" spans="2:10">
      <c r="B50" s="23" t="s">
        <v>525</v>
      </c>
      <c r="C50" s="21">
        <f>SUM('FBPQ NL1'!D21:M22)</f>
        <v>27.799384258028404</v>
      </c>
      <c r="D50" s="22" t="s">
        <v>820</v>
      </c>
      <c r="E50" s="23" t="s">
        <v>525</v>
      </c>
      <c r="F50" s="22">
        <f>SUM('NL9 - Legal &amp; Safety'!D34:M34,'NL9 - Legal &amp; Safety'!D43:M43)*C55</f>
        <v>0</v>
      </c>
      <c r="H50" s="23" t="s">
        <v>525</v>
      </c>
      <c r="I50" s="21">
        <f>F50+C50</f>
        <v>27.799384258028404</v>
      </c>
      <c r="J50" s="22">
        <f>I50/SUM($I$49:$I$53)</f>
        <v>5.8867213001450001E-2</v>
      </c>
    </row>
    <row r="51" spans="2:10">
      <c r="B51" s="23" t="s">
        <v>223</v>
      </c>
      <c r="C51" s="21">
        <f>SUM('FBPQ NL1'!D17:M20)</f>
        <v>140.62677303714563</v>
      </c>
      <c r="D51" s="22"/>
      <c r="E51" s="23" t="s">
        <v>223</v>
      </c>
      <c r="F51" s="22">
        <f>SUM('NL9 - Legal &amp; Safety'!D34:M34,'NL9 - Legal &amp; Safety'!D43:M43)*(1-C55)</f>
        <v>0</v>
      </c>
      <c r="H51" s="23" t="s">
        <v>223</v>
      </c>
      <c r="I51" s="21">
        <f>F51+C51</f>
        <v>140.62677303714563</v>
      </c>
      <c r="J51" s="22">
        <f>I51/SUM($I$49:$I$53)</f>
        <v>0.29778739432667328</v>
      </c>
    </row>
    <row r="52" spans="2:10">
      <c r="B52" s="23" t="s">
        <v>402</v>
      </c>
      <c r="C52" s="21">
        <f>SUM('FBPQ NL1'!D23:M28)</f>
        <v>94.698439992903943</v>
      </c>
      <c r="D52" s="22"/>
      <c r="E52" s="23" t="s">
        <v>402</v>
      </c>
      <c r="F52" s="22">
        <f>SUM('NL9 - Legal &amp; Safety'!D35:M35,'NL9 - Legal &amp; Safety'!D44:M44)</f>
        <v>0</v>
      </c>
      <c r="H52" s="23" t="s">
        <v>402</v>
      </c>
      <c r="I52" s="21">
        <f>F52+C52</f>
        <v>94.698439992903943</v>
      </c>
      <c r="J52" s="22">
        <f>I52/SUM($I$49:$I$53)</f>
        <v>0.20053081702186859</v>
      </c>
    </row>
    <row r="53" spans="2:10">
      <c r="B53" s="24" t="s">
        <v>481</v>
      </c>
      <c r="C53" s="25">
        <f>SUM('FBPQ NL1'!D29:M34)</f>
        <v>132.50217251097257</v>
      </c>
      <c r="D53" s="26"/>
      <c r="E53" s="24" t="s">
        <v>481</v>
      </c>
      <c r="F53" s="26">
        <f>SUM('NL9 - Legal &amp; Safety'!D36:M36,'NL9 - Legal &amp; Safety'!D45:M45)</f>
        <v>0</v>
      </c>
      <c r="H53" s="24" t="s">
        <v>481</v>
      </c>
      <c r="I53" s="25">
        <f>F53+C53</f>
        <v>132.50217251097257</v>
      </c>
      <c r="J53" s="26">
        <f>I53/SUM($I$49:$I$53)</f>
        <v>0.28058296327573018</v>
      </c>
    </row>
    <row r="55" spans="2:10">
      <c r="B55" s="19" t="s">
        <v>821</v>
      </c>
      <c r="C55" s="20">
        <f>C50/C51</f>
        <v>0.19768201785221498</v>
      </c>
    </row>
    <row r="59" spans="2:10" s="1" customFormat="1">
      <c r="B59" s="1" t="s">
        <v>976</v>
      </c>
    </row>
    <row r="61" spans="2:10">
      <c r="B61" s="2" t="s">
        <v>822</v>
      </c>
    </row>
    <row r="62" spans="2:10">
      <c r="B62" s="2" t="s">
        <v>823</v>
      </c>
    </row>
    <row r="63" spans="2:10">
      <c r="B63" s="2" t="s">
        <v>807</v>
      </c>
    </row>
    <row r="64" spans="2:10">
      <c r="B64" s="3" t="s">
        <v>824</v>
      </c>
    </row>
    <row r="66" spans="2:3">
      <c r="B66" s="2" t="s">
        <v>222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223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402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481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825</v>
      </c>
    </row>
    <row r="72" spans="2:3">
      <c r="B72" s="2" t="s">
        <v>807</v>
      </c>
    </row>
    <row r="73" spans="2:3">
      <c r="B73" s="3" t="s">
        <v>824</v>
      </c>
    </row>
    <row r="75" spans="2:3">
      <c r="B75" s="2" t="s">
        <v>222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525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223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402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481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826</v>
      </c>
    </row>
    <row r="83" spans="2:3">
      <c r="B83" s="2" t="s">
        <v>823</v>
      </c>
    </row>
    <row r="84" spans="2:3">
      <c r="B84" s="2" t="s">
        <v>807</v>
      </c>
    </row>
    <row r="85" spans="2:3">
      <c r="B85" s="3" t="s">
        <v>824</v>
      </c>
    </row>
    <row r="87" spans="2:3">
      <c r="B87" s="2" t="s">
        <v>222</v>
      </c>
      <c r="C87" s="3">
        <f>SUM('FBPQ LR1'!D82:M82)-SUM('FBPQ LR1'!D110:M110)</f>
        <v>41.132566013145379</v>
      </c>
    </row>
    <row r="88" spans="2:3">
      <c r="B88" s="2" t="s">
        <v>223</v>
      </c>
      <c r="C88" s="3">
        <f>(SUM('FBPQ LR1'!D86:M86)-SUM('FBPQ LR1'!D114:M114))</f>
        <v>100.38915569099296</v>
      </c>
    </row>
    <row r="89" spans="2:3">
      <c r="B89" s="2" t="s">
        <v>402</v>
      </c>
      <c r="C89" s="3">
        <f>(SUM('FBPQ LR1'!D90:M90)-SUM('FBPQ LR1'!D118:M118))</f>
        <v>0.3967625126607135</v>
      </c>
    </row>
    <row r="90" spans="2:3">
      <c r="B90" s="2" t="s">
        <v>481</v>
      </c>
      <c r="C90" s="3">
        <f>(SUM('FBPQ LR1'!D94:M94)-SUM('FBPQ LR1'!D122:M122))</f>
        <v>0</v>
      </c>
    </row>
    <row r="92" spans="2:3">
      <c r="B92" s="2" t="s">
        <v>825</v>
      </c>
    </row>
    <row r="93" spans="2:3">
      <c r="B93" s="2" t="s">
        <v>807</v>
      </c>
    </row>
    <row r="94" spans="2:3">
      <c r="B94" s="3" t="s">
        <v>824</v>
      </c>
    </row>
    <row r="96" spans="2:3">
      <c r="B96" s="2" t="s">
        <v>222</v>
      </c>
      <c r="C96" s="3">
        <f>SUM('FBPQ LR1'!D82:M82)-SUM('FBPQ LR1'!D110:M110)</f>
        <v>41.132566013145379</v>
      </c>
    </row>
    <row r="97" spans="2:3">
      <c r="B97" s="2" t="s">
        <v>525</v>
      </c>
      <c r="C97" s="3">
        <f>(SUM('FBPQ LR1'!D86:M86)-SUM('FBPQ LR1'!D114:M114))*C110</f>
        <v>19.84513086747566</v>
      </c>
    </row>
    <row r="98" spans="2:3">
      <c r="B98" s="2" t="s">
        <v>223</v>
      </c>
      <c r="C98" s="3">
        <f>(SUM('FBPQ LR1'!D86:M86)-SUM('FBPQ LR1'!D114:M114))*(1-C110)</f>
        <v>80.544024823517304</v>
      </c>
    </row>
    <row r="99" spans="2:3">
      <c r="B99" s="2" t="s">
        <v>402</v>
      </c>
      <c r="C99" s="3">
        <f>(SUM('FBPQ LR1'!D90:M90)-SUM('FBPQ LR1'!D118:M118))</f>
        <v>0.3967625126607135</v>
      </c>
    </row>
    <row r="100" spans="2:3">
      <c r="B100" s="2" t="s">
        <v>481</v>
      </c>
      <c r="C100" s="3">
        <f>(SUM('FBPQ LR1'!D94:M94)-SUM('FBPQ LR1'!D122:M122))</f>
        <v>0</v>
      </c>
    </row>
    <row r="110" spans="2:3">
      <c r="C110" s="2">
        <f>C50/C51</f>
        <v>0.19768201785221498</v>
      </c>
    </row>
  </sheetData>
  <sheetProtection sheet="1" objects="1" scenarios="1"/>
  <mergeCells count="27">
    <mergeCell ref="F3:H3"/>
    <mergeCell ref="J3:L3"/>
    <mergeCell ref="N3:P3"/>
    <mergeCell ref="J4:L4"/>
    <mergeCell ref="N4:P4"/>
    <mergeCell ref="B16:C16"/>
    <mergeCell ref="E16:F16"/>
    <mergeCell ref="H16:I16"/>
    <mergeCell ref="B17:C17"/>
    <mergeCell ref="E17:F17"/>
    <mergeCell ref="H17:I17"/>
    <mergeCell ref="B25:C25"/>
    <mergeCell ref="E25:F25"/>
    <mergeCell ref="B26:C26"/>
    <mergeCell ref="E26:F26"/>
    <mergeCell ref="B36:C36"/>
    <mergeCell ref="E36:F36"/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Mid East in April 17  Status: Finals</v>
      </c>
    </row>
    <row r="3" spans="1:53" ht="58.5" customHeight="1">
      <c r="D3" s="2" t="s">
        <v>827</v>
      </c>
      <c r="K3" s="2" t="s">
        <v>828</v>
      </c>
      <c r="S3" s="2" t="s">
        <v>829</v>
      </c>
      <c r="Z3" s="2" t="s">
        <v>830</v>
      </c>
      <c r="AG3" s="2" t="s">
        <v>831</v>
      </c>
      <c r="AL3" s="2" t="s">
        <v>832</v>
      </c>
    </row>
    <row r="4" spans="1:53" ht="28.5" customHeight="1">
      <c r="E4" s="2" t="s">
        <v>833</v>
      </c>
      <c r="K4" s="2" t="s">
        <v>834</v>
      </c>
      <c r="S4" s="2" t="s">
        <v>835</v>
      </c>
      <c r="Z4" s="2" t="s">
        <v>836</v>
      </c>
      <c r="AG4" s="2" t="s">
        <v>837</v>
      </c>
      <c r="AL4" s="2" t="s">
        <v>838</v>
      </c>
      <c r="AQ4" s="2" t="s">
        <v>839</v>
      </c>
      <c r="AX4" s="2" t="s">
        <v>840</v>
      </c>
    </row>
    <row r="5" spans="1:53" ht="67.5" customHeight="1">
      <c r="D5" s="2" t="s">
        <v>841</v>
      </c>
      <c r="E5" s="2" t="s">
        <v>842</v>
      </c>
      <c r="I5" s="2" t="s">
        <v>843</v>
      </c>
      <c r="K5" s="2" t="s">
        <v>844</v>
      </c>
      <c r="L5" s="2" t="s">
        <v>845</v>
      </c>
      <c r="AL5" s="2" t="s">
        <v>846</v>
      </c>
      <c r="AM5" s="2" t="s">
        <v>847</v>
      </c>
      <c r="AN5" s="2" t="s">
        <v>848</v>
      </c>
      <c r="AQ5" s="2" t="s">
        <v>402</v>
      </c>
      <c r="AR5" s="2" t="s">
        <v>223</v>
      </c>
      <c r="AS5" s="2" t="s">
        <v>38</v>
      </c>
      <c r="AT5" s="2" t="s">
        <v>441</v>
      </c>
      <c r="AU5" s="2" t="s">
        <v>849</v>
      </c>
      <c r="AX5" s="2" t="s">
        <v>402</v>
      </c>
      <c r="AY5" s="2" t="s">
        <v>223</v>
      </c>
      <c r="AZ5" s="2" t="s">
        <v>38</v>
      </c>
      <c r="BA5" s="2" t="s">
        <v>222</v>
      </c>
    </row>
    <row r="6" spans="1:53">
      <c r="E6" s="2" t="s">
        <v>402</v>
      </c>
      <c r="F6" s="2" t="s">
        <v>223</v>
      </c>
      <c r="G6" s="2" t="s">
        <v>38</v>
      </c>
      <c r="H6" s="2" t="s">
        <v>222</v>
      </c>
      <c r="L6" s="2" t="s">
        <v>402</v>
      </c>
      <c r="M6" s="2" t="s">
        <v>223</v>
      </c>
      <c r="N6" s="2" t="s">
        <v>38</v>
      </c>
      <c r="O6" s="2" t="s">
        <v>441</v>
      </c>
      <c r="P6" s="2" t="s">
        <v>849</v>
      </c>
      <c r="S6" s="2" t="s">
        <v>402</v>
      </c>
      <c r="T6" s="2" t="s">
        <v>223</v>
      </c>
      <c r="U6" s="2" t="s">
        <v>38</v>
      </c>
      <c r="V6" s="2" t="s">
        <v>441</v>
      </c>
      <c r="W6" s="2" t="s">
        <v>849</v>
      </c>
      <c r="Z6" s="2" t="s">
        <v>402</v>
      </c>
      <c r="AA6" s="2" t="s">
        <v>223</v>
      </c>
      <c r="AB6" s="2" t="s">
        <v>38</v>
      </c>
      <c r="AC6" s="2" t="s">
        <v>441</v>
      </c>
      <c r="AD6" s="2" t="s">
        <v>849</v>
      </c>
      <c r="AG6" s="2" t="s">
        <v>402</v>
      </c>
      <c r="AH6" s="2" t="s">
        <v>223</v>
      </c>
      <c r="AI6" s="2" t="s">
        <v>38</v>
      </c>
      <c r="AJ6" s="2" t="s">
        <v>441</v>
      </c>
    </row>
    <row r="7" spans="1:53" ht="12.75" customHeight="1">
      <c r="A7" s="2" t="s">
        <v>528</v>
      </c>
      <c r="B7" s="2" t="s">
        <v>850</v>
      </c>
      <c r="C7" s="2" t="s">
        <v>545</v>
      </c>
      <c r="D7" s="2">
        <f>'RRP 1.3'!D$12</f>
        <v>46.459524808852009</v>
      </c>
      <c r="E7" s="2">
        <f>MAX(0,'Calc-Net capex'!C21+'Calc-Net capex'!C22)/10+'RRP 2.4'!L18+'RRP 2.4'!L19</f>
        <v>30.325409744328141</v>
      </c>
      <c r="F7" s="2">
        <f>MAX(0,'Calc-Net capex'!C20)/10+'RRP 2.4'!L17</f>
        <v>14.738915569099298</v>
      </c>
      <c r="H7" s="2">
        <f>MAX(0,'Calc-Net capex'!C19)/10+'RRP 2.4'!L16</f>
        <v>5.4132566013145373</v>
      </c>
      <c r="I7" s="2">
        <v>0</v>
      </c>
      <c r="K7" s="2" t="s">
        <v>851</v>
      </c>
      <c r="L7" s="2">
        <f>IF(ISERROR(VLOOKUP($K7,'Calc-Drivers'!$B$17:$G$27,L$43,FALSE))," ",VLOOKUP($K7,'Calc-Drivers'!$B$17:$G$27,L$43,FALSE))</f>
        <v>0.38747343048261829</v>
      </c>
      <c r="M7" s="2">
        <f>IF(ISERROR(VLOOKUP($K7,'Calc-Drivers'!$B$17:$G$27,M$43,FALSE))," ",VLOOKUP($K7,'Calc-Drivers'!$B$17:$G$27,M$43,FALSE))</f>
        <v>0.11030677919037249</v>
      </c>
      <c r="N7" s="2">
        <f>IF(ISERROR(VLOOKUP($K7,'Calc-Drivers'!$B$17:$G$27,N$43,FALSE))," ",VLOOKUP($K7,'Calc-Drivers'!$B$17:$G$27,N$43,FALSE))</f>
        <v>3.4004292882242937E-2</v>
      </c>
      <c r="O7" s="2">
        <f>IF(ISERROR(VLOOKUP($K7,'Calc-Drivers'!$B$17:$G$27,O$43,FALSE))," ",VLOOKUP($K7,'Calc-Drivers'!$B$17:$G$27,O$43,FALSE))</f>
        <v>0.2454115097251649</v>
      </c>
      <c r="P7" s="2">
        <f>IF(ISERROR(VLOOKUP($K7,'Calc-Drivers'!$B$17:$G$27,P$43,FALSE))," ",VLOOKUP($K7,'Calc-Drivers'!$B$17:$G$27,P$43,FALSE))</f>
        <v>0.22280398771960128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30.325409744328141</v>
      </c>
      <c r="AA7" s="2">
        <f t="shared" si="1"/>
        <v>14.738915569099298</v>
      </c>
      <c r="AB7" s="2">
        <f t="shared" si="1"/>
        <v>0</v>
      </c>
      <c r="AC7" s="2">
        <f t="shared" ref="AC7:AD39" si="2">IF($K7="Do not allocate"," ",($H7*O7/($O7+$P7)+V7))</f>
        <v>2.8373163261539234</v>
      </c>
      <c r="AD7" s="2">
        <f t="shared" si="2"/>
        <v>2.5759402751606135</v>
      </c>
      <c r="AG7" s="2">
        <f>IF(ISERROR(Z7*100000000/'Calc-Units'!$E$23)," ",Z7*100000000/'Calc-Units'!$E$23)</f>
        <v>0.10327086843813127</v>
      </c>
      <c r="AH7" s="2">
        <f>IF(ISERROR(AA7*100000000/'Calc-Units'!$D$23)," ",AA7*100000000/'Calc-Units'!$D$23)</f>
        <v>5.1382507930435153E-2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1.4711792627574008E-2</v>
      </c>
      <c r="AL7" s="2">
        <v>1</v>
      </c>
      <c r="AM7" s="2">
        <f t="shared" ref="AM7:AM39" si="3">AL7*D7</f>
        <v>46.459524808852009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546</v>
      </c>
      <c r="D8" s="2">
        <f>'RRP 1.3'!E$12</f>
        <v>62.531667485618783</v>
      </c>
      <c r="E8" s="2">
        <f>SUM('RRP 2.4'!G44:G55)+'RRP 2.4'!G71+'RRP 2.4'!H71</f>
        <v>16.692705678966107</v>
      </c>
      <c r="F8" s="2">
        <f>SUM('RRP 2.4'!G38:G40)+'RRP 2.4'!F71</f>
        <v>16.974055325584295</v>
      </c>
      <c r="G8" s="2">
        <f>'RRP 2.4'!G41+'RRP 2.4'!G42+'RRP 2.4'!G43</f>
        <v>10.149980671044496</v>
      </c>
      <c r="H8" s="2">
        <f>SUM('RRP 2.4'!G31:G37)+'RRP 2.4'!E71</f>
        <v>14.450237342257196</v>
      </c>
      <c r="I8" s="2">
        <f t="shared" ref="I8:I40" si="5">D8-E8-F8-G8-H8</f>
        <v>4.264688467766689</v>
      </c>
      <c r="K8" s="2" t="s">
        <v>851</v>
      </c>
      <c r="L8" s="2">
        <f>IF(ISERROR(VLOOKUP($K8,'Calc-Drivers'!$B$17:$G$27,L$43,FALSE))," ",VLOOKUP($K8,'Calc-Drivers'!$B$17:$G$27,L$43,FALSE))</f>
        <v>0.38747343048261829</v>
      </c>
      <c r="M8" s="2">
        <f>IF(ISERROR(VLOOKUP($K8,'Calc-Drivers'!$B$17:$G$27,M$43,FALSE))," ",VLOOKUP($K8,'Calc-Drivers'!$B$17:$G$27,M$43,FALSE))</f>
        <v>0.11030677919037249</v>
      </c>
      <c r="N8" s="2">
        <f>IF(ISERROR(VLOOKUP($K8,'Calc-Drivers'!$B$17:$G$27,N$43,FALSE))," ",VLOOKUP($K8,'Calc-Drivers'!$B$17:$G$27,N$43,FALSE))</f>
        <v>3.4004292882242937E-2</v>
      </c>
      <c r="O8" s="2">
        <f>IF(ISERROR(VLOOKUP($K8,'Calc-Drivers'!$B$17:$G$27,O$43,FALSE))," ",VLOOKUP($K8,'Calc-Drivers'!$B$17:$G$27,O$43,FALSE))</f>
        <v>0.2454115097251649</v>
      </c>
      <c r="P8" s="2">
        <f>IF(ISERROR(VLOOKUP($K8,'Calc-Drivers'!$B$17:$G$27,P$43,FALSE))," ",VLOOKUP($K8,'Calc-Drivers'!$B$17:$G$27,P$43,FALSE))</f>
        <v>0.22280398771960128</v>
      </c>
      <c r="S8" s="2">
        <f t="shared" si="0"/>
        <v>1.6524534705452201</v>
      </c>
      <c r="T8" s="2">
        <f t="shared" si="0"/>
        <v>0.47042404912966812</v>
      </c>
      <c r="U8" s="2">
        <f t="shared" si="0"/>
        <v>0.14501771570946237</v>
      </c>
      <c r="V8" s="2">
        <f t="shared" si="0"/>
        <v>1.0466036353821233</v>
      </c>
      <c r="W8" s="2">
        <f t="shared" si="0"/>
        <v>0.95018959700021455</v>
      </c>
      <c r="Z8" s="2">
        <f t="shared" si="1"/>
        <v>18.345159149511325</v>
      </c>
      <c r="AA8" s="2">
        <f t="shared" si="1"/>
        <v>17.444479374713964</v>
      </c>
      <c r="AB8" s="2">
        <f t="shared" si="1"/>
        <v>10.294998386753958</v>
      </c>
      <c r="AC8" s="2">
        <f t="shared" si="2"/>
        <v>8.6205830986924603</v>
      </c>
      <c r="AD8" s="2">
        <f t="shared" si="2"/>
        <v>7.8264474759470728</v>
      </c>
      <c r="AG8" s="2">
        <f>IF(ISERROR(Z8*100000000/'Calc-Units'!$E$23)," ",Z8*100000000/'Calc-Units'!$E$23)</f>
        <v>6.2473039374516696E-2</v>
      </c>
      <c r="AH8" s="2">
        <f>IF(ISERROR(AA8*100000000/'Calc-Units'!$D$23)," ",AA8*100000000/'Calc-Units'!$D$23)</f>
        <v>6.0814589486676091E-2</v>
      </c>
      <c r="AI8" s="2">
        <f>IF(ISERROR(AB8*100000000/'Calc-Units'!$C$23)," ",AB8*100000000/'Calc-Units'!$C$23)</f>
        <v>5.3380682291579169E-2</v>
      </c>
      <c r="AJ8" s="2">
        <f>IF(ISERROR(AC8*100000000/'Calc-Units'!$C$23)," ",AC8*100000000/'Calc-Units'!$C$23)</f>
        <v>4.4698657568663591E-2</v>
      </c>
      <c r="AL8" s="2">
        <v>1</v>
      </c>
      <c r="AM8" s="2">
        <f t="shared" si="3"/>
        <v>62.531667485618783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547</v>
      </c>
      <c r="D9" s="2">
        <f>'RRP 1.3'!F$12</f>
        <v>2.3969412916799993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2.3969412916799993</v>
      </c>
      <c r="K9" s="2" t="s">
        <v>851</v>
      </c>
      <c r="L9" s="2">
        <f>IF(ISERROR(VLOOKUP($K9,'Calc-Drivers'!$B$17:$G$27,L$43,FALSE))," ",VLOOKUP($K9,'Calc-Drivers'!$B$17:$G$27,L$43,FALSE))</f>
        <v>0.38747343048261829</v>
      </c>
      <c r="M9" s="2">
        <f>IF(ISERROR(VLOOKUP($K9,'Calc-Drivers'!$B$17:$G$27,M$43,FALSE))," ",VLOOKUP($K9,'Calc-Drivers'!$B$17:$G$27,M$43,FALSE))</f>
        <v>0.11030677919037249</v>
      </c>
      <c r="N9" s="2">
        <f>IF(ISERROR(VLOOKUP($K9,'Calc-Drivers'!$B$17:$G$27,N$43,FALSE))," ",VLOOKUP($K9,'Calc-Drivers'!$B$17:$G$27,N$43,FALSE))</f>
        <v>3.4004292882242937E-2</v>
      </c>
      <c r="O9" s="2">
        <f>IF(ISERROR(VLOOKUP($K9,'Calc-Drivers'!$B$17:$G$27,O$43,FALSE))," ",VLOOKUP($K9,'Calc-Drivers'!$B$17:$G$27,O$43,FALSE))</f>
        <v>0.2454115097251649</v>
      </c>
      <c r="P9" s="2">
        <f>IF(ISERROR(VLOOKUP($K9,'Calc-Drivers'!$B$17:$G$27,P$43,FALSE))," ",VLOOKUP($K9,'Calc-Drivers'!$B$17:$G$27,P$43,FALSE))</f>
        <v>0.22280398771960128</v>
      </c>
      <c r="S9" s="2">
        <f t="shared" si="0"/>
        <v>0.92875106495268744</v>
      </c>
      <c r="T9" s="2">
        <f t="shared" si="0"/>
        <v>0.26439887379363192</v>
      </c>
      <c r="U9" s="2">
        <f t="shared" si="0"/>
        <v>8.1506293703828392E-2</v>
      </c>
      <c r="V9" s="2">
        <f t="shared" si="0"/>
        <v>0.58823698111377543</v>
      </c>
      <c r="W9" s="2">
        <f t="shared" si="0"/>
        <v>0.5340480781160758</v>
      </c>
      <c r="Z9" s="2">
        <f t="shared" si="1"/>
        <v>0.92875106495268744</v>
      </c>
      <c r="AA9" s="2">
        <f t="shared" si="1"/>
        <v>0.26439887379363192</v>
      </c>
      <c r="AB9" s="2">
        <f t="shared" si="1"/>
        <v>8.1506293703828392E-2</v>
      </c>
      <c r="AC9" s="2">
        <f t="shared" si="2"/>
        <v>0.58823698111377543</v>
      </c>
      <c r="AD9" s="2">
        <f t="shared" si="2"/>
        <v>0.5340480781160758</v>
      </c>
      <c r="AG9" s="2">
        <f>IF(ISERROR(Z9*100000000/'Calc-Units'!$E$23)," ",Z9*100000000/'Calc-Units'!$E$23)</f>
        <v>3.1627908690810749E-3</v>
      </c>
      <c r="AH9" s="2">
        <f>IF(ISERROR(AA9*100000000/'Calc-Units'!$D$23)," ",AA9*100000000/'Calc-Units'!$D$23)</f>
        <v>9.2174198066388875E-4</v>
      </c>
      <c r="AI9" s="2">
        <f>IF(ISERROR(AB9*100000000/'Calc-Units'!$C$23)," ",AB9*100000000/'Calc-Units'!$C$23)</f>
        <v>4.2261896559073105E-4</v>
      </c>
      <c r="AJ9" s="2">
        <f>IF(ISERROR(AC9*100000000/'Calc-Units'!$C$23)," ",AC9*100000000/'Calc-Units'!$C$23)</f>
        <v>3.0500724935900417E-3</v>
      </c>
      <c r="AL9" s="2">
        <v>0.23499999999999999</v>
      </c>
      <c r="AM9" s="2">
        <f t="shared" si="3"/>
        <v>0.56328120354479982</v>
      </c>
      <c r="AN9" s="2">
        <f t="shared" si="4"/>
        <v>1.8336600881351994</v>
      </c>
      <c r="AQ9" s="2">
        <f t="shared" si="6"/>
        <v>0.7104945646888059</v>
      </c>
      <c r="AR9" s="2">
        <f t="shared" si="6"/>
        <v>0.20226513845212843</v>
      </c>
      <c r="AS9" s="2">
        <f t="shared" si="6"/>
        <v>6.2352314683428722E-2</v>
      </c>
      <c r="AT9" s="2">
        <f t="shared" si="6"/>
        <v>0.45000129055203819</v>
      </c>
      <c r="AU9" s="2">
        <f t="shared" si="6"/>
        <v>0.408546779758798</v>
      </c>
      <c r="AX9" s="2">
        <f>IF(ISERROR(AQ9*100000000/'Calc-Units'!$E$23)," ",AQ9*100000000/'Calc-Units'!$E$23)</f>
        <v>2.4195350148470225E-3</v>
      </c>
      <c r="AY9" s="2">
        <f>IF(ISERROR(AR9*100000000/'Calc-Units'!$D$23)," ",AR9*100000000/'Calc-Units'!$D$23)</f>
        <v>7.0513261520787501E-4</v>
      </c>
      <c r="AZ9" s="2">
        <f>IF(ISERROR(AS9*100000000/'Calc-Units'!$C$23)," ",AS9*100000000/'Calc-Units'!$C$23)</f>
        <v>3.2330350867690929E-4</v>
      </c>
      <c r="BA9" s="2">
        <f>IF(ISERROR(AT9*100000000/'Calc-Units'!$C$23)," ",AT9*100000000/'Calc-Units'!$C$23)</f>
        <v>2.3333054575963817E-3</v>
      </c>
    </row>
    <row r="10" spans="1:53">
      <c r="C10" s="2" t="s">
        <v>548</v>
      </c>
      <c r="D10" s="2">
        <f>'RRP 1.3'!G$12</f>
        <v>26.514424209436648</v>
      </c>
      <c r="E10" s="2">
        <f>SUM('RRP 2.3'!I20:I27)</f>
        <v>1.5815681672983535</v>
      </c>
      <c r="F10" s="2">
        <f>SUM('RRP 2.3'!I17:I18)</f>
        <v>6.2658253461024884</v>
      </c>
      <c r="G10" s="2">
        <f>SUM('RRP 2.3'!I19)</f>
        <v>0.55050054364771606</v>
      </c>
      <c r="H10" s="2">
        <f>SUM('RRP 2.3'!I11:I16)</f>
        <v>15.945861262597509</v>
      </c>
      <c r="I10" s="2">
        <f t="shared" si="5"/>
        <v>2.1706688897905817</v>
      </c>
      <c r="K10" s="2" t="s">
        <v>851</v>
      </c>
      <c r="L10" s="2">
        <f>IF(ISERROR(VLOOKUP($K10,'Calc-Drivers'!$B$17:$G$27,L$43,FALSE))," ",VLOOKUP($K10,'Calc-Drivers'!$B$17:$G$27,L$43,FALSE))</f>
        <v>0.38747343048261829</v>
      </c>
      <c r="M10" s="2">
        <f>IF(ISERROR(VLOOKUP($K10,'Calc-Drivers'!$B$17:$G$27,M$43,FALSE))," ",VLOOKUP($K10,'Calc-Drivers'!$B$17:$G$27,M$43,FALSE))</f>
        <v>0.11030677919037249</v>
      </c>
      <c r="N10" s="2">
        <f>IF(ISERROR(VLOOKUP($K10,'Calc-Drivers'!$B$17:$G$27,N$43,FALSE))," ",VLOOKUP($K10,'Calc-Drivers'!$B$17:$G$27,N$43,FALSE))</f>
        <v>3.4004292882242937E-2</v>
      </c>
      <c r="O10" s="2">
        <f>IF(ISERROR(VLOOKUP($K10,'Calc-Drivers'!$B$17:$G$27,O$43,FALSE))," ",VLOOKUP($K10,'Calc-Drivers'!$B$17:$G$27,O$43,FALSE))</f>
        <v>0.2454115097251649</v>
      </c>
      <c r="P10" s="2">
        <f>IF(ISERROR(VLOOKUP($K10,'Calc-Drivers'!$B$17:$G$27,P$43,FALSE))," ",VLOOKUP($K10,'Calc-Drivers'!$B$17:$G$27,P$43,FALSE))</f>
        <v>0.22280398771960128</v>
      </c>
      <c r="S10" s="2">
        <f t="shared" si="0"/>
        <v>0.84107652116905318</v>
      </c>
      <c r="T10" s="2">
        <f t="shared" si="0"/>
        <v>0.23943949392154068</v>
      </c>
      <c r="U10" s="2">
        <f t="shared" si="0"/>
        <v>7.3812060678812061E-2</v>
      </c>
      <c r="V10" s="2">
        <f t="shared" si="0"/>
        <v>0.53270712935695419</v>
      </c>
      <c r="W10" s="2">
        <f t="shared" si="0"/>
        <v>0.4836336846642213</v>
      </c>
      <c r="Z10" s="2">
        <f t="shared" si="1"/>
        <v>2.4226446884674067</v>
      </c>
      <c r="AA10" s="2">
        <f t="shared" si="1"/>
        <v>6.5052648400240294</v>
      </c>
      <c r="AB10" s="2">
        <f t="shared" si="1"/>
        <v>0.62431260432652813</v>
      </c>
      <c r="AC10" s="2">
        <f t="shared" si="2"/>
        <v>8.8906062328220568</v>
      </c>
      <c r="AD10" s="2">
        <f t="shared" si="2"/>
        <v>8.0715958437966258</v>
      </c>
      <c r="AG10" s="2">
        <f>IF(ISERROR(Z10*100000000/'Calc-Units'!$E$23)," ",Z10*100000000/'Calc-Units'!$E$23)</f>
        <v>8.2501315894618257E-3</v>
      </c>
      <c r="AH10" s="2">
        <f>IF(ISERROR(AA10*100000000/'Calc-Units'!$D$23)," ",AA10*100000000/'Calc-Units'!$D$23)</f>
        <v>2.267852208427721E-2</v>
      </c>
      <c r="AI10" s="2">
        <f>IF(ISERROR(AB10*100000000/'Calc-Units'!$C$23)," ",AB10*100000000/'Calc-Units'!$C$23)</f>
        <v>3.2371285094188952E-3</v>
      </c>
      <c r="AJ10" s="2">
        <f>IF(ISERROR(AC10*100000000/'Calc-Units'!$C$23)," ",AC10*100000000/'Calc-Units'!$C$23)</f>
        <v>4.6098756781199089E-2</v>
      </c>
      <c r="AL10" s="2">
        <v>0.23499999999999999</v>
      </c>
      <c r="AM10" s="2">
        <f t="shared" si="3"/>
        <v>6.2308896892176122</v>
      </c>
      <c r="AN10" s="2">
        <f t="shared" si="4"/>
        <v>20.283534520219035</v>
      </c>
      <c r="AQ10" s="2">
        <f t="shared" si="6"/>
        <v>1.8533231866775661</v>
      </c>
      <c r="AR10" s="2">
        <f t="shared" si="6"/>
        <v>4.9765276026183827</v>
      </c>
      <c r="AS10" s="2">
        <f t="shared" si="6"/>
        <v>0.47759914230979406</v>
      </c>
      <c r="AT10" s="2">
        <f t="shared" si="6"/>
        <v>6.8013137681088738</v>
      </c>
      <c r="AU10" s="2">
        <f t="shared" si="6"/>
        <v>6.1747708205044187</v>
      </c>
      <c r="AX10" s="2">
        <f>IF(ISERROR(AQ10*100000000/'Calc-Units'!$E$23)," ",AQ10*100000000/'Calc-Units'!$E$23)</f>
        <v>6.311350665938297E-3</v>
      </c>
      <c r="AY10" s="2">
        <f>IF(ISERROR(AR10*100000000/'Calc-Units'!$D$23)," ",AR10*100000000/'Calc-Units'!$D$23)</f>
        <v>1.7349069394472068E-2</v>
      </c>
      <c r="AZ10" s="2">
        <f>IF(ISERROR(AS10*100000000/'Calc-Units'!$C$23)," ",AS10*100000000/'Calc-Units'!$C$23)</f>
        <v>2.4764033097054551E-3</v>
      </c>
      <c r="BA10" s="2">
        <f>IF(ISERROR(AT10*100000000/'Calc-Units'!$C$23)," ",AT10*100000000/'Calc-Units'!$C$23)</f>
        <v>3.5265548937617304E-2</v>
      </c>
    </row>
    <row r="11" spans="1:53">
      <c r="C11" s="2" t="s">
        <v>549</v>
      </c>
      <c r="D11" s="2">
        <f>'RRP 1.3'!H$12</f>
        <v>11.606716180984</v>
      </c>
      <c r="E11" s="2">
        <f>SUM('RRP 2.3'!G20:G27)</f>
        <v>4.3025137775305708</v>
      </c>
      <c r="F11" s="2">
        <f>SUM('RRP 2.3'!G17:G18)</f>
        <v>0.50908962554451409</v>
      </c>
      <c r="G11" s="2">
        <f>SUM('RRP 2.3'!G19)</f>
        <v>4.2769388247393829</v>
      </c>
      <c r="H11" s="2">
        <f>SUM('RRP 2.3'!G11:G16)</f>
        <v>1.219180953169533</v>
      </c>
      <c r="I11" s="2">
        <f t="shared" si="5"/>
        <v>1.2989929999999987</v>
      </c>
      <c r="K11" s="2" t="s">
        <v>851</v>
      </c>
      <c r="L11" s="2">
        <f>IF(ISERROR(VLOOKUP($K11,'Calc-Drivers'!$B$17:$G$27,L$43,FALSE))," ",VLOOKUP($K11,'Calc-Drivers'!$B$17:$G$27,L$43,FALSE))</f>
        <v>0.38747343048261829</v>
      </c>
      <c r="M11" s="2">
        <f>IF(ISERROR(VLOOKUP($K11,'Calc-Drivers'!$B$17:$G$27,M$43,FALSE))," ",VLOOKUP($K11,'Calc-Drivers'!$B$17:$G$27,M$43,FALSE))</f>
        <v>0.11030677919037249</v>
      </c>
      <c r="N11" s="2">
        <f>IF(ISERROR(VLOOKUP($K11,'Calc-Drivers'!$B$17:$G$27,N$43,FALSE))," ",VLOOKUP($K11,'Calc-Drivers'!$B$17:$G$27,N$43,FALSE))</f>
        <v>3.4004292882242937E-2</v>
      </c>
      <c r="O11" s="2">
        <f>IF(ISERROR(VLOOKUP($K11,'Calc-Drivers'!$B$17:$G$27,O$43,FALSE))," ",VLOOKUP($K11,'Calc-Drivers'!$B$17:$G$27,O$43,FALSE))</f>
        <v>0.2454115097251649</v>
      </c>
      <c r="P11" s="2">
        <f>IF(ISERROR(VLOOKUP($K11,'Calc-Drivers'!$B$17:$G$27,P$43,FALSE))," ",VLOOKUP($K11,'Calc-Drivers'!$B$17:$G$27,P$43,FALSE))</f>
        <v>0.22280398771960128</v>
      </c>
      <c r="S11" s="2">
        <f t="shared" si="0"/>
        <v>0.50332527388290726</v>
      </c>
      <c r="T11" s="2">
        <f t="shared" si="0"/>
        <v>0.14328773402083939</v>
      </c>
      <c r="U11" s="2">
        <f t="shared" si="0"/>
        <v>4.4171338423983353E-2</v>
      </c>
      <c r="V11" s="2">
        <f t="shared" si="0"/>
        <v>0.31878783325242083</v>
      </c>
      <c r="W11" s="2">
        <f t="shared" si="0"/>
        <v>0.28942082041984774</v>
      </c>
      <c r="Z11" s="2">
        <f t="shared" si="1"/>
        <v>4.8058390514134786</v>
      </c>
      <c r="AA11" s="2">
        <f t="shared" si="1"/>
        <v>0.65237735956535348</v>
      </c>
      <c r="AB11" s="2">
        <f t="shared" si="1"/>
        <v>4.3211101631633664</v>
      </c>
      <c r="AC11" s="2">
        <f t="shared" si="2"/>
        <v>0.95781204321205893</v>
      </c>
      <c r="AD11" s="2">
        <f t="shared" si="2"/>
        <v>0.8695775636297427</v>
      </c>
      <c r="AG11" s="2">
        <f>IF(ISERROR(Z11*100000000/'Calc-Units'!$E$23)," ",Z11*100000000/'Calc-Units'!$E$23)</f>
        <v>1.636591810622378E-2</v>
      </c>
      <c r="AH11" s="2">
        <f>IF(ISERROR(AA11*100000000/'Calc-Units'!$D$23)," ",AA11*100000000/'Calc-Units'!$D$23)</f>
        <v>2.2743046932014953E-3</v>
      </c>
      <c r="AI11" s="2">
        <f>IF(ISERROR(AB11*100000000/'Calc-Units'!$C$23)," ",AB11*100000000/'Calc-Units'!$C$23)</f>
        <v>2.2405424469373464E-2</v>
      </c>
      <c r="AJ11" s="2">
        <f>IF(ISERROR(AC11*100000000/'Calc-Units'!$C$23)," ",AC11*100000000/'Calc-Units'!$C$23)</f>
        <v>4.9663592409626622E-3</v>
      </c>
      <c r="AL11" s="2">
        <v>0.23499999999999999</v>
      </c>
      <c r="AM11" s="2">
        <f t="shared" si="3"/>
        <v>2.7275783025312399</v>
      </c>
      <c r="AN11" s="2">
        <f t="shared" si="4"/>
        <v>8.8791378784527595</v>
      </c>
      <c r="AQ11" s="2">
        <f t="shared" si="6"/>
        <v>3.6764668743313114</v>
      </c>
      <c r="AR11" s="2">
        <f t="shared" si="6"/>
        <v>0.49906868006749544</v>
      </c>
      <c r="AS11" s="2">
        <f t="shared" si="6"/>
        <v>3.3056492748199755</v>
      </c>
      <c r="AT11" s="2">
        <f t="shared" si="6"/>
        <v>0.73272621305722507</v>
      </c>
      <c r="AU11" s="2">
        <f t="shared" si="6"/>
        <v>0.66522683617675316</v>
      </c>
      <c r="AX11" s="2">
        <f>IF(ISERROR(AQ11*100000000/'Calc-Units'!$E$23)," ",AQ11*100000000/'Calc-Units'!$E$23)</f>
        <v>1.2519927351261192E-2</v>
      </c>
      <c r="AY11" s="2">
        <f>IF(ISERROR(AR11*100000000/'Calc-Units'!$D$23)," ",AR11*100000000/'Calc-Units'!$D$23)</f>
        <v>1.7398430902991438E-3</v>
      </c>
      <c r="AZ11" s="2">
        <f>IF(ISERROR(AS11*100000000/'Calc-Units'!$C$23)," ",AS11*100000000/'Calc-Units'!$C$23)</f>
        <v>1.7140149719070703E-2</v>
      </c>
      <c r="BA11" s="2">
        <f>IF(ISERROR(AT11*100000000/'Calc-Units'!$C$23)," ",AT11*100000000/'Calc-Units'!$C$23)</f>
        <v>3.7992648193364361E-3</v>
      </c>
    </row>
    <row r="12" spans="1:53" ht="16.5" customHeight="1">
      <c r="C12" s="2" t="s">
        <v>550</v>
      </c>
      <c r="D12" s="2">
        <f>'RRP 1.3'!I$12</f>
        <v>3.1208690599999995</v>
      </c>
      <c r="E12" s="2">
        <f>'RRP 2.3'!G46+'RRP 2.3'!G47</f>
        <v>0.81105305641463454</v>
      </c>
      <c r="F12" s="2">
        <f>'RRP 2.3'!G45</f>
        <v>3.8399956961413602</v>
      </c>
      <c r="G12" s="2">
        <v>0</v>
      </c>
      <c r="H12" s="2">
        <f>'RRP 2.3'!G44</f>
        <v>2.6698203074440059</v>
      </c>
      <c r="I12" s="2">
        <f t="shared" si="5"/>
        <v>-4.2000000000000011</v>
      </c>
      <c r="K12" s="2" t="s">
        <v>851</v>
      </c>
      <c r="L12" s="2">
        <f>IF(ISERROR(VLOOKUP($K12,'Calc-Drivers'!$B$17:$G$27,L$43,FALSE))," ",VLOOKUP($K12,'Calc-Drivers'!$B$17:$G$27,L$43,FALSE))</f>
        <v>0.38747343048261829</v>
      </c>
      <c r="M12" s="2">
        <f>IF(ISERROR(VLOOKUP($K12,'Calc-Drivers'!$B$17:$G$27,M$43,FALSE))," ",VLOOKUP($K12,'Calc-Drivers'!$B$17:$G$27,M$43,FALSE))</f>
        <v>0.11030677919037249</v>
      </c>
      <c r="N12" s="2">
        <f>IF(ISERROR(VLOOKUP($K12,'Calc-Drivers'!$B$17:$G$27,N$43,FALSE))," ",VLOOKUP($K12,'Calc-Drivers'!$B$17:$G$27,N$43,FALSE))</f>
        <v>3.4004292882242937E-2</v>
      </c>
      <c r="O12" s="2">
        <f>IF(ISERROR(VLOOKUP($K12,'Calc-Drivers'!$B$17:$G$27,O$43,FALSE))," ",VLOOKUP($K12,'Calc-Drivers'!$B$17:$G$27,O$43,FALSE))</f>
        <v>0.2454115097251649</v>
      </c>
      <c r="P12" s="2">
        <f>IF(ISERROR(VLOOKUP($K12,'Calc-Drivers'!$B$17:$G$27,P$43,FALSE))," ",VLOOKUP($K12,'Calc-Drivers'!$B$17:$G$27,P$43,FALSE))</f>
        <v>0.22280398771960128</v>
      </c>
      <c r="S12" s="2">
        <f t="shared" si="0"/>
        <v>-1.6273884080269971</v>
      </c>
      <c r="T12" s="2">
        <f t="shared" si="0"/>
        <v>-0.46328847259956457</v>
      </c>
      <c r="U12" s="2">
        <f t="shared" si="0"/>
        <v>-0.14281803010542038</v>
      </c>
      <c r="V12" s="2">
        <f t="shared" si="0"/>
        <v>-1.0307283408456929</v>
      </c>
      <c r="W12" s="2">
        <f t="shared" si="0"/>
        <v>-0.93577674842232561</v>
      </c>
      <c r="Z12" s="2">
        <f t="shared" si="1"/>
        <v>-0.81633535161236259</v>
      </c>
      <c r="AA12" s="2">
        <f t="shared" si="1"/>
        <v>3.3767072235417954</v>
      </c>
      <c r="AB12" s="2">
        <f t="shared" si="1"/>
        <v>-0.14281803010542038</v>
      </c>
      <c r="AC12" s="2">
        <f t="shared" si="2"/>
        <v>0.36863719899748504</v>
      </c>
      <c r="AD12" s="2">
        <f t="shared" si="2"/>
        <v>0.33467801917850215</v>
      </c>
      <c r="AG12" s="2">
        <f>IF(ISERROR(Z12*100000000/'Calc-Units'!$E$23)," ",Z12*100000000/'Calc-Units'!$E$23)</f>
        <v>-2.7799677369082709E-3</v>
      </c>
      <c r="AH12" s="2">
        <f>IF(ISERROR(AA12*100000000/'Calc-Units'!$D$23)," ",AA12*100000000/'Calc-Units'!$D$23)</f>
        <v>1.1771808100736469E-2</v>
      </c>
      <c r="AI12" s="2">
        <f>IF(ISERROR(AB12*100000000/'Calc-Units'!$C$23)," ",AB12*100000000/'Calc-Units'!$C$23)</f>
        <v>-7.4052696311013367E-4</v>
      </c>
      <c r="AJ12" s="2">
        <f>IF(ISERROR(AC12*100000000/'Calc-Units'!$C$23)," ",AC12*100000000/'Calc-Units'!$C$23)</f>
        <v>1.911423825559914E-3</v>
      </c>
      <c r="AL12" s="2">
        <v>0.23499999999999999</v>
      </c>
      <c r="AM12" s="2">
        <f t="shared" si="3"/>
        <v>0.7334042290999998</v>
      </c>
      <c r="AN12" s="2">
        <f t="shared" si="4"/>
        <v>2.3874648308999995</v>
      </c>
      <c r="AQ12" s="2">
        <f t="shared" si="6"/>
        <v>-0.62449654398345744</v>
      </c>
      <c r="AR12" s="2">
        <f t="shared" si="6"/>
        <v>2.5831810260094734</v>
      </c>
      <c r="AS12" s="2">
        <f t="shared" si="6"/>
        <v>-0.10925579303064659</v>
      </c>
      <c r="AT12" s="2">
        <f t="shared" si="6"/>
        <v>0.28200745723307608</v>
      </c>
      <c r="AU12" s="2">
        <f t="shared" si="6"/>
        <v>0.25602868467155415</v>
      </c>
      <c r="AX12" s="2">
        <f>IF(ISERROR(AQ12*100000000/'Calc-Units'!$E$23)," ",AQ12*100000000/'Calc-Units'!$E$23)</f>
        <v>-2.1266753187348278E-3</v>
      </c>
      <c r="AY12" s="2">
        <f>IF(ISERROR(AR12*100000000/'Calc-Units'!$D$23)," ",AR12*100000000/'Calc-Units'!$D$23)</f>
        <v>9.0054331970633988E-3</v>
      </c>
      <c r="AZ12" s="2">
        <f>IF(ISERROR(AS12*100000000/'Calc-Units'!$C$23)," ",AS12*100000000/'Calc-Units'!$C$23)</f>
        <v>-5.6650312677925224E-4</v>
      </c>
      <c r="BA12" s="2">
        <f>IF(ISERROR(AT12*100000000/'Calc-Units'!$C$23)," ",AT12*100000000/'Calc-Units'!$C$23)</f>
        <v>1.4622392265533344E-3</v>
      </c>
    </row>
    <row r="13" spans="1:53" ht="12.75" customHeight="1">
      <c r="B13" s="2" t="s">
        <v>852</v>
      </c>
      <c r="C13" s="2" t="s">
        <v>551</v>
      </c>
      <c r="D13" s="2">
        <f>'RRP 1.3'!J$12</f>
        <v>0.63889207162799966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0.63889207162799966</v>
      </c>
      <c r="K13" s="2" t="s">
        <v>851</v>
      </c>
      <c r="L13" s="2">
        <f>IF(ISERROR(VLOOKUP($K13,'Calc-Drivers'!$B$17:$G$27,L$43,FALSE))," ",VLOOKUP($K13,'Calc-Drivers'!$B$17:$G$27,L$43,FALSE))</f>
        <v>0.38747343048261829</v>
      </c>
      <c r="M13" s="2">
        <f>IF(ISERROR(VLOOKUP($K13,'Calc-Drivers'!$B$17:$G$27,M$43,FALSE))," ",VLOOKUP($K13,'Calc-Drivers'!$B$17:$G$27,M$43,FALSE))</f>
        <v>0.11030677919037249</v>
      </c>
      <c r="N13" s="2">
        <f>IF(ISERROR(VLOOKUP($K13,'Calc-Drivers'!$B$17:$G$27,N$43,FALSE))," ",VLOOKUP($K13,'Calc-Drivers'!$B$17:$G$27,N$43,FALSE))</f>
        <v>3.4004292882242937E-2</v>
      </c>
      <c r="O13" s="2">
        <f>IF(ISERROR(VLOOKUP($K13,'Calc-Drivers'!$B$17:$G$27,O$43,FALSE))," ",VLOOKUP($K13,'Calc-Drivers'!$B$17:$G$27,O$43,FALSE))</f>
        <v>0.2454115097251649</v>
      </c>
      <c r="P13" s="2">
        <f>IF(ISERROR(VLOOKUP($K13,'Calc-Drivers'!$B$17:$G$27,P$43,FALSE))," ",VLOOKUP($K13,'Calc-Drivers'!$B$17:$G$27,P$43,FALSE))</f>
        <v>0.22280398771960128</v>
      </c>
      <c r="S13" s="2">
        <f t="shared" si="0"/>
        <v>0.24755370270184771</v>
      </c>
      <c r="T13" s="2">
        <f t="shared" si="0"/>
        <v>7.0474126671549397E-2</v>
      </c>
      <c r="U13" s="2">
        <f t="shared" si="0"/>
        <v>2.1725073123781434E-2</v>
      </c>
      <c r="V13" s="2">
        <f t="shared" si="0"/>
        <v>0.15679146784966558</v>
      </c>
      <c r="W13" s="2">
        <f t="shared" si="0"/>
        <v>0.14234770128115545</v>
      </c>
      <c r="Z13" s="2">
        <f t="shared" si="1"/>
        <v>0.24755370270184771</v>
      </c>
      <c r="AA13" s="2">
        <f t="shared" si="1"/>
        <v>7.0474126671549397E-2</v>
      </c>
      <c r="AB13" s="2">
        <f t="shared" si="1"/>
        <v>2.1725073123781434E-2</v>
      </c>
      <c r="AC13" s="2">
        <f t="shared" si="2"/>
        <v>0.15679146784966558</v>
      </c>
      <c r="AD13" s="2">
        <f t="shared" si="2"/>
        <v>0.14234770128115545</v>
      </c>
      <c r="AG13" s="2">
        <f>IF(ISERROR(Z13*100000000/'Calc-Units'!$E$23)," ",Z13*100000000/'Calc-Units'!$E$23)</f>
        <v>8.4302524116351956E-4</v>
      </c>
      <c r="AH13" s="2">
        <f>IF(ISERROR(AA13*100000000/'Calc-Units'!$D$23)," ",AA13*100000000/'Calc-Units'!$D$23)</f>
        <v>2.4568546821607636E-4</v>
      </c>
      <c r="AI13" s="2">
        <f>IF(ISERROR(AB13*100000000/'Calc-Units'!$C$23)," ",AB13*100000000/'Calc-Units'!$C$23)</f>
        <v>1.1264685846614868E-4</v>
      </c>
      <c r="AJ13" s="2">
        <f>IF(ISERROR(AC13*100000000/'Calc-Units'!$C$23)," ",AC13*100000000/'Calc-Units'!$C$23)</f>
        <v>8.1298075209823486E-4</v>
      </c>
      <c r="AL13" s="2">
        <v>0.52569999999999995</v>
      </c>
      <c r="AM13" s="2">
        <f t="shared" si="3"/>
        <v>0.33586556205483936</v>
      </c>
      <c r="AN13" s="2">
        <f t="shared" si="4"/>
        <v>0.3030265095731603</v>
      </c>
      <c r="AQ13" s="2">
        <f t="shared" si="6"/>
        <v>0.11741472119148638</v>
      </c>
      <c r="AR13" s="2">
        <f t="shared" si="6"/>
        <v>3.3425878280315881E-2</v>
      </c>
      <c r="AS13" s="2">
        <f t="shared" si="6"/>
        <v>1.0304202182609535E-2</v>
      </c>
      <c r="AT13" s="2">
        <f t="shared" si="6"/>
        <v>7.4366193201096387E-2</v>
      </c>
      <c r="AU13" s="2">
        <f t="shared" si="6"/>
        <v>6.7515514717652034E-2</v>
      </c>
      <c r="AX13" s="2">
        <f>IF(ISERROR(AQ13*100000000/'Calc-Units'!$E$23)," ",AQ13*100000000/'Calc-Units'!$E$23)</f>
        <v>3.9984687188385735E-4</v>
      </c>
      <c r="AY13" s="2">
        <f>IF(ISERROR(AR13*100000000/'Calc-Units'!$D$23)," ",AR13*100000000/'Calc-Units'!$D$23)</f>
        <v>1.1652861757488501E-4</v>
      </c>
      <c r="AZ13" s="2">
        <f>IF(ISERROR(AS13*100000000/'Calc-Units'!$C$23)," ",AS13*100000000/'Calc-Units'!$C$23)</f>
        <v>5.3428404970494324E-5</v>
      </c>
      <c r="BA13" s="2">
        <f>IF(ISERROR(AT13*100000000/'Calc-Units'!$C$23)," ",AT13*100000000/'Calc-Units'!$C$23)</f>
        <v>3.8559677072019278E-4</v>
      </c>
    </row>
    <row r="14" spans="1:53">
      <c r="C14" s="2" t="s">
        <v>552</v>
      </c>
      <c r="D14" s="2">
        <f>'RRP 1.3'!K$12</f>
        <v>5.1305774955097965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5.1305774955097965</v>
      </c>
      <c r="K14" s="2" t="s">
        <v>851</v>
      </c>
      <c r="L14" s="2">
        <f>IF(ISERROR(VLOOKUP($K14,'Calc-Drivers'!$B$17:$G$27,L$43,FALSE))," ",VLOOKUP($K14,'Calc-Drivers'!$B$17:$G$27,L$43,FALSE))</f>
        <v>0.38747343048261829</v>
      </c>
      <c r="M14" s="2">
        <f>IF(ISERROR(VLOOKUP($K14,'Calc-Drivers'!$B$17:$G$27,M$43,FALSE))," ",VLOOKUP($K14,'Calc-Drivers'!$B$17:$G$27,M$43,FALSE))</f>
        <v>0.11030677919037249</v>
      </c>
      <c r="N14" s="2">
        <f>IF(ISERROR(VLOOKUP($K14,'Calc-Drivers'!$B$17:$G$27,N$43,FALSE))," ",VLOOKUP($K14,'Calc-Drivers'!$B$17:$G$27,N$43,FALSE))</f>
        <v>3.4004292882242937E-2</v>
      </c>
      <c r="O14" s="2">
        <f>IF(ISERROR(VLOOKUP($K14,'Calc-Drivers'!$B$17:$G$27,O$43,FALSE))," ",VLOOKUP($K14,'Calc-Drivers'!$B$17:$G$27,O$43,FALSE))</f>
        <v>0.2454115097251649</v>
      </c>
      <c r="P14" s="2">
        <f>IF(ISERROR(VLOOKUP($K14,'Calc-Drivers'!$B$17:$G$27,P$43,FALSE))," ",VLOOKUP($K14,'Calc-Drivers'!$B$17:$G$27,P$43,FALSE))</f>
        <v>0.22280398771960128</v>
      </c>
      <c r="S14" s="2">
        <f t="shared" si="0"/>
        <v>1.9879624625421008</v>
      </c>
      <c r="T14" s="2">
        <f t="shared" si="0"/>
        <v>0.56593747891629342</v>
      </c>
      <c r="U14" s="2">
        <f t="shared" si="0"/>
        <v>0.17446165981235956</v>
      </c>
      <c r="V14" s="2">
        <f t="shared" si="0"/>
        <v>1.2591027689350145</v>
      </c>
      <c r="W14" s="2">
        <f t="shared" si="0"/>
        <v>1.1431131253040274</v>
      </c>
      <c r="Z14" s="2">
        <f t="shared" si="1"/>
        <v>1.9879624625421008</v>
      </c>
      <c r="AA14" s="2">
        <f t="shared" si="1"/>
        <v>0.56593747891629342</v>
      </c>
      <c r="AB14" s="2">
        <f t="shared" si="1"/>
        <v>0.17446165981235956</v>
      </c>
      <c r="AC14" s="2">
        <f t="shared" si="2"/>
        <v>1.2591027689350145</v>
      </c>
      <c r="AD14" s="2">
        <f t="shared" si="2"/>
        <v>1.1431131253040274</v>
      </c>
      <c r="AG14" s="2">
        <f>IF(ISERROR(Z14*100000000/'Calc-Units'!$E$23)," ",Z14*100000000/'Calc-Units'!$E$23)</f>
        <v>6.7698544441770134E-3</v>
      </c>
      <c r="AH14" s="2">
        <f>IF(ISERROR(AA14*100000000/'Calc-Units'!$D$23)," ",AA14*100000000/'Calc-Units'!$D$23)</f>
        <v>1.972959737927583E-3</v>
      </c>
      <c r="AI14" s="2">
        <f>IF(ISERROR(AB14*100000000/'Calc-Units'!$C$23)," ",AB14*100000000/'Calc-Units'!$C$23)</f>
        <v>9.0460261232168176E-4</v>
      </c>
      <c r="AJ14" s="2">
        <f>IF(ISERROR(AC14*100000000/'Calc-Units'!$C$23)," ",AC14*100000000/'Calc-Units'!$C$23)</f>
        <v>6.5285843043400103E-3</v>
      </c>
      <c r="AL14" s="2">
        <v>0.52569999999999995</v>
      </c>
      <c r="AM14" s="2">
        <f t="shared" si="3"/>
        <v>2.6971445893894996</v>
      </c>
      <c r="AN14" s="2">
        <f t="shared" si="4"/>
        <v>2.4334329061202968</v>
      </c>
      <c r="AQ14" s="2">
        <f t="shared" si="6"/>
        <v>0.94289059598371849</v>
      </c>
      <c r="AR14" s="2">
        <f t="shared" si="6"/>
        <v>0.268424146249998</v>
      </c>
      <c r="AS14" s="2">
        <f t="shared" si="6"/>
        <v>8.274716524900215E-2</v>
      </c>
      <c r="AT14" s="2">
        <f t="shared" si="6"/>
        <v>0.5971924433058774</v>
      </c>
      <c r="AU14" s="2">
        <f t="shared" si="6"/>
        <v>0.54217855533170023</v>
      </c>
      <c r="AX14" s="2">
        <f>IF(ISERROR(AQ14*100000000/'Calc-Units'!$E$23)," ",AQ14*100000000/'Calc-Units'!$E$23)</f>
        <v>3.2109419628731577E-3</v>
      </c>
      <c r="AY14" s="2">
        <f>IF(ISERROR(AR14*100000000/'Calc-Units'!$D$23)," ",AR14*100000000/'Calc-Units'!$D$23)</f>
        <v>9.3577480369905273E-4</v>
      </c>
      <c r="AZ14" s="2">
        <f>IF(ISERROR(AS14*100000000/'Calc-Units'!$C$23)," ",AS14*100000000/'Calc-Units'!$C$23)</f>
        <v>4.2905301902417372E-4</v>
      </c>
      <c r="BA14" s="2">
        <f>IF(ISERROR(AT14*100000000/'Calc-Units'!$C$23)," ",AT14*100000000/'Calc-Units'!$C$23)</f>
        <v>3.0965075355484672E-3</v>
      </c>
    </row>
    <row r="15" spans="1:53">
      <c r="C15" s="2" t="s">
        <v>553</v>
      </c>
      <c r="D15" s="2">
        <f>'RRP 1.3'!L$12</f>
        <v>2.2167176620892537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2.2167176620892537</v>
      </c>
      <c r="K15" s="2" t="s">
        <v>851</v>
      </c>
      <c r="L15" s="2">
        <f>IF(ISERROR(VLOOKUP($K15,'Calc-Drivers'!$B$17:$G$27,L$43,FALSE))," ",VLOOKUP($K15,'Calc-Drivers'!$B$17:$G$27,L$43,FALSE))</f>
        <v>0.38747343048261829</v>
      </c>
      <c r="M15" s="2">
        <f>IF(ISERROR(VLOOKUP($K15,'Calc-Drivers'!$B$17:$G$27,M$43,FALSE))," ",VLOOKUP($K15,'Calc-Drivers'!$B$17:$G$27,M$43,FALSE))</f>
        <v>0.11030677919037249</v>
      </c>
      <c r="N15" s="2">
        <f>IF(ISERROR(VLOOKUP($K15,'Calc-Drivers'!$B$17:$G$27,N$43,FALSE))," ",VLOOKUP($K15,'Calc-Drivers'!$B$17:$G$27,N$43,FALSE))</f>
        <v>3.4004292882242937E-2</v>
      </c>
      <c r="O15" s="2">
        <f>IF(ISERROR(VLOOKUP($K15,'Calc-Drivers'!$B$17:$G$27,O$43,FALSE))," ",VLOOKUP($K15,'Calc-Drivers'!$B$17:$G$27,O$43,FALSE))</f>
        <v>0.2454115097251649</v>
      </c>
      <c r="P15" s="2">
        <f>IF(ISERROR(VLOOKUP($K15,'Calc-Drivers'!$B$17:$G$27,P$43,FALSE))," ",VLOOKUP($K15,'Calc-Drivers'!$B$17:$G$27,P$43,FALSE))</f>
        <v>0.22280398771960128</v>
      </c>
      <c r="S15" s="2">
        <f t="shared" si="0"/>
        <v>0.85891919694113261</v>
      </c>
      <c r="T15" s="2">
        <f t="shared" si="0"/>
        <v>0.24451898567947805</v>
      </c>
      <c r="U15" s="2">
        <f t="shared" si="0"/>
        <v>7.5377916618923818E-2</v>
      </c>
      <c r="V15" s="2">
        <f t="shared" si="0"/>
        <v>0.54400802808776172</v>
      </c>
      <c r="W15" s="2">
        <f t="shared" si="0"/>
        <v>0.49389353476195735</v>
      </c>
      <c r="Z15" s="2">
        <f t="shared" si="1"/>
        <v>0.85891919694113261</v>
      </c>
      <c r="AA15" s="2">
        <f t="shared" si="1"/>
        <v>0.24451898567947805</v>
      </c>
      <c r="AB15" s="2">
        <f t="shared" si="1"/>
        <v>7.5377916618923818E-2</v>
      </c>
      <c r="AC15" s="2">
        <f t="shared" si="2"/>
        <v>0.54400802808776172</v>
      </c>
      <c r="AD15" s="2">
        <f t="shared" si="2"/>
        <v>0.49389353476195735</v>
      </c>
      <c r="AG15" s="2">
        <f>IF(ISERROR(Z15*100000000/'Calc-Units'!$E$23)," ",Z15*100000000/'Calc-Units'!$E$23)</f>
        <v>2.9249837721610065E-3</v>
      </c>
      <c r="AH15" s="2">
        <f>IF(ISERROR(AA15*100000000/'Calc-Units'!$D$23)," ",AA15*100000000/'Calc-Units'!$D$23)</f>
        <v>8.5243711872253652E-4</v>
      </c>
      <c r="AI15" s="2">
        <f>IF(ISERROR(AB15*100000000/'Calc-Units'!$C$23)," ",AB15*100000000/'Calc-Units'!$C$23)</f>
        <v>3.9084266628084524E-4</v>
      </c>
      <c r="AJ15" s="2">
        <f>IF(ISERROR(AC15*100000000/'Calc-Units'!$C$23)," ",AC15*100000000/'Calc-Units'!$C$23)</f>
        <v>2.820740579113148E-3</v>
      </c>
      <c r="AL15" s="2">
        <v>0.52569999999999995</v>
      </c>
      <c r="AM15" s="2">
        <f t="shared" si="3"/>
        <v>1.1653284749603205</v>
      </c>
      <c r="AN15" s="2">
        <f t="shared" si="4"/>
        <v>1.0513891871289331</v>
      </c>
      <c r="AQ15" s="2">
        <f t="shared" si="6"/>
        <v>0.40738537510917927</v>
      </c>
      <c r="AR15" s="2">
        <f t="shared" si="6"/>
        <v>0.11597535490777645</v>
      </c>
      <c r="AS15" s="2">
        <f t="shared" si="6"/>
        <v>3.575174585235557E-2</v>
      </c>
      <c r="AT15" s="2">
        <f t="shared" si="6"/>
        <v>0.25802300772202541</v>
      </c>
      <c r="AU15" s="2">
        <f t="shared" si="6"/>
        <v>0.23425370353759639</v>
      </c>
      <c r="AX15" s="2">
        <f>IF(ISERROR(AQ15*100000000/'Calc-Units'!$E$23)," ",AQ15*100000000/'Calc-Units'!$E$23)</f>
        <v>1.3873198031359656E-3</v>
      </c>
      <c r="AY15" s="2">
        <f>IF(ISERROR(AR15*100000000/'Calc-Units'!$D$23)," ",AR15*100000000/'Calc-Units'!$D$23)</f>
        <v>4.0431092541009915E-4</v>
      </c>
      <c r="AZ15" s="2">
        <f>IF(ISERROR(AS15*100000000/'Calc-Units'!$C$23)," ",AS15*100000000/'Calc-Units'!$C$23)</f>
        <v>1.8537667661700492E-4</v>
      </c>
      <c r="BA15" s="2">
        <f>IF(ISERROR(AT15*100000000/'Calc-Units'!$C$23)," ",AT15*100000000/'Calc-Units'!$C$23)</f>
        <v>1.3378772566733663E-3</v>
      </c>
    </row>
    <row r="16" spans="1:53">
      <c r="C16" s="2" t="s">
        <v>554</v>
      </c>
      <c r="D16" s="2">
        <f>'RRP 1.3'!M$12</f>
        <v>16.939612814221448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16.939612814221448</v>
      </c>
      <c r="K16" s="2" t="s">
        <v>851</v>
      </c>
      <c r="L16" s="2">
        <f>IF(ISERROR(VLOOKUP($K16,'Calc-Drivers'!$B$17:$G$27,L$43,FALSE))," ",VLOOKUP($K16,'Calc-Drivers'!$B$17:$G$27,L$43,FALSE))</f>
        <v>0.38747343048261829</v>
      </c>
      <c r="M16" s="2">
        <f>IF(ISERROR(VLOOKUP($K16,'Calc-Drivers'!$B$17:$G$27,M$43,FALSE))," ",VLOOKUP($K16,'Calc-Drivers'!$B$17:$G$27,M$43,FALSE))</f>
        <v>0.11030677919037249</v>
      </c>
      <c r="N16" s="2">
        <f>IF(ISERROR(VLOOKUP($K16,'Calc-Drivers'!$B$17:$G$27,N$43,FALSE))," ",VLOOKUP($K16,'Calc-Drivers'!$B$17:$G$27,N$43,FALSE))</f>
        <v>3.4004292882242937E-2</v>
      </c>
      <c r="O16" s="2">
        <f>IF(ISERROR(VLOOKUP($K16,'Calc-Drivers'!$B$17:$G$27,O$43,FALSE))," ",VLOOKUP($K16,'Calc-Drivers'!$B$17:$G$27,O$43,FALSE))</f>
        <v>0.2454115097251649</v>
      </c>
      <c r="P16" s="2">
        <f>IF(ISERROR(VLOOKUP($K16,'Calc-Drivers'!$B$17:$G$27,P$43,FALSE))," ",VLOOKUP($K16,'Calc-Drivers'!$B$17:$G$27,P$43,FALSE))</f>
        <v>0.22280398771960128</v>
      </c>
      <c r="S16" s="2">
        <f t="shared" si="0"/>
        <v>6.5636498881737042</v>
      </c>
      <c r="T16" s="2">
        <f t="shared" si="0"/>
        <v>1.8685541302687296</v>
      </c>
      <c r="U16" s="2">
        <f t="shared" si="0"/>
        <v>0.57601955544658168</v>
      </c>
      <c r="V16" s="2">
        <f t="shared" si="0"/>
        <v>4.1571759548978351</v>
      </c>
      <c r="W16" s="2">
        <f t="shared" si="0"/>
        <v>3.774213285434596</v>
      </c>
      <c r="Z16" s="2">
        <f t="shared" si="1"/>
        <v>6.5636498881737042</v>
      </c>
      <c r="AA16" s="2">
        <f t="shared" si="1"/>
        <v>1.8685541302687296</v>
      </c>
      <c r="AB16" s="2">
        <f t="shared" si="1"/>
        <v>0.57601955544658168</v>
      </c>
      <c r="AC16" s="2">
        <f t="shared" si="2"/>
        <v>4.1571759548978351</v>
      </c>
      <c r="AD16" s="2">
        <f t="shared" si="2"/>
        <v>3.774213285434596</v>
      </c>
      <c r="AG16" s="2">
        <f>IF(ISERROR(Z16*100000000/'Calc-Units'!$E$23)," ",Z16*100000000/'Calc-Units'!$E$23)</f>
        <v>2.235200875405547E-2</v>
      </c>
      <c r="AH16" s="2">
        <f>IF(ISERROR(AA16*100000000/'Calc-Units'!$D$23)," ",AA16*100000000/'Calc-Units'!$D$23)</f>
        <v>6.5141154358921158E-3</v>
      </c>
      <c r="AI16" s="2">
        <f>IF(ISERROR(AB16*100000000/'Calc-Units'!$C$23)," ",AB16*100000000/'Calc-Units'!$C$23)</f>
        <v>2.9867238175183123E-3</v>
      </c>
      <c r="AJ16" s="2">
        <f>IF(ISERROR(AC16*100000000/'Calc-Units'!$C$23)," ",AC16*100000000/'Calc-Units'!$C$23)</f>
        <v>2.155540783416901E-2</v>
      </c>
      <c r="AL16" s="2">
        <v>0.52569999999999995</v>
      </c>
      <c r="AM16" s="2">
        <f t="shared" si="3"/>
        <v>8.9051544564362146</v>
      </c>
      <c r="AN16" s="2">
        <f t="shared" si="4"/>
        <v>8.0344583577852333</v>
      </c>
      <c r="AQ16" s="2">
        <f t="shared" si="6"/>
        <v>3.1131391419607883</v>
      </c>
      <c r="AR16" s="2">
        <f t="shared" si="6"/>
        <v>0.88625522398645862</v>
      </c>
      <c r="AS16" s="2">
        <f t="shared" si="6"/>
        <v>0.27320607514831374</v>
      </c>
      <c r="AT16" s="2">
        <f t="shared" si="6"/>
        <v>1.9717485554080434</v>
      </c>
      <c r="AU16" s="2">
        <f t="shared" si="6"/>
        <v>1.790109361281629</v>
      </c>
      <c r="AX16" s="2">
        <f>IF(ISERROR(AQ16*100000000/'Calc-Units'!$E$23)," ",AQ16*100000000/'Calc-Units'!$E$23)</f>
        <v>1.0601557752048511E-2</v>
      </c>
      <c r="AY16" s="2">
        <f>IF(ISERROR(AR16*100000000/'Calc-Units'!$D$23)," ",AR16*100000000/'Calc-Units'!$D$23)</f>
        <v>3.0896449512436311E-3</v>
      </c>
      <c r="AZ16" s="2">
        <f>IF(ISERROR(AS16*100000000/'Calc-Units'!$C$23)," ",AS16*100000000/'Calc-Units'!$C$23)</f>
        <v>1.4166031066489358E-3</v>
      </c>
      <c r="BA16" s="2">
        <f>IF(ISERROR(AT16*100000000/'Calc-Units'!$C$23)," ",AT16*100000000/'Calc-Units'!$C$23)</f>
        <v>1.0223729935746361E-2</v>
      </c>
    </row>
    <row r="17" spans="1:53">
      <c r="C17" s="2" t="s">
        <v>555</v>
      </c>
      <c r="D17" s="2">
        <f>'RRP 1.3'!N$12</f>
        <v>4.4300162415596507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4.4300162415596507</v>
      </c>
      <c r="K17" s="2" t="s">
        <v>851</v>
      </c>
      <c r="L17" s="2">
        <f>IF(ISERROR(VLOOKUP($K17,'Calc-Drivers'!$B$17:$G$27,L$43,FALSE))," ",VLOOKUP($K17,'Calc-Drivers'!$B$17:$G$27,L$43,FALSE))</f>
        <v>0.38747343048261829</v>
      </c>
      <c r="M17" s="2">
        <f>IF(ISERROR(VLOOKUP($K17,'Calc-Drivers'!$B$17:$G$27,M$43,FALSE))," ",VLOOKUP($K17,'Calc-Drivers'!$B$17:$G$27,M$43,FALSE))</f>
        <v>0.11030677919037249</v>
      </c>
      <c r="N17" s="2">
        <f>IF(ISERROR(VLOOKUP($K17,'Calc-Drivers'!$B$17:$G$27,N$43,FALSE))," ",VLOOKUP($K17,'Calc-Drivers'!$B$17:$G$27,N$43,FALSE))</f>
        <v>3.4004292882242937E-2</v>
      </c>
      <c r="O17" s="2">
        <f>IF(ISERROR(VLOOKUP($K17,'Calc-Drivers'!$B$17:$G$27,O$43,FALSE))," ",VLOOKUP($K17,'Calc-Drivers'!$B$17:$G$27,O$43,FALSE))</f>
        <v>0.2454115097251649</v>
      </c>
      <c r="P17" s="2">
        <f>IF(ISERROR(VLOOKUP($K17,'Calc-Drivers'!$B$17:$G$27,P$43,FALSE))," ",VLOOKUP($K17,'Calc-Drivers'!$B$17:$G$27,P$43,FALSE))</f>
        <v>0.22280398771960128</v>
      </c>
      <c r="S17" s="2">
        <f t="shared" si="0"/>
        <v>1.7165135902108333</v>
      </c>
      <c r="T17" s="2">
        <f t="shared" si="0"/>
        <v>0.48866082336748423</v>
      </c>
      <c r="U17" s="2">
        <f t="shared" si="0"/>
        <v>0.15063956975108744</v>
      </c>
      <c r="V17" s="2">
        <f t="shared" si="0"/>
        <v>1.0871769739481547</v>
      </c>
      <c r="W17" s="2">
        <f t="shared" si="0"/>
        <v>0.98702528428209058</v>
      </c>
      <c r="Z17" s="2">
        <f t="shared" si="1"/>
        <v>1.7165135902108333</v>
      </c>
      <c r="AA17" s="2">
        <f t="shared" si="1"/>
        <v>0.48866082336748423</v>
      </c>
      <c r="AB17" s="2">
        <f t="shared" si="1"/>
        <v>0.15063956975108744</v>
      </c>
      <c r="AC17" s="2">
        <f t="shared" si="2"/>
        <v>1.0871769739481547</v>
      </c>
      <c r="AD17" s="2">
        <f t="shared" si="2"/>
        <v>0.98702528428209058</v>
      </c>
      <c r="AG17" s="2">
        <f>IF(ISERROR(Z17*100000000/'Calc-Units'!$E$23)," ",Z17*100000000/'Calc-Units'!$E$23)</f>
        <v>5.8454560265284441E-3</v>
      </c>
      <c r="AH17" s="2">
        <f>IF(ISERROR(AA17*100000000/'Calc-Units'!$D$23)," ",AA17*100000000/'Calc-Units'!$D$23)</f>
        <v>1.7035594317816646E-3</v>
      </c>
      <c r="AI17" s="2">
        <f>IF(ISERROR(AB17*100000000/'Calc-Units'!$C$23)," ",AB17*100000000/'Calc-Units'!$C$23)</f>
        <v>7.8108249378350844E-4</v>
      </c>
      <c r="AJ17" s="2">
        <f>IF(ISERROR(AC17*100000000/'Calc-Units'!$C$23)," ",AC17*100000000/'Calc-Units'!$C$23)</f>
        <v>5.6371304259470846E-3</v>
      </c>
      <c r="AL17" s="2">
        <v>0.52569999999999995</v>
      </c>
      <c r="AM17" s="2">
        <f t="shared" si="3"/>
        <v>2.328859538187908</v>
      </c>
      <c r="AN17" s="2">
        <f t="shared" si="4"/>
        <v>2.1011567033717427</v>
      </c>
      <c r="AQ17" s="2">
        <f t="shared" si="6"/>
        <v>0.81414239583699832</v>
      </c>
      <c r="AR17" s="2">
        <f t="shared" si="6"/>
        <v>0.2317718285231978</v>
      </c>
      <c r="AS17" s="2">
        <f t="shared" si="6"/>
        <v>7.1448347932940789E-2</v>
      </c>
      <c r="AT17" s="2">
        <f t="shared" si="6"/>
        <v>0.51564803874360987</v>
      </c>
      <c r="AU17" s="2">
        <f t="shared" si="6"/>
        <v>0.4681460923349956</v>
      </c>
      <c r="AX17" s="2">
        <f>IF(ISERROR(AQ17*100000000/'Calc-Units'!$E$23)," ",AQ17*100000000/'Calc-Units'!$E$23)</f>
        <v>2.7724997933824417E-3</v>
      </c>
      <c r="AY17" s="2">
        <f>IF(ISERROR(AR17*100000000/'Calc-Units'!$D$23)," ",AR17*100000000/'Calc-Units'!$D$23)</f>
        <v>8.0799823849404373E-4</v>
      </c>
      <c r="AZ17" s="2">
        <f>IF(ISERROR(AS17*100000000/'Calc-Units'!$C$23)," ",AS17*100000000/'Calc-Units'!$C$23)</f>
        <v>3.7046742680151815E-4</v>
      </c>
      <c r="BA17" s="2">
        <f>IF(ISERROR(AT17*100000000/'Calc-Units'!$C$23)," ",AT17*100000000/'Calc-Units'!$C$23)</f>
        <v>2.6736909610267025E-3</v>
      </c>
    </row>
    <row r="18" spans="1:53">
      <c r="C18" s="2" t="s">
        <v>556</v>
      </c>
      <c r="D18" s="2">
        <f>'RRP 1.3'!O$12</f>
        <v>1.5094657008872003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1.5094657008872003</v>
      </c>
      <c r="K18" s="2" t="s">
        <v>851</v>
      </c>
      <c r="L18" s="2">
        <f>IF(ISERROR(VLOOKUP($K18,'Calc-Drivers'!$B$17:$G$27,L$43,FALSE))," ",VLOOKUP($K18,'Calc-Drivers'!$B$17:$G$27,L$43,FALSE))</f>
        <v>0.38747343048261829</v>
      </c>
      <c r="M18" s="2">
        <f>IF(ISERROR(VLOOKUP($K18,'Calc-Drivers'!$B$17:$G$27,M$43,FALSE))," ",VLOOKUP($K18,'Calc-Drivers'!$B$17:$G$27,M$43,FALSE))</f>
        <v>0.11030677919037249</v>
      </c>
      <c r="N18" s="2">
        <f>IF(ISERROR(VLOOKUP($K18,'Calc-Drivers'!$B$17:$G$27,N$43,FALSE))," ",VLOOKUP($K18,'Calc-Drivers'!$B$17:$G$27,N$43,FALSE))</f>
        <v>3.4004292882242937E-2</v>
      </c>
      <c r="O18" s="2">
        <f>IF(ISERROR(VLOOKUP($K18,'Calc-Drivers'!$B$17:$G$27,O$43,FALSE))," ",VLOOKUP($K18,'Calc-Drivers'!$B$17:$G$27,O$43,FALSE))</f>
        <v>0.2454115097251649</v>
      </c>
      <c r="P18" s="2">
        <f>IF(ISERROR(VLOOKUP($K18,'Calc-Drivers'!$B$17:$G$27,P$43,FALSE))," ",VLOOKUP($K18,'Calc-Drivers'!$B$17:$G$27,P$43,FALSE))</f>
        <v>0.22280398771960128</v>
      </c>
      <c r="S18" s="2">
        <f t="shared" si="0"/>
        <v>0.58487785331861331</v>
      </c>
      <c r="T18" s="2">
        <f t="shared" si="0"/>
        <v>0.16650429976320524</v>
      </c>
      <c r="U18" s="2">
        <f t="shared" si="0"/>
        <v>5.1328313788668471E-2</v>
      </c>
      <c r="V18" s="2">
        <f t="shared" si="0"/>
        <v>0.37044025653308199</v>
      </c>
      <c r="W18" s="2">
        <f t="shared" si="0"/>
        <v>0.33631497748363109</v>
      </c>
      <c r="Z18" s="2">
        <f t="shared" si="1"/>
        <v>0.58487785331861331</v>
      </c>
      <c r="AA18" s="2">
        <f t="shared" si="1"/>
        <v>0.16650429976320524</v>
      </c>
      <c r="AB18" s="2">
        <f t="shared" si="1"/>
        <v>5.1328313788668471E-2</v>
      </c>
      <c r="AC18" s="2">
        <f t="shared" si="2"/>
        <v>0.37044025653308199</v>
      </c>
      <c r="AD18" s="2">
        <f t="shared" si="2"/>
        <v>0.33631497748363109</v>
      </c>
      <c r="AG18" s="2">
        <f>IF(ISERROR(Z18*100000000/'Calc-Units'!$E$23)," ",Z18*100000000/'Calc-Units'!$E$23)</f>
        <v>1.9917568913884213E-3</v>
      </c>
      <c r="AH18" s="2">
        <f>IF(ISERROR(AA18*100000000/'Calc-Units'!$D$23)," ",AA18*100000000/'Calc-Units'!$D$23)</f>
        <v>5.8046390610793557E-4</v>
      </c>
      <c r="AI18" s="2">
        <f>IF(ISERROR(AB18*100000000/'Calc-Units'!$C$23)," ",AB18*100000000/'Calc-Units'!$C$23)</f>
        <v>2.6614286938021607E-4</v>
      </c>
      <c r="AJ18" s="2">
        <f>IF(ISERROR(AC18*100000000/'Calc-Units'!$C$23)," ",AC18*100000000/'Calc-Units'!$C$23)</f>
        <v>1.9207728742771024E-3</v>
      </c>
      <c r="AL18" s="2">
        <v>0.52569999999999995</v>
      </c>
      <c r="AM18" s="2">
        <f t="shared" si="3"/>
        <v>0.79352611895640113</v>
      </c>
      <c r="AN18" s="2">
        <f t="shared" si="4"/>
        <v>0.71593958193079921</v>
      </c>
      <c r="AQ18" s="2">
        <f t="shared" si="6"/>
        <v>0.27740756582901832</v>
      </c>
      <c r="AR18" s="2">
        <f t="shared" si="6"/>
        <v>7.8972989377688263E-2</v>
      </c>
      <c r="AS18" s="2">
        <f t="shared" si="6"/>
        <v>2.4345019229965459E-2</v>
      </c>
      <c r="AT18" s="2">
        <f t="shared" si="6"/>
        <v>0.17569981367364082</v>
      </c>
      <c r="AU18" s="2">
        <f t="shared" si="6"/>
        <v>0.15951419382048623</v>
      </c>
      <c r="AX18" s="2">
        <f>IF(ISERROR(AQ18*100000000/'Calc-Units'!$E$23)," ",AQ18*100000000/'Calc-Units'!$E$23)</f>
        <v>9.4469029358552827E-4</v>
      </c>
      <c r="AY18" s="2">
        <f>IF(ISERROR(AR18*100000000/'Calc-Units'!$D$23)," ",AR18*100000000/'Calc-Units'!$D$23)</f>
        <v>2.7531403066699393E-4</v>
      </c>
      <c r="AZ18" s="2">
        <f>IF(ISERROR(AS18*100000000/'Calc-Units'!$C$23)," ",AS18*100000000/'Calc-Units'!$C$23)</f>
        <v>1.2623156294703648E-4</v>
      </c>
      <c r="BA18" s="2">
        <f>IF(ISERROR(AT18*100000000/'Calc-Units'!$C$23)," ",AT18*100000000/'Calc-Units'!$C$23)</f>
        <v>9.1102257426962994E-4</v>
      </c>
    </row>
    <row r="19" spans="1:53">
      <c r="C19" s="2" t="s">
        <v>557</v>
      </c>
      <c r="D19" s="2">
        <f>'RRP 1.3'!P$12</f>
        <v>1.3239399267640004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1.3239399267640004</v>
      </c>
      <c r="K19" s="2" t="s">
        <v>851</v>
      </c>
      <c r="L19" s="2">
        <f>IF(ISERROR(VLOOKUP($K19,'Calc-Drivers'!$B$17:$G$27,L$43,FALSE))," ",VLOOKUP($K19,'Calc-Drivers'!$B$17:$G$27,L$43,FALSE))</f>
        <v>0.38747343048261829</v>
      </c>
      <c r="M19" s="2">
        <f>IF(ISERROR(VLOOKUP($K19,'Calc-Drivers'!$B$17:$G$27,M$43,FALSE))," ",VLOOKUP($K19,'Calc-Drivers'!$B$17:$G$27,M$43,FALSE))</f>
        <v>0.11030677919037249</v>
      </c>
      <c r="N19" s="2">
        <f>IF(ISERROR(VLOOKUP($K19,'Calc-Drivers'!$B$17:$G$27,N$43,FALSE))," ",VLOOKUP($K19,'Calc-Drivers'!$B$17:$G$27,N$43,FALSE))</f>
        <v>3.4004292882242937E-2</v>
      </c>
      <c r="O19" s="2">
        <f>IF(ISERROR(VLOOKUP($K19,'Calc-Drivers'!$B$17:$G$27,O$43,FALSE))," ",VLOOKUP($K19,'Calc-Drivers'!$B$17:$G$27,O$43,FALSE))</f>
        <v>0.2454115097251649</v>
      </c>
      <c r="P19" s="2">
        <f>IF(ISERROR(VLOOKUP($K19,'Calc-Drivers'!$B$17:$G$27,P$43,FALSE))," ",VLOOKUP($K19,'Calc-Drivers'!$B$17:$G$27,P$43,FALSE))</f>
        <v>0.22280398771960128</v>
      </c>
      <c r="S19" s="2">
        <f t="shared" si="0"/>
        <v>0.51299154517615364</v>
      </c>
      <c r="T19" s="2">
        <f t="shared" si="0"/>
        <v>0.14603954916287451</v>
      </c>
      <c r="U19" s="2">
        <f t="shared" si="0"/>
        <v>4.5019641028178334E-2</v>
      </c>
      <c r="V19" s="2">
        <f t="shared" si="0"/>
        <v>0.3249100962125776</v>
      </c>
      <c r="W19" s="2">
        <f t="shared" si="0"/>
        <v>0.29497909518421617</v>
      </c>
      <c r="Z19" s="2">
        <f t="shared" si="1"/>
        <v>0.51299154517615364</v>
      </c>
      <c r="AA19" s="2">
        <f t="shared" si="1"/>
        <v>0.14603954916287451</v>
      </c>
      <c r="AB19" s="2">
        <f t="shared" si="1"/>
        <v>4.5019641028178334E-2</v>
      </c>
      <c r="AC19" s="2">
        <f t="shared" si="2"/>
        <v>0.3249100962125776</v>
      </c>
      <c r="AD19" s="2">
        <f t="shared" si="2"/>
        <v>0.29497909518421617</v>
      </c>
      <c r="AG19" s="2">
        <f>IF(ISERROR(Z19*100000000/'Calc-Units'!$E$23)," ",Z19*100000000/'Calc-Units'!$E$23)</f>
        <v>1.7469535553981661E-3</v>
      </c>
      <c r="AH19" s="2">
        <f>IF(ISERROR(AA19*100000000/'Calc-Units'!$D$23)," ",AA19*100000000/'Calc-Units'!$D$23)</f>
        <v>5.0912010845294091E-4</v>
      </c>
      <c r="AI19" s="2">
        <f>IF(ISERROR(AB19*100000000/'Calc-Units'!$C$23)," ",AB19*100000000/'Calc-Units'!$C$23)</f>
        <v>2.3343171745399946E-4</v>
      </c>
      <c r="AJ19" s="2">
        <f>IF(ISERROR(AC19*100000000/'Calc-Units'!$C$23)," ",AC19*100000000/'Calc-Units'!$C$23)</f>
        <v>1.6846940589680473E-3</v>
      </c>
      <c r="AL19" s="2">
        <v>0.52569999999999995</v>
      </c>
      <c r="AM19" s="2">
        <f t="shared" si="3"/>
        <v>0.69599521949983489</v>
      </c>
      <c r="AN19" s="2">
        <f t="shared" si="4"/>
        <v>0.62794470726416551</v>
      </c>
      <c r="AQ19" s="2">
        <f t="shared" si="6"/>
        <v>0.24331188987704969</v>
      </c>
      <c r="AR19" s="2">
        <f t="shared" si="6"/>
        <v>6.9266558167951395E-2</v>
      </c>
      <c r="AS19" s="2">
        <f t="shared" si="6"/>
        <v>2.1352815739664986E-2</v>
      </c>
      <c r="AT19" s="2">
        <f t="shared" si="6"/>
        <v>0.15410485863362558</v>
      </c>
      <c r="AU19" s="2">
        <f t="shared" si="6"/>
        <v>0.13990858484587373</v>
      </c>
      <c r="AX19" s="2">
        <f>IF(ISERROR(AQ19*100000000/'Calc-Units'!$E$23)," ",AQ19*100000000/'Calc-Units'!$E$23)</f>
        <v>8.2858007132535034E-4</v>
      </c>
      <c r="AY19" s="2">
        <f>IF(ISERROR(AR19*100000000/'Calc-Units'!$D$23)," ",AR19*100000000/'Calc-Units'!$D$23)</f>
        <v>2.4147566743922994E-4</v>
      </c>
      <c r="AZ19" s="2">
        <f>IF(ISERROR(AS19*100000000/'Calc-Units'!$C$23)," ",AS19*100000000/'Calc-Units'!$C$23)</f>
        <v>1.1071666358843194E-4</v>
      </c>
      <c r="BA19" s="2">
        <f>IF(ISERROR(AT19*100000000/'Calc-Units'!$C$23)," ",AT19*100000000/'Calc-Units'!$C$23)</f>
        <v>7.9905039216854497E-4</v>
      </c>
    </row>
    <row r="20" spans="1:53">
      <c r="C20" s="2" t="s">
        <v>558</v>
      </c>
      <c r="D20" s="2">
        <f>'RRP 1.3'!Q$12</f>
        <v>1.562325762189239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1.562325762189239</v>
      </c>
      <c r="K20" s="2" t="s">
        <v>851</v>
      </c>
      <c r="L20" s="2">
        <f>IF(ISERROR(VLOOKUP($K20,'Calc-Drivers'!$B$17:$G$27,L$43,FALSE))," ",VLOOKUP($K20,'Calc-Drivers'!$B$17:$G$27,L$43,FALSE))</f>
        <v>0.38747343048261829</v>
      </c>
      <c r="M20" s="2">
        <f>IF(ISERROR(VLOOKUP($K20,'Calc-Drivers'!$B$17:$G$27,M$43,FALSE))," ",VLOOKUP($K20,'Calc-Drivers'!$B$17:$G$27,M$43,FALSE))</f>
        <v>0.11030677919037249</v>
      </c>
      <c r="N20" s="2">
        <f>IF(ISERROR(VLOOKUP($K20,'Calc-Drivers'!$B$17:$G$27,N$43,FALSE))," ",VLOOKUP($K20,'Calc-Drivers'!$B$17:$G$27,N$43,FALSE))</f>
        <v>3.4004292882242937E-2</v>
      </c>
      <c r="O20" s="2">
        <f>IF(ISERROR(VLOOKUP($K20,'Calc-Drivers'!$B$17:$G$27,O$43,FALSE))," ",VLOOKUP($K20,'Calc-Drivers'!$B$17:$G$27,O$43,FALSE))</f>
        <v>0.2454115097251649</v>
      </c>
      <c r="P20" s="2">
        <f>IF(ISERROR(VLOOKUP($K20,'Calc-Drivers'!$B$17:$G$27,P$43,FALSE))," ",VLOOKUP($K20,'Calc-Drivers'!$B$17:$G$27,P$43,FALSE))</f>
        <v>0.22280398771960128</v>
      </c>
      <c r="S20" s="2">
        <f t="shared" si="0"/>
        <v>0.60535972260683568</v>
      </c>
      <c r="T20" s="2">
        <f t="shared" si="0"/>
        <v>0.17233512287323879</v>
      </c>
      <c r="U20" s="2">
        <f t="shared" si="0"/>
        <v>5.3125782794956312E-2</v>
      </c>
      <c r="V20" s="2">
        <f t="shared" si="0"/>
        <v>0.3834127239813801</v>
      </c>
      <c r="W20" s="2">
        <f t="shared" si="0"/>
        <v>0.34809240993282792</v>
      </c>
      <c r="Z20" s="2">
        <f t="shared" si="1"/>
        <v>0.60535972260683568</v>
      </c>
      <c r="AA20" s="2">
        <f t="shared" si="1"/>
        <v>0.17233512287323879</v>
      </c>
      <c r="AB20" s="2">
        <f t="shared" si="1"/>
        <v>5.3125782794956312E-2</v>
      </c>
      <c r="AC20" s="2">
        <f t="shared" si="2"/>
        <v>0.3834127239813801</v>
      </c>
      <c r="AD20" s="2">
        <f t="shared" si="2"/>
        <v>0.34809240993282792</v>
      </c>
      <c r="AG20" s="2">
        <f>IF(ISERROR(Z20*100000000/'Calc-Units'!$E$23)," ",Z20*100000000/'Calc-Units'!$E$23)</f>
        <v>2.0615063340658321E-3</v>
      </c>
      <c r="AH20" s="2">
        <f>IF(ISERROR(AA20*100000000/'Calc-Units'!$D$23)," ",AA20*100000000/'Calc-Units'!$D$23)</f>
        <v>6.0079120313923096E-4</v>
      </c>
      <c r="AI20" s="2">
        <f>IF(ISERROR(AB20*100000000/'Calc-Units'!$C$23)," ",AB20*100000000/'Calc-Units'!$C$23)</f>
        <v>2.7546294096731473E-4</v>
      </c>
      <c r="AJ20" s="2">
        <f>IF(ISERROR(AC20*100000000/'Calc-Units'!$C$23)," ",AC20*100000000/'Calc-Units'!$C$23)</f>
        <v>1.9880365238068034E-3</v>
      </c>
      <c r="AL20" s="2">
        <v>0.52569999999999995</v>
      </c>
      <c r="AM20" s="2">
        <f t="shared" si="3"/>
        <v>0.82131465318288288</v>
      </c>
      <c r="AN20" s="2">
        <f t="shared" si="4"/>
        <v>0.74101110900635614</v>
      </c>
      <c r="AQ20" s="2">
        <f t="shared" si="6"/>
        <v>0.28712211643242219</v>
      </c>
      <c r="AR20" s="2">
        <f t="shared" si="6"/>
        <v>8.1738548778777176E-2</v>
      </c>
      <c r="AS20" s="2">
        <f t="shared" si="6"/>
        <v>2.5197558779647782E-2</v>
      </c>
      <c r="AT20" s="2">
        <f t="shared" si="6"/>
        <v>0.18185265498436859</v>
      </c>
      <c r="AU20" s="2">
        <f t="shared" si="6"/>
        <v>0.1651002300311403</v>
      </c>
      <c r="AX20" s="2">
        <f>IF(ISERROR(AQ20*100000000/'Calc-Units'!$E$23)," ",AQ20*100000000/'Calc-Units'!$E$23)</f>
        <v>9.777724542474242E-4</v>
      </c>
      <c r="AY20" s="2">
        <f>IF(ISERROR(AR20*100000000/'Calc-Units'!$D$23)," ",AR20*100000000/'Calc-Units'!$D$23)</f>
        <v>2.8495526764893729E-4</v>
      </c>
      <c r="AZ20" s="2">
        <f>IF(ISERROR(AS20*100000000/'Calc-Units'!$C$23)," ",AS20*100000000/'Calc-Units'!$C$23)</f>
        <v>1.3065207290079739E-4</v>
      </c>
      <c r="BA20" s="2">
        <f>IF(ISERROR(AT20*100000000/'Calc-Units'!$C$23)," ",AT20*100000000/'Calc-Units'!$C$23)</f>
        <v>9.4292572324156695E-4</v>
      </c>
    </row>
    <row r="21" spans="1:53">
      <c r="C21" s="2" t="s">
        <v>559</v>
      </c>
      <c r="D21" s="2">
        <f>'RRP 1.3'!R$12</f>
        <v>6.1510443854799997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6.1510443854799997</v>
      </c>
      <c r="K21" s="2" t="s">
        <v>851</v>
      </c>
      <c r="L21" s="2">
        <f>IF(ISERROR(VLOOKUP($K21,'Calc-Drivers'!$B$17:$G$27,L$43,FALSE))," ",VLOOKUP($K21,'Calc-Drivers'!$B$17:$G$27,L$43,FALSE))</f>
        <v>0.38747343048261829</v>
      </c>
      <c r="M21" s="2">
        <f>IF(ISERROR(VLOOKUP($K21,'Calc-Drivers'!$B$17:$G$27,M$43,FALSE))," ",VLOOKUP($K21,'Calc-Drivers'!$B$17:$G$27,M$43,FALSE))</f>
        <v>0.11030677919037249</v>
      </c>
      <c r="N21" s="2">
        <f>IF(ISERROR(VLOOKUP($K21,'Calc-Drivers'!$B$17:$G$27,N$43,FALSE))," ",VLOOKUP($K21,'Calc-Drivers'!$B$17:$G$27,N$43,FALSE))</f>
        <v>3.4004292882242937E-2</v>
      </c>
      <c r="O21" s="2">
        <f>IF(ISERROR(VLOOKUP($K21,'Calc-Drivers'!$B$17:$G$27,O$43,FALSE))," ",VLOOKUP($K21,'Calc-Drivers'!$B$17:$G$27,O$43,FALSE))</f>
        <v>0.2454115097251649</v>
      </c>
      <c r="P21" s="2">
        <f>IF(ISERROR(VLOOKUP($K21,'Calc-Drivers'!$B$17:$G$27,P$43,FALSE))," ",VLOOKUP($K21,'Calc-Drivers'!$B$17:$G$27,P$43,FALSE))</f>
        <v>0.22280398771960128</v>
      </c>
      <c r="S21" s="2">
        <f t="shared" si="0"/>
        <v>2.3833662690927842</v>
      </c>
      <c r="T21" s="2">
        <f t="shared" si="0"/>
        <v>0.67850189481932277</v>
      </c>
      <c r="U21" s="2">
        <f t="shared" si="0"/>
        <v>0.20916191481553792</v>
      </c>
      <c r="V21" s="2">
        <f t="shared" si="0"/>
        <v>1.5095370890271458</v>
      </c>
      <c r="W21" s="2">
        <f t="shared" si="0"/>
        <v>1.3704772177252083</v>
      </c>
      <c r="Z21" s="2">
        <f t="shared" si="1"/>
        <v>2.3833662690927842</v>
      </c>
      <c r="AA21" s="2">
        <f t="shared" si="1"/>
        <v>0.67850189481932277</v>
      </c>
      <c r="AB21" s="2">
        <f t="shared" si="1"/>
        <v>0.20916191481553792</v>
      </c>
      <c r="AC21" s="2">
        <f t="shared" si="2"/>
        <v>1.5095370890271458</v>
      </c>
      <c r="AD21" s="2">
        <f t="shared" si="2"/>
        <v>1.3704772177252083</v>
      </c>
      <c r="AG21" s="2">
        <f>IF(ISERROR(Z21*100000000/'Calc-Units'!$E$23)," ",Z21*100000000/'Calc-Units'!$E$23)</f>
        <v>8.1163719300246431E-3</v>
      </c>
      <c r="AH21" s="2">
        <f>IF(ISERROR(AA21*100000000/'Calc-Units'!$D$23)," ",AA21*100000000/'Calc-Units'!$D$23)</f>
        <v>2.3653795170969715E-3</v>
      </c>
      <c r="AI21" s="2">
        <f>IF(ISERROR(AB21*100000000/'Calc-Units'!$C$23)," ",AB21*100000000/'Calc-Units'!$C$23)</f>
        <v>1.0845271949369384E-3</v>
      </c>
      <c r="AJ21" s="2">
        <f>IF(ISERROR(AC21*100000000/'Calc-Units'!$C$23)," ",AC21*100000000/'Calc-Units'!$C$23)</f>
        <v>7.8271133932756708E-3</v>
      </c>
      <c r="AL21" s="2">
        <v>0.52569999999999995</v>
      </c>
      <c r="AM21" s="2">
        <f t="shared" si="3"/>
        <v>3.2336040334468357</v>
      </c>
      <c r="AN21" s="2">
        <f t="shared" si="4"/>
        <v>2.917440352033164</v>
      </c>
      <c r="AQ21" s="2">
        <f t="shared" si="6"/>
        <v>1.1304306214307076</v>
      </c>
      <c r="AR21" s="2">
        <f t="shared" si="6"/>
        <v>0.32181344871280482</v>
      </c>
      <c r="AS21" s="2">
        <f t="shared" si="6"/>
        <v>9.9205496197009649E-2</v>
      </c>
      <c r="AT21" s="2">
        <f t="shared" si="6"/>
        <v>0.71597344132557528</v>
      </c>
      <c r="AU21" s="2">
        <f t="shared" si="6"/>
        <v>0.65001734436706637</v>
      </c>
      <c r="AX21" s="2">
        <f>IF(ISERROR(AQ21*100000000/'Calc-Units'!$E$23)," ",AQ21*100000000/'Calc-Units'!$E$23)</f>
        <v>3.8495952064106879E-3</v>
      </c>
      <c r="AY21" s="2">
        <f>IF(ISERROR(AR21*100000000/'Calc-Units'!$D$23)," ",AR21*100000000/'Calc-Units'!$D$23)</f>
        <v>1.1218995049590936E-3</v>
      </c>
      <c r="AZ21" s="2">
        <f>IF(ISERROR(AS21*100000000/'Calc-Units'!$C$23)," ",AS21*100000000/'Calc-Units'!$C$23)</f>
        <v>5.1439124855858984E-4</v>
      </c>
      <c r="BA21" s="2">
        <f>IF(ISERROR(AT21*100000000/'Calc-Units'!$C$23)," ",AT21*100000000/'Calc-Units'!$C$23)</f>
        <v>3.7123998824306506E-3</v>
      </c>
    </row>
    <row r="22" spans="1:53">
      <c r="C22" s="2" t="s">
        <v>560</v>
      </c>
      <c r="D22" s="2">
        <f>'RRP 1.3'!S$12</f>
        <v>10.240069047105548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10.240069047105548</v>
      </c>
      <c r="K22" s="2" t="s">
        <v>853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5.3832042980633856</v>
      </c>
      <c r="AN22" s="2">
        <f t="shared" si="4"/>
        <v>4.8568647490421624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561</v>
      </c>
      <c r="D23" s="2">
        <f>'RRP 1.3'!T$12</f>
        <v>4.5836090382398558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4.5836090382398558</v>
      </c>
      <c r="K23" s="2" t="s">
        <v>853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2.409603271402692</v>
      </c>
      <c r="AN23" s="2">
        <f t="shared" si="4"/>
        <v>2.1740057668371637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562</v>
      </c>
      <c r="D24" s="2">
        <f>'RRP 1.3'!U$12</f>
        <v>1.4397993171236436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1.4397993171236436</v>
      </c>
      <c r="K24" s="2" t="s">
        <v>851</v>
      </c>
      <c r="L24" s="2">
        <f>IF(ISERROR(VLOOKUP($K24,'Calc-Drivers'!$B$17:$G$27,L$43,FALSE))," ",VLOOKUP($K24,'Calc-Drivers'!$B$17:$G$27,L$43,FALSE))</f>
        <v>0.38747343048261829</v>
      </c>
      <c r="M24" s="2">
        <f>IF(ISERROR(VLOOKUP($K24,'Calc-Drivers'!$B$17:$G$27,M$43,FALSE))," ",VLOOKUP($K24,'Calc-Drivers'!$B$17:$G$27,M$43,FALSE))</f>
        <v>0.11030677919037249</v>
      </c>
      <c r="N24" s="2">
        <f>IF(ISERROR(VLOOKUP($K24,'Calc-Drivers'!$B$17:$G$27,N$43,FALSE))," ",VLOOKUP($K24,'Calc-Drivers'!$B$17:$G$27,N$43,FALSE))</f>
        <v>3.4004292882242937E-2</v>
      </c>
      <c r="O24" s="2">
        <f>IF(ISERROR(VLOOKUP($K24,'Calc-Drivers'!$B$17:$G$27,O$43,FALSE))," ",VLOOKUP($K24,'Calc-Drivers'!$B$17:$G$27,O$43,FALSE))</f>
        <v>0.2454115097251649</v>
      </c>
      <c r="P24" s="2">
        <f>IF(ISERROR(VLOOKUP($K24,'Calc-Drivers'!$B$17:$G$27,P$43,FALSE))," ",VLOOKUP($K24,'Calc-Drivers'!$B$17:$G$27,P$43,FALSE))</f>
        <v>0.22280398771960128</v>
      </c>
      <c r="S24" s="2">
        <f t="shared" si="0"/>
        <v>0.55788398061242939</v>
      </c>
      <c r="T24" s="2">
        <f t="shared" si="0"/>
        <v>0.15881962535240685</v>
      </c>
      <c r="U24" s="2">
        <f t="shared" si="0"/>
        <v>4.8959357671125754E-2</v>
      </c>
      <c r="V24" s="2">
        <f t="shared" si="0"/>
        <v>0.35334332411657488</v>
      </c>
      <c r="W24" s="2">
        <f t="shared" si="0"/>
        <v>0.3207930293711066</v>
      </c>
      <c r="Z24" s="2">
        <f t="shared" si="1"/>
        <v>0.55788398061242939</v>
      </c>
      <c r="AA24" s="2">
        <f t="shared" si="1"/>
        <v>0.15881962535240685</v>
      </c>
      <c r="AB24" s="2">
        <f t="shared" si="1"/>
        <v>4.8959357671125754E-2</v>
      </c>
      <c r="AC24" s="2">
        <f t="shared" si="2"/>
        <v>0.35334332411657488</v>
      </c>
      <c r="AD24" s="2">
        <f t="shared" si="2"/>
        <v>0.3207930293711066</v>
      </c>
      <c r="AG24" s="2">
        <f>IF(ISERROR(Z24*100000000/'Calc-Units'!$E$23)," ",Z24*100000000/'Calc-Units'!$E$23)</f>
        <v>1.899831318069585E-3</v>
      </c>
      <c r="AH24" s="2">
        <f>IF(ISERROR(AA24*100000000/'Calc-Units'!$D$23)," ",AA24*100000000/'Calc-Units'!$D$23)</f>
        <v>5.5367375034617145E-4</v>
      </c>
      <c r="AI24" s="2">
        <f>IF(ISERROR(AB24*100000000/'Calc-Units'!$C$23)," ",AB24*100000000/'Calc-Units'!$C$23)</f>
        <v>2.538595751899085E-4</v>
      </c>
      <c r="AJ24" s="2">
        <f>IF(ISERROR(AC24*100000000/'Calc-Units'!$C$23)," ",AC24*100000000/'Calc-Units'!$C$23)</f>
        <v>1.8321234269240635E-3</v>
      </c>
      <c r="AL24" s="2">
        <v>0.52569999999999995</v>
      </c>
      <c r="AM24" s="2">
        <f t="shared" si="3"/>
        <v>0.75690250101189938</v>
      </c>
      <c r="AN24" s="2">
        <f t="shared" si="4"/>
        <v>0.68289681611174424</v>
      </c>
      <c r="AQ24" s="2">
        <f t="shared" si="6"/>
        <v>0.26460437200447529</v>
      </c>
      <c r="AR24" s="2">
        <f t="shared" si="6"/>
        <v>7.5328148304646569E-2</v>
      </c>
      <c r="AS24" s="2">
        <f t="shared" si="6"/>
        <v>2.3221423343414947E-2</v>
      </c>
      <c r="AT24" s="2">
        <f t="shared" si="6"/>
        <v>0.16759073862849147</v>
      </c>
      <c r="AU24" s="2">
        <f t="shared" si="6"/>
        <v>0.15215213383071588</v>
      </c>
      <c r="AX24" s="2">
        <f>IF(ISERROR(AQ24*100000000/'Calc-Units'!$E$23)," ",AQ24*100000000/'Calc-Units'!$E$23)</f>
        <v>9.0108999416040438E-4</v>
      </c>
      <c r="AY24" s="2">
        <f>IF(ISERROR(AR24*100000000/'Calc-Units'!$D$23)," ",AR24*100000000/'Calc-Units'!$D$23)</f>
        <v>2.6260745978918919E-4</v>
      </c>
      <c r="AZ24" s="2">
        <f>IF(ISERROR(AS24*100000000/'Calc-Units'!$C$23)," ",AS24*100000000/'Calc-Units'!$C$23)</f>
        <v>1.2040559651257363E-4</v>
      </c>
      <c r="BA24" s="2">
        <f>IF(ISERROR(AT24*100000000/'Calc-Units'!$C$23)," ",AT24*100000000/'Calc-Units'!$C$23)</f>
        <v>8.6897614139008327E-4</v>
      </c>
    </row>
    <row r="25" spans="1:53">
      <c r="C25" s="2" t="s">
        <v>563</v>
      </c>
      <c r="D25" s="2">
        <f>'RRP 1.3'!V$12</f>
        <v>2.0706365899867683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2.0706365899867683</v>
      </c>
      <c r="K25" s="2" t="s">
        <v>851</v>
      </c>
      <c r="L25" s="2">
        <f>IF(ISERROR(VLOOKUP($K25,'Calc-Drivers'!$B$17:$G$27,L$43,FALSE))," ",VLOOKUP($K25,'Calc-Drivers'!$B$17:$G$27,L$43,FALSE))</f>
        <v>0.38747343048261829</v>
      </c>
      <c r="M25" s="2">
        <f>IF(ISERROR(VLOOKUP($K25,'Calc-Drivers'!$B$17:$G$27,M$43,FALSE))," ",VLOOKUP($K25,'Calc-Drivers'!$B$17:$G$27,M$43,FALSE))</f>
        <v>0.11030677919037249</v>
      </c>
      <c r="N25" s="2">
        <f>IF(ISERROR(VLOOKUP($K25,'Calc-Drivers'!$B$17:$G$27,N$43,FALSE))," ",VLOOKUP($K25,'Calc-Drivers'!$B$17:$G$27,N$43,FALSE))</f>
        <v>3.4004292882242937E-2</v>
      </c>
      <c r="O25" s="2">
        <f>IF(ISERROR(VLOOKUP($K25,'Calc-Drivers'!$B$17:$G$27,O$43,FALSE))," ",VLOOKUP($K25,'Calc-Drivers'!$B$17:$G$27,O$43,FALSE))</f>
        <v>0.2454115097251649</v>
      </c>
      <c r="P25" s="2">
        <f>IF(ISERROR(VLOOKUP($K25,'Calc-Drivers'!$B$17:$G$27,P$43,FALSE))," ",VLOOKUP($K25,'Calc-Drivers'!$B$17:$G$27,P$43,FALSE))</f>
        <v>0.22280398771960128</v>
      </c>
      <c r="S25" s="2">
        <f t="shared" si="0"/>
        <v>0.8023166628050038</v>
      </c>
      <c r="T25" s="2">
        <f t="shared" si="0"/>
        <v>0.22840525311517629</v>
      </c>
      <c r="U25" s="2">
        <f t="shared" si="0"/>
        <v>7.0410533058598845E-2</v>
      </c>
      <c r="V25" s="2">
        <f t="shared" si="0"/>
        <v>0.50815805164082006</v>
      </c>
      <c r="W25" s="2">
        <f t="shared" si="0"/>
        <v>0.46134608936716898</v>
      </c>
      <c r="Z25" s="2">
        <f t="shared" si="1"/>
        <v>0.8023166628050038</v>
      </c>
      <c r="AA25" s="2">
        <f t="shared" si="1"/>
        <v>0.22840525311517629</v>
      </c>
      <c r="AB25" s="2">
        <f t="shared" si="1"/>
        <v>7.0410533058598845E-2</v>
      </c>
      <c r="AC25" s="2">
        <f t="shared" si="2"/>
        <v>0.50815805164082006</v>
      </c>
      <c r="AD25" s="2">
        <f t="shared" si="2"/>
        <v>0.46134608936716898</v>
      </c>
      <c r="AG25" s="2">
        <f>IF(ISERROR(Z25*100000000/'Calc-Units'!$E$23)," ",Z25*100000000/'Calc-Units'!$E$23)</f>
        <v>2.7322281620861823E-3</v>
      </c>
      <c r="AH25" s="2">
        <f>IF(ISERROR(AA25*100000000/'Calc-Units'!$D$23)," ",AA25*100000000/'Calc-Units'!$D$23)</f>
        <v>7.9626175172267373E-4</v>
      </c>
      <c r="AI25" s="2">
        <f>IF(ISERROR(AB25*100000000/'Calc-Units'!$C$23)," ",AB25*100000000/'Calc-Units'!$C$23)</f>
        <v>3.6508624421133901E-4</v>
      </c>
      <c r="AJ25" s="2">
        <f>IF(ISERROR(AC25*100000000/'Calc-Units'!$C$23)," ",AC25*100000000/'Calc-Units'!$C$23)</f>
        <v>2.6348545662180861E-3</v>
      </c>
      <c r="AL25" s="2">
        <v>0.52569999999999995</v>
      </c>
      <c r="AM25" s="2">
        <f t="shared" si="3"/>
        <v>1.0885336553560438</v>
      </c>
      <c r="AN25" s="2">
        <f t="shared" si="4"/>
        <v>0.98210293463072429</v>
      </c>
      <c r="AQ25" s="2">
        <f t="shared" si="6"/>
        <v>0.38053879316841333</v>
      </c>
      <c r="AR25" s="2">
        <f t="shared" si="6"/>
        <v>0.10833261155252813</v>
      </c>
      <c r="AS25" s="2">
        <f t="shared" si="6"/>
        <v>3.3395715829693438E-2</v>
      </c>
      <c r="AT25" s="2">
        <f t="shared" si="6"/>
        <v>0.241019363893241</v>
      </c>
      <c r="AU25" s="2">
        <f t="shared" si="6"/>
        <v>0.21881645018684828</v>
      </c>
      <c r="AX25" s="2">
        <f>IF(ISERROR(AQ25*100000000/'Calc-Units'!$E$23)," ",AQ25*100000000/'Calc-Units'!$E$23)</f>
        <v>1.2958958172774764E-3</v>
      </c>
      <c r="AY25" s="2">
        <f>IF(ISERROR(AR25*100000000/'Calc-Units'!$D$23)," ",AR25*100000000/'Calc-Units'!$D$23)</f>
        <v>3.7766694884206414E-4</v>
      </c>
      <c r="AZ25" s="2">
        <f>IF(ISERROR(AS25*100000000/'Calc-Units'!$C$23)," ",AS25*100000000/'Calc-Units'!$C$23)</f>
        <v>1.7316040562943814E-4</v>
      </c>
      <c r="BA25" s="2">
        <f>IF(ISERROR(AT25*100000000/'Calc-Units'!$C$23)," ",AT25*100000000/'Calc-Units'!$C$23)</f>
        <v>1.2497115207572383E-3</v>
      </c>
    </row>
    <row r="26" spans="1:53">
      <c r="C26" s="2" t="s">
        <v>564</v>
      </c>
      <c r="D26" s="2">
        <f>'RRP 1.3'!W$12</f>
        <v>7.5444930721556567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7.5444930721556567</v>
      </c>
      <c r="K26" s="2" t="s">
        <v>851</v>
      </c>
      <c r="L26" s="2">
        <f>IF(ISERROR(VLOOKUP($K26,'Calc-Drivers'!$B$17:$G$27,L$43,FALSE))," ",VLOOKUP($K26,'Calc-Drivers'!$B$17:$G$27,L$43,FALSE))</f>
        <v>0.38747343048261829</v>
      </c>
      <c r="M26" s="2">
        <f>IF(ISERROR(VLOOKUP($K26,'Calc-Drivers'!$B$17:$G$27,M$43,FALSE))," ",VLOOKUP($K26,'Calc-Drivers'!$B$17:$G$27,M$43,FALSE))</f>
        <v>0.11030677919037249</v>
      </c>
      <c r="N26" s="2">
        <f>IF(ISERROR(VLOOKUP($K26,'Calc-Drivers'!$B$17:$G$27,N$43,FALSE))," ",VLOOKUP($K26,'Calc-Drivers'!$B$17:$G$27,N$43,FALSE))</f>
        <v>3.4004292882242937E-2</v>
      </c>
      <c r="O26" s="2">
        <f>IF(ISERROR(VLOOKUP($K26,'Calc-Drivers'!$B$17:$G$27,O$43,FALSE))," ",VLOOKUP($K26,'Calc-Drivers'!$B$17:$G$27,O$43,FALSE))</f>
        <v>0.2454115097251649</v>
      </c>
      <c r="P26" s="2">
        <f>IF(ISERROR(VLOOKUP($K26,'Calc-Drivers'!$B$17:$G$27,P$43,FALSE))," ",VLOOKUP($K26,'Calc-Drivers'!$B$17:$G$27,P$43,FALSE))</f>
        <v>0.22280398771960128</v>
      </c>
      <c r="S26" s="2">
        <f t="shared" si="0"/>
        <v>2.9232906119205002</v>
      </c>
      <c r="T26" s="2">
        <f t="shared" si="0"/>
        <v>0.83220873141356899</v>
      </c>
      <c r="U26" s="2">
        <f t="shared" si="0"/>
        <v>0.25654515207363376</v>
      </c>
      <c r="V26" s="2">
        <f t="shared" si="0"/>
        <v>1.8515054349487672</v>
      </c>
      <c r="W26" s="2">
        <f t="shared" si="0"/>
        <v>1.6809431417991858</v>
      </c>
      <c r="Z26" s="2">
        <f t="shared" si="1"/>
        <v>2.9232906119205002</v>
      </c>
      <c r="AA26" s="2">
        <f t="shared" si="1"/>
        <v>0.83220873141356899</v>
      </c>
      <c r="AB26" s="2">
        <f t="shared" si="1"/>
        <v>0.25654515207363376</v>
      </c>
      <c r="AC26" s="2">
        <f t="shared" si="2"/>
        <v>1.8515054349487672</v>
      </c>
      <c r="AD26" s="2">
        <f t="shared" si="2"/>
        <v>1.6809431417991858</v>
      </c>
      <c r="AG26" s="2">
        <f>IF(ISERROR(Z26*100000000/'Calc-Units'!$E$23)," ",Z26*100000000/'Calc-Units'!$E$23)</f>
        <v>9.9550430723044023E-3</v>
      </c>
      <c r="AH26" s="2">
        <f>IF(ISERROR(AA26*100000000/'Calc-Units'!$D$23)," ",AA26*100000000/'Calc-Units'!$D$23)</f>
        <v>2.9012291671773401E-3</v>
      </c>
      <c r="AI26" s="2">
        <f>IF(ISERROR(AB26*100000000/'Calc-Units'!$C$23)," ",AB26*100000000/'Calc-Units'!$C$23)</f>
        <v>1.3302144149830643E-3</v>
      </c>
      <c r="AJ26" s="2">
        <f>IF(ISERROR(AC26*100000000/'Calc-Units'!$C$23)," ",AC26*100000000/'Calc-Units'!$C$23)</f>
        <v>9.6002563255665613E-3</v>
      </c>
      <c r="AL26" s="2">
        <v>0.52569999999999995</v>
      </c>
      <c r="AM26" s="2">
        <f t="shared" si="3"/>
        <v>3.9661400080322284</v>
      </c>
      <c r="AN26" s="2">
        <f t="shared" si="4"/>
        <v>3.5783530641234282</v>
      </c>
      <c r="AQ26" s="2">
        <f t="shared" si="6"/>
        <v>1.3865167372338933</v>
      </c>
      <c r="AR26" s="2">
        <f t="shared" si="6"/>
        <v>0.39471660130945579</v>
      </c>
      <c r="AS26" s="2">
        <f t="shared" si="6"/>
        <v>0.12167936562852451</v>
      </c>
      <c r="AT26" s="2">
        <f t="shared" si="6"/>
        <v>0.87816902779620043</v>
      </c>
      <c r="AU26" s="2">
        <f t="shared" si="6"/>
        <v>0.79727133215535395</v>
      </c>
      <c r="AX26" s="2">
        <f>IF(ISERROR(AQ26*100000000/'Calc-Units'!$E$23)," ",AQ26*100000000/'Calc-Units'!$E$23)</f>
        <v>4.7216769291939771E-3</v>
      </c>
      <c r="AY26" s="2">
        <f>IF(ISERROR(AR26*100000000/'Calc-Units'!$D$23)," ",AR26*100000000/'Calc-Units'!$D$23)</f>
        <v>1.3760529939922125E-3</v>
      </c>
      <c r="AZ26" s="2">
        <f>IF(ISERROR(AS26*100000000/'Calc-Units'!$C$23)," ",AS26*100000000/'Calc-Units'!$C$23)</f>
        <v>6.3092069702646745E-4</v>
      </c>
      <c r="BA26" s="2">
        <f>IF(ISERROR(AT26*100000000/'Calc-Units'!$C$23)," ",AT26*100000000/'Calc-Units'!$C$23)</f>
        <v>4.5534015752162213E-3</v>
      </c>
    </row>
    <row r="27" spans="1:53">
      <c r="C27" s="2" t="s">
        <v>565</v>
      </c>
      <c r="D27" s="2">
        <f>'RRP 1.3'!X$12</f>
        <v>1.6451252035656032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1.6451252035656032</v>
      </c>
      <c r="K27" s="2" t="s">
        <v>851</v>
      </c>
      <c r="L27" s="2">
        <f>IF(ISERROR(VLOOKUP($K27,'Calc-Drivers'!$B$17:$G$27,L$43,FALSE))," ",VLOOKUP($K27,'Calc-Drivers'!$B$17:$G$27,L$43,FALSE))</f>
        <v>0.38747343048261829</v>
      </c>
      <c r="M27" s="2">
        <f>IF(ISERROR(VLOOKUP($K27,'Calc-Drivers'!$B$17:$G$27,M$43,FALSE))," ",VLOOKUP($K27,'Calc-Drivers'!$B$17:$G$27,M$43,FALSE))</f>
        <v>0.11030677919037249</v>
      </c>
      <c r="N27" s="2">
        <f>IF(ISERROR(VLOOKUP($K27,'Calc-Drivers'!$B$17:$G$27,N$43,FALSE))," ",VLOOKUP($K27,'Calc-Drivers'!$B$17:$G$27,N$43,FALSE))</f>
        <v>3.4004292882242937E-2</v>
      </c>
      <c r="O27" s="2">
        <f>IF(ISERROR(VLOOKUP($K27,'Calc-Drivers'!$B$17:$G$27,O$43,FALSE))," ",VLOOKUP($K27,'Calc-Drivers'!$B$17:$G$27,O$43,FALSE))</f>
        <v>0.2454115097251649</v>
      </c>
      <c r="P27" s="2">
        <f>IF(ISERROR(VLOOKUP($K27,'Calc-Drivers'!$B$17:$G$27,P$43,FALSE))," ",VLOOKUP($K27,'Calc-Drivers'!$B$17:$G$27,P$43,FALSE))</f>
        <v>0.22280398771960128</v>
      </c>
      <c r="S27" s="2">
        <f t="shared" si="0"/>
        <v>0.63744230619898001</v>
      </c>
      <c r="T27" s="2">
        <f t="shared" si="0"/>
        <v>0.18146846257022758</v>
      </c>
      <c r="U27" s="2">
        <f t="shared" si="0"/>
        <v>5.5941319250004305E-2</v>
      </c>
      <c r="V27" s="2">
        <f t="shared" si="0"/>
        <v>0.4037326598939539</v>
      </c>
      <c r="W27" s="2">
        <f t="shared" si="0"/>
        <v>0.3665404556524372</v>
      </c>
      <c r="Z27" s="2">
        <f t="shared" si="1"/>
        <v>0.63744230619898001</v>
      </c>
      <c r="AA27" s="2">
        <f t="shared" si="1"/>
        <v>0.18146846257022758</v>
      </c>
      <c r="AB27" s="2">
        <f t="shared" si="1"/>
        <v>5.5941319250004305E-2</v>
      </c>
      <c r="AC27" s="2">
        <f t="shared" si="2"/>
        <v>0.4037326598939539</v>
      </c>
      <c r="AD27" s="2">
        <f t="shared" si="2"/>
        <v>0.3665404556524372</v>
      </c>
      <c r="AG27" s="2">
        <f>IF(ISERROR(Z27*100000000/'Calc-Units'!$E$23)," ",Z27*100000000/'Calc-Units'!$E$23)</f>
        <v>2.1707611239345612E-3</v>
      </c>
      <c r="AH27" s="2">
        <f>IF(ISERROR(AA27*100000000/'Calc-Units'!$D$23)," ",AA27*100000000/'Calc-Units'!$D$23)</f>
        <v>6.3263166638170831E-4</v>
      </c>
      <c r="AI27" s="2">
        <f>IF(ISERROR(AB27*100000000/'Calc-Units'!$C$23)," ",AB27*100000000/'Calc-Units'!$C$23)</f>
        <v>2.9006180260294671E-4</v>
      </c>
      <c r="AJ27" s="2">
        <f>IF(ISERROR(AC27*100000000/'Calc-Units'!$C$23)," ",AC27*100000000/'Calc-Units'!$C$23)</f>
        <v>2.0933975935598561E-3</v>
      </c>
      <c r="AL27" s="2">
        <v>0.52569999999999995</v>
      </c>
      <c r="AM27" s="2">
        <f t="shared" si="3"/>
        <v>0.86484231951443746</v>
      </c>
      <c r="AN27" s="2">
        <f t="shared" si="4"/>
        <v>0.78028288405116575</v>
      </c>
      <c r="AQ27" s="2">
        <f t="shared" si="6"/>
        <v>0.30233888583017626</v>
      </c>
      <c r="AR27" s="2">
        <f t="shared" si="6"/>
        <v>8.6070491797058959E-2</v>
      </c>
      <c r="AS27" s="2">
        <f t="shared" si="6"/>
        <v>2.6532967720277044E-2</v>
      </c>
      <c r="AT27" s="2">
        <f t="shared" si="6"/>
        <v>0.19149040058770236</v>
      </c>
      <c r="AU27" s="2">
        <f t="shared" si="6"/>
        <v>0.17385013811595099</v>
      </c>
      <c r="AX27" s="2">
        <f>IF(ISERROR(AQ27*100000000/'Calc-Units'!$E$23)," ",AQ27*100000000/'Calc-Units'!$E$23)</f>
        <v>1.0295920010821625E-3</v>
      </c>
      <c r="AY27" s="2">
        <f>IF(ISERROR(AR27*100000000/'Calc-Units'!$D$23)," ",AR27*100000000/'Calc-Units'!$D$23)</f>
        <v>3.000571993648443E-4</v>
      </c>
      <c r="AZ27" s="2">
        <f>IF(ISERROR(AS27*100000000/'Calc-Units'!$C$23)," ",AS27*100000000/'Calc-Units'!$C$23)</f>
        <v>1.3757631297457764E-4</v>
      </c>
      <c r="BA27" s="2">
        <f>IF(ISERROR(AT27*100000000/'Calc-Units'!$C$23)," ",AT27*100000000/'Calc-Units'!$C$23)</f>
        <v>9.9289847862543993E-4</v>
      </c>
    </row>
    <row r="28" spans="1:53" ht="12.75" customHeight="1">
      <c r="A28" s="2" t="s">
        <v>854</v>
      </c>
      <c r="C28" s="2" t="s">
        <v>529</v>
      </c>
      <c r="D28" s="2">
        <f>'RRP 1.3'!Y$12</f>
        <v>1.32151902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1.32151902</v>
      </c>
      <c r="K28" s="2" t="s">
        <v>853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1.32151902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530</v>
      </c>
      <c r="D29" s="2">
        <f>'RRP 1.3'!Z$12</f>
        <v>9.5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9.5</v>
      </c>
      <c r="K29" s="2" t="s">
        <v>853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5.4814999999999996</v>
      </c>
      <c r="AN29" s="2">
        <f t="shared" si="4"/>
        <v>4.0185000000000004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531</v>
      </c>
      <c r="D30" s="2">
        <f>'RRP 1.3'!AA$12</f>
        <v>0.79378199999999999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0.79378199999999999</v>
      </c>
      <c r="K30" s="2" t="s">
        <v>853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0.79378199999999999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532</v>
      </c>
      <c r="D31" s="2">
        <f>'RRP 1.3'!AB$12</f>
        <v>9.751431000299192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9.751431000299192</v>
      </c>
      <c r="K31" s="2" t="s">
        <v>853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9.751431000299192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533</v>
      </c>
      <c r="D32" s="2">
        <f>'RRP 1.3'!AC$12</f>
        <v>-8.3266726846886741E-16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-8.3266726846886741E-16</v>
      </c>
      <c r="K32" s="2" t="s">
        <v>853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-8.3266726846886741E-16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534</v>
      </c>
      <c r="D33" s="2">
        <f>'RRP 1.3'!AD$12</f>
        <v>1.0145090392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1.0145090392</v>
      </c>
      <c r="K33" s="2" t="s">
        <v>853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1.0145090392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535</v>
      </c>
      <c r="D34" s="2">
        <f>'RRP 1.3'!AE$12</f>
        <v>4.3032873328058328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4.3032873328058328</v>
      </c>
      <c r="K34" s="2" t="s">
        <v>853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4.3032873328058328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536</v>
      </c>
      <c r="D35" s="2">
        <f>'RRP 1.3'!AF$12</f>
        <v>41.912756859700004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41.912756859700004</v>
      </c>
      <c r="K35" s="2" t="s">
        <v>853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41.912756859700004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537</v>
      </c>
      <c r="D36" s="2">
        <f>'RRP 1.3'!AG$12</f>
        <v>27.091992000000001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27.091992000000001</v>
      </c>
      <c r="K36" s="2" t="s">
        <v>853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27.091992000000001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538</v>
      </c>
      <c r="D37" s="2">
        <f>'RRP 1.3'!AH$12</f>
        <v>4.4000000000000004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4.4000000000000004</v>
      </c>
      <c r="K37" s="2" t="s">
        <v>853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4.4000000000000004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539</v>
      </c>
      <c r="D38" s="2">
        <f>'RRP 1.3'!AI$12</f>
        <v>-9.5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-9.5</v>
      </c>
      <c r="K38" s="2" t="s">
        <v>853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-9.5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540</v>
      </c>
      <c r="D39" s="2">
        <f>'RRP 1.3'!AJ$12</f>
        <v>2.3542553829179269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2.3542553829179269</v>
      </c>
      <c r="K39" s="2" t="s">
        <v>853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2.3542553829179269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541</v>
      </c>
      <c r="D40" s="2">
        <f>SUM(D7:D39)</f>
        <v>313</v>
      </c>
      <c r="E40" s="2">
        <f>SUM(E7:E39)</f>
        <v>53.713250424537804</v>
      </c>
      <c r="F40" s="2">
        <f>SUM(F7:F39)</f>
        <v>42.327881562471951</v>
      </c>
      <c r="G40" s="2">
        <f>SUM(G7:G39)</f>
        <v>14.977420039431596</v>
      </c>
      <c r="H40" s="2">
        <f>SUM(H7:H39)</f>
        <v>39.698356466782784</v>
      </c>
      <c r="I40" s="2">
        <f t="shared" si="5"/>
        <v>162.28309150677586</v>
      </c>
      <c r="R40" s="2" t="s">
        <v>200</v>
      </c>
      <c r="S40" s="2">
        <f>SUM(S7:S39)</f>
        <v>22.680345714823797</v>
      </c>
      <c r="T40" s="2">
        <f>SUM(T7:T39)</f>
        <v>6.4566901622396715</v>
      </c>
      <c r="U40" s="2">
        <f>SUM(U7:U39)</f>
        <v>1.990405167644103</v>
      </c>
      <c r="V40" s="2">
        <f>SUM(V7:V39)</f>
        <v>14.364902068332313</v>
      </c>
      <c r="Y40" s="2" t="s">
        <v>855</v>
      </c>
      <c r="Z40" s="2">
        <f>SUM(Z41:AD41)</f>
        <v>209.25084638562166</v>
      </c>
      <c r="AF40" s="2" t="s">
        <v>855</v>
      </c>
      <c r="AG40" s="2">
        <f>SUM(AG41:AJ41)</f>
        <v>0.70057751148158021</v>
      </c>
      <c r="AL40" s="2" t="s">
        <v>200</v>
      </c>
      <c r="AM40" s="2">
        <f>SUM(AM7:AM39)</f>
        <v>160.17386441835984</v>
      </c>
      <c r="AN40" s="2">
        <f>SUM(AN7:AN39)</f>
        <v>152.82613558164019</v>
      </c>
      <c r="AP40" s="2" t="s">
        <v>855</v>
      </c>
      <c r="AQ40" s="2">
        <f>SUM(AQ41:AU41)</f>
        <v>58.333232430837903</v>
      </c>
      <c r="AW40" s="2" t="s">
        <v>855</v>
      </c>
      <c r="AX40" s="2">
        <f>SUM(AX41:BA41)</f>
        <v>0.18881944536387713</v>
      </c>
    </row>
    <row r="41" spans="3:53" ht="20.25" customHeight="1">
      <c r="Y41" s="2" t="s">
        <v>856</v>
      </c>
      <c r="Z41" s="2">
        <f>SUM(Z7:Z39)</f>
        <v>76.393596139361605</v>
      </c>
      <c r="AA41" s="2">
        <f>SUM(AA7:AA39)</f>
        <v>48.784571724711611</v>
      </c>
      <c r="AB41" s="2">
        <f>SUM(AB7:AB39)</f>
        <v>16.967825207075705</v>
      </c>
      <c r="AC41" s="2">
        <f>SUM(AC7:AC39)</f>
        <v>35.172486711064494</v>
      </c>
      <c r="AD41" s="2">
        <f>SUM(AD7:AD39)</f>
        <v>31.932366603408244</v>
      </c>
      <c r="AF41" s="2" t="s">
        <v>856</v>
      </c>
      <c r="AG41" s="2">
        <f>SUM(AG7:AG39)</f>
        <v>0.26015256126586361</v>
      </c>
      <c r="AH41" s="2">
        <f>SUM(AH7:AH39)</f>
        <v>0.17007178253895527</v>
      </c>
      <c r="AI41" s="2">
        <f>SUM(AI7:AI39)</f>
        <v>8.7980012480948333E-2</v>
      </c>
      <c r="AJ41" s="2">
        <f>SUM(AJ7:AJ39)</f>
        <v>0.18237315519581299</v>
      </c>
      <c r="AP41" s="2" t="s">
        <v>856</v>
      </c>
      <c r="AQ41" s="2">
        <f>SUM(AQ7:AQ39)</f>
        <v>15.283031293602555</v>
      </c>
      <c r="AR41" s="2">
        <f>SUM(AR7:AR39)</f>
        <v>11.013134277096137</v>
      </c>
      <c r="AS41" s="2">
        <f>SUM(AS7:AS39)</f>
        <v>4.5847328376159702</v>
      </c>
      <c r="AT41" s="2">
        <f>SUM(AT7:AT39)</f>
        <v>14.388927266854708</v>
      </c>
      <c r="AU41" s="2">
        <f>SUM(AU7:AU39)</f>
        <v>13.063406755668533</v>
      </c>
      <c r="AW41" s="2" t="s">
        <v>856</v>
      </c>
      <c r="AX41" s="2">
        <f>SUM(AX7:AX39)</f>
        <v>5.204519666391863E-2</v>
      </c>
      <c r="AY41" s="2">
        <f>SUM(AY7:AY39)</f>
        <v>3.839376490616675E-2</v>
      </c>
      <c r="AZ41" s="2">
        <f>SUM(AZ7:AZ39)</f>
        <v>2.3772336604873854E-2</v>
      </c>
      <c r="BA41" s="2">
        <f>SUM(BA7:BA39)</f>
        <v>7.4608147188917909E-2</v>
      </c>
    </row>
    <row r="42" spans="3:53" ht="20.25" customHeight="1">
      <c r="Y42" s="2" t="s">
        <v>857</v>
      </c>
      <c r="Z42" s="2">
        <f>Z41/$Z$40</f>
        <v>0.36508142002244665</v>
      </c>
      <c r="AA42" s="2">
        <f>AA41/$Z$40</f>
        <v>0.23313918470278536</v>
      </c>
      <c r="AB42" s="2">
        <f>AB41/$Z$40</f>
        <v>8.1088442413304485E-2</v>
      </c>
      <c r="AC42" s="2">
        <f>AC41/$Z$40</f>
        <v>0.1680876675941671</v>
      </c>
      <c r="AD42" s="2">
        <f>AD41/$Z$40</f>
        <v>0.15260328526729641</v>
      </c>
      <c r="AF42" s="2" t="s">
        <v>857</v>
      </c>
      <c r="AG42" s="2">
        <f>AG41/$AG$40</f>
        <v>0.37134015437591394</v>
      </c>
      <c r="AH42" s="2">
        <f>AH41/$AG$40</f>
        <v>0.24275940884726335</v>
      </c>
      <c r="AI42" s="2">
        <f>AI41/$AG$40</f>
        <v>0.12558212480284778</v>
      </c>
      <c r="AJ42" s="2">
        <f>AJ41/$AG$40</f>
        <v>0.26031831197397493</v>
      </c>
      <c r="AP42" s="2" t="s">
        <v>857</v>
      </c>
      <c r="AQ42" s="2">
        <f>AQ41/$AQ$40</f>
        <v>0.26199527536422224</v>
      </c>
      <c r="AR42" s="2">
        <f>AR41/$AQ$40</f>
        <v>0.18879691418015843</v>
      </c>
      <c r="AS42" s="2">
        <f>AS41/$AQ$40</f>
        <v>7.8595556024634902E-2</v>
      </c>
      <c r="AT42" s="2">
        <f>AT41/$AQ$40</f>
        <v>0.24666775124993745</v>
      </c>
      <c r="AU42" s="2">
        <f>AU41/$AQ$40</f>
        <v>0.223944503181047</v>
      </c>
      <c r="AW42" s="2" t="s">
        <v>857</v>
      </c>
      <c r="AX42" s="2">
        <f>AX41/$AX$40</f>
        <v>0.27563472905887132</v>
      </c>
      <c r="AY42" s="2">
        <f>AY41/$AX$40</f>
        <v>0.20333586316905805</v>
      </c>
      <c r="AZ42" s="2">
        <f>AZ41/$AX$40</f>
        <v>0.1258998328221004</v>
      </c>
      <c r="BA42" s="2">
        <f>BA41/$AX$40</f>
        <v>0.39512957494997031</v>
      </c>
    </row>
    <row r="43" spans="3:53">
      <c r="K43" s="2" t="s">
        <v>858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859</v>
      </c>
    </row>
    <row r="45" spans="3:53">
      <c r="Y45" s="2" t="s">
        <v>860</v>
      </c>
    </row>
    <row r="47" spans="3:53">
      <c r="Y47" s="2" t="s">
        <v>861</v>
      </c>
      <c r="Z47" s="2">
        <f>SUMIF(Z7:Z12,"&gt;0",Z7:Z12)+SUMIF(Z28:Z39,"&gt;0",Z28:Z39)</f>
        <v>56.827803698673037</v>
      </c>
      <c r="AA47" s="2">
        <f>SUMIF(AA7:AA12,"&gt;0",AA7:AA12)+SUMIF(AA28:AA39,"&gt;0",AA28:AA39)</f>
        <v>42.982143240738068</v>
      </c>
      <c r="AB47" s="2">
        <f>SUMIF(AB7:AB12,"&gt;0",AB7:AB12)+SUMIF(AB28:AB39,"&gt;0",AB28:AB39)</f>
        <v>15.321927447947681</v>
      </c>
      <c r="AC47" s="2">
        <f>SUMIF(AC7:AC12,"&gt;0",AC7:AC12)+SUMIF(AC28:AC39,"&gt;0",AC28:AC39)</f>
        <v>22.263191880991759</v>
      </c>
      <c r="AD47" s="2">
        <f>SUMIF(AD7:AD12,"&gt;0",AD7:AD12)+SUMIF(AD28:AD39,"&gt;0",AD28:AD39)</f>
        <v>20.212287255828631</v>
      </c>
    </row>
    <row r="48" spans="3:53">
      <c r="Y48" s="2" t="s">
        <v>862</v>
      </c>
      <c r="Z48" s="2">
        <f>SUMIF(Z13:Z28,"&gt;0",Z13:Z28)</f>
        <v>20.382127792300921</v>
      </c>
      <c r="AA48" s="2">
        <f>SUMIF(AA13:AA28,"&gt;0",AA13:AA28)</f>
        <v>5.8024284839735545</v>
      </c>
      <c r="AB48" s="2">
        <f>SUMIF(AB13:AB28,"&gt;0",AB13:AB28)</f>
        <v>1.7887157892334373</v>
      </c>
      <c r="AC48" s="2">
        <f>SUMIF(AC13:AC28,"&gt;0",AC13:AC28)</f>
        <v>12.909294830072731</v>
      </c>
      <c r="AD48" s="2">
        <f>SUMIF(AD13:AD28,"&gt;0",AD13:AD28)</f>
        <v>11.720079347579606</v>
      </c>
    </row>
    <row r="49" spans="25:30">
      <c r="Y49" s="2" t="s">
        <v>863</v>
      </c>
      <c r="Z49" s="2">
        <f>Z47/(Z48+Z47)</f>
        <v>0.73601676107323522</v>
      </c>
      <c r="AA49" s="2">
        <f>AA47/(AA48+AA47)</f>
        <v>0.88106017376320722</v>
      </c>
      <c r="AB49" s="2">
        <f>AB47/(AB48+AB47)</f>
        <v>0.8954618032508217</v>
      </c>
      <c r="AC49" s="2">
        <f>AC47/(AC48+AC47)</f>
        <v>0.63297179024843431</v>
      </c>
      <c r="AD49" s="2">
        <f>AD47/(AD48+AD47)</f>
        <v>0.63297179024843442</v>
      </c>
    </row>
    <row r="50" spans="25:30">
      <c r="Y50" s="2" t="s">
        <v>864</v>
      </c>
      <c r="Z50" s="2">
        <f>Z48/(Z47+Z48)</f>
        <v>0.26398323892676478</v>
      </c>
      <c r="AA50" s="2">
        <f>AA48/(AA47+AA48)</f>
        <v>0.11893982623679276</v>
      </c>
      <c r="AB50" s="2">
        <f>AB48/(AB47+AB48)</f>
        <v>0.10453819674917833</v>
      </c>
      <c r="AC50" s="2">
        <f>AC48/(AC47+AC48)</f>
        <v>0.36702820975156558</v>
      </c>
      <c r="AD50" s="2">
        <f>AD48/(AD47+AD48)</f>
        <v>0.36702820975156558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Mid East in April 17  Status: Finals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865</v>
      </c>
    </row>
    <row r="16" spans="1:9">
      <c r="B16" s="2" t="s">
        <v>866</v>
      </c>
      <c r="C16" s="2" t="s">
        <v>849</v>
      </c>
      <c r="D16" s="2" t="s">
        <v>441</v>
      </c>
      <c r="E16" s="2" t="s">
        <v>525</v>
      </c>
      <c r="F16" s="2" t="s">
        <v>223</v>
      </c>
      <c r="G16" s="2" t="s">
        <v>402</v>
      </c>
      <c r="H16" s="2" t="s">
        <v>200</v>
      </c>
      <c r="I16" s="2" t="s">
        <v>867</v>
      </c>
    </row>
    <row r="17" spans="2:9" ht="15" customHeight="1">
      <c r="B17" s="2" t="s">
        <v>868</v>
      </c>
      <c r="C17" s="2">
        <f>'Calc-Net capex'!H6*SUM('FBPQ NL1'!D10:M13)/SUM('FBPQ NL1'!D10:M16)</f>
        <v>6.0228961772275519E-2</v>
      </c>
      <c r="D17" s="2">
        <f>'Calc-Net capex'!H6*SUM('FBPQ NL1'!D14:M16)/SUM('FBPQ NL1'!D10:M16)</f>
        <v>7.5734364440090088E-2</v>
      </c>
      <c r="E17" s="2">
        <f>'Calc-Net capex'!H7</f>
        <v>5.9749506838939877E-2</v>
      </c>
      <c r="F17" s="2">
        <f>'Calc-Net capex'!H8</f>
        <v>0.27202086792538993</v>
      </c>
      <c r="G17" s="2">
        <f>'Calc-Net capex'!H9+'Calc-Net capex'!H10</f>
        <v>0.53226629902330469</v>
      </c>
      <c r="I17" s="2" t="s">
        <v>869</v>
      </c>
    </row>
    <row r="18" spans="2:9" ht="15" customHeight="1">
      <c r="B18" s="2" t="s">
        <v>870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871</v>
      </c>
    </row>
    <row r="19" spans="2:9" ht="15" customHeight="1">
      <c r="B19" s="2" t="s">
        <v>872</v>
      </c>
      <c r="D19" s="2">
        <f>'RRP 5.1'!$G$64/'RRP 5.1'!$G$65</f>
        <v>0.53646332525229745</v>
      </c>
      <c r="E19" s="2">
        <v>0</v>
      </c>
      <c r="F19" s="2">
        <f>'RRP 5.1'!$G$63/'RRP 5.1'!$G$65</f>
        <v>0.3647882956531544</v>
      </c>
      <c r="G19" s="2">
        <f>('RRP 5.1'!$G$61+'RRP 5.1'!$G$62)/'RRP 5.1'!$G$65</f>
        <v>9.8748379094548117E-2</v>
      </c>
      <c r="H19" s="2">
        <f t="shared" si="0"/>
        <v>1</v>
      </c>
      <c r="I19" s="2" t="s">
        <v>873</v>
      </c>
    </row>
    <row r="20" spans="2:9" ht="15" customHeight="1">
      <c r="B20" s="2" t="s">
        <v>874</v>
      </c>
      <c r="D20" s="2">
        <f>0/'RRP 5.1'!$G$73</f>
        <v>0</v>
      </c>
      <c r="E20" s="2">
        <v>0</v>
      </c>
      <c r="F20" s="2">
        <f>('RRP 5.1'!$G$71+'RRP 5.1'!$G$72)/'RRP 5.1'!$G$73</f>
        <v>0.99025499431541331</v>
      </c>
      <c r="G20" s="2">
        <f>('RRP 5.1'!$G$68+'RRP 5.1'!$G$69+'RRP 5.1'!$G$70)/'RRP 5.1'!$G$73</f>
        <v>9.7450056845866488E-3</v>
      </c>
      <c r="H20" s="2">
        <f t="shared" si="0"/>
        <v>1</v>
      </c>
      <c r="I20" s="2" t="s">
        <v>873</v>
      </c>
    </row>
    <row r="21" spans="2:9" ht="15" customHeight="1">
      <c r="B21" s="2" t="s">
        <v>538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871</v>
      </c>
    </row>
    <row r="22" spans="2:9" ht="15" customHeight="1">
      <c r="B22" s="2" t="s">
        <v>851</v>
      </c>
      <c r="C22" s="2">
        <f>'Calc-MEAV'!H6*(('Data-MEAV'!I21+'Data-MEAV'!I30)/'Calc-MEAV'!G6)</f>
        <v>0.22280398771960128</v>
      </c>
      <c r="D22" s="2">
        <f>'Calc-MEAV'!H6*(('Calc-MEAV'!G6-'Data-MEAV'!I21-'Data-MEAV'!I30)/'Calc-MEAV'!G6)</f>
        <v>0.2454115097251649</v>
      </c>
      <c r="E22" s="2">
        <f>'Calc-MEAV'!H7</f>
        <v>3.4004292882242937E-2</v>
      </c>
      <c r="F22" s="2">
        <f>'Calc-MEAV'!H8</f>
        <v>0.11030677919037249</v>
      </c>
      <c r="G22" s="2">
        <f>'Calc-MEAV'!H9+'Calc-MEAV'!H10</f>
        <v>0.38747343048261829</v>
      </c>
      <c r="H22" s="2">
        <f t="shared" si="0"/>
        <v>0.99999999999999989</v>
      </c>
      <c r="I22" s="2" t="s">
        <v>875</v>
      </c>
    </row>
    <row r="23" spans="2:9" ht="15" customHeight="1"/>
    <row r="24" spans="2:9" ht="15" customHeight="1"/>
    <row r="25" spans="2:9" ht="15" customHeight="1">
      <c r="B25" s="2" t="s">
        <v>876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871</v>
      </c>
    </row>
    <row r="26" spans="2:9" ht="15" customHeight="1">
      <c r="B26" s="2" t="s">
        <v>877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871</v>
      </c>
    </row>
    <row r="27" spans="2:9" ht="15" customHeight="1">
      <c r="B27" s="2" t="s">
        <v>878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871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Mid East in April 17  Status: Finals</v>
      </c>
    </row>
    <row r="3" spans="1:19">
      <c r="A3" s="2" t="s">
        <v>879</v>
      </c>
    </row>
    <row r="6" spans="1:19">
      <c r="B6" s="2" t="s">
        <v>880</v>
      </c>
      <c r="L6" s="2" t="s">
        <v>881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947.9</v>
      </c>
      <c r="P9" s="2">
        <f>'Allowed revenue -DPCR4'!E3</f>
        <v>989.2</v>
      </c>
      <c r="Q9" s="2">
        <f>'Allowed revenue -DPCR4'!F3</f>
        <v>1030.2</v>
      </c>
      <c r="R9" s="2">
        <f>'Allowed revenue -DPCR4'!G3</f>
        <v>1064.8</v>
      </c>
      <c r="S9" s="2">
        <f>'Allowed revenue -DPCR4'!H3</f>
        <v>1093.2</v>
      </c>
    </row>
    <row r="10" spans="1:19">
      <c r="B10" s="2" t="s">
        <v>882</v>
      </c>
      <c r="D10" s="2">
        <f>O35</f>
        <v>241.23880850362539</v>
      </c>
      <c r="E10" s="2">
        <f>P35</f>
        <v>243.40995778015801</v>
      </c>
      <c r="G10" s="2">
        <f>Q35</f>
        <v>246.0635846736979</v>
      </c>
      <c r="H10" s="2">
        <f>R35</f>
        <v>249.19968918424502</v>
      </c>
      <c r="I10" s="2">
        <f>S35</f>
        <v>251.85331607778491</v>
      </c>
      <c r="L10" s="2" t="s">
        <v>48</v>
      </c>
      <c r="O10" s="2">
        <f>'Allowed revenue -DPCR4'!D4</f>
        <v>117.8</v>
      </c>
      <c r="P10" s="2">
        <f>'Allowed revenue -DPCR4'!E4</f>
        <v>117.5</v>
      </c>
      <c r="Q10" s="2">
        <f>'Allowed revenue -DPCR4'!F4</f>
        <v>117</v>
      </c>
      <c r="R10" s="2">
        <f>'Allowed revenue -DPCR4'!G4</f>
        <v>116.6</v>
      </c>
      <c r="S10" s="2">
        <f>'Allowed revenue -DPCR4'!H4</f>
        <v>116.4</v>
      </c>
    </row>
    <row r="11" spans="1:19">
      <c r="L11" s="2" t="s">
        <v>49</v>
      </c>
      <c r="O11" s="2">
        <f>'Allowed revenue -DPCR4'!D5</f>
        <v>-76.5</v>
      </c>
      <c r="P11" s="2">
        <f>'Allowed revenue -DPCR4'!E5</f>
        <v>-76.5</v>
      </c>
      <c r="Q11" s="2">
        <f>'Allowed revenue -DPCR4'!F5</f>
        <v>-82.4</v>
      </c>
      <c r="R11" s="2">
        <f>'Allowed revenue -DPCR4'!G5</f>
        <v>-88.2</v>
      </c>
      <c r="S11" s="2">
        <f>'Allowed revenue -DPCR4'!H5</f>
        <v>-94.1</v>
      </c>
    </row>
    <row r="12" spans="1:19">
      <c r="B12" s="2" t="s">
        <v>883</v>
      </c>
      <c r="D12" s="2">
        <f>O16+(1-0.577)*O18</f>
        <v>80.698999999999998</v>
      </c>
      <c r="E12" s="2">
        <f>P16+(1-0.577)*P18</f>
        <v>83.24130000000001</v>
      </c>
      <c r="G12" s="2">
        <f>Q16+(1-0.577)*Q18</f>
        <v>83.74130000000001</v>
      </c>
      <c r="H12" s="2">
        <f>R16+(1-0.577)*R18</f>
        <v>82.441300000000012</v>
      </c>
      <c r="I12" s="2">
        <f>S16+(1-0.577)*S18</f>
        <v>81.74130000000001</v>
      </c>
      <c r="L12" s="2" t="s">
        <v>50</v>
      </c>
      <c r="O12" s="2">
        <f>'Allowed revenue -DPCR4'!D6</f>
        <v>989.2</v>
      </c>
      <c r="P12" s="2">
        <f>'Allowed revenue -DPCR4'!E6</f>
        <v>1030.2</v>
      </c>
      <c r="Q12" s="2">
        <f>'Allowed revenue -DPCR4'!F6</f>
        <v>1064.8</v>
      </c>
      <c r="R12" s="2">
        <f>'Allowed revenue -DPCR4'!G6</f>
        <v>1093.2</v>
      </c>
      <c r="S12" s="2">
        <f>'Allowed revenue -DPCR4'!H6</f>
        <v>1115.5999999999999</v>
      </c>
    </row>
    <row r="13" spans="1:19">
      <c r="B13" s="2" t="s">
        <v>884</v>
      </c>
      <c r="D13" s="2" t="str">
        <f>O22</f>
        <v/>
      </c>
      <c r="E13" s="2" t="str">
        <f>P22</f>
        <v/>
      </c>
      <c r="F13" s="2" t="str">
        <f>Q22</f>
        <v/>
      </c>
      <c r="G13" s="2" t="str">
        <f>Q22</f>
        <v/>
      </c>
      <c r="H13" s="2" t="str">
        <f>R22</f>
        <v/>
      </c>
      <c r="I13" s="2" t="str">
        <f>S22</f>
        <v/>
      </c>
      <c r="L13" s="2" t="s">
        <v>885</v>
      </c>
      <c r="O13" s="2">
        <f>'Allowed revenue -DPCR4'!D7</f>
        <v>947.9</v>
      </c>
      <c r="Q13" s="2">
        <f>'Allowed revenue -DPCR4'!F7</f>
        <v>0</v>
      </c>
      <c r="S13" s="2">
        <f>'Allowed revenue -DPCR4'!H7</f>
        <v>851.7</v>
      </c>
    </row>
    <row r="14" spans="1:19">
      <c r="B14" s="2" t="s">
        <v>62</v>
      </c>
      <c r="D14" s="2">
        <f>O23</f>
        <v>1.5</v>
      </c>
      <c r="L14" s="2" t="s">
        <v>65</v>
      </c>
      <c r="P14" s="2">
        <f>'Allowed revenue -DPCR4'!E8</f>
        <v>0</v>
      </c>
      <c r="S14" s="2">
        <f>'Allowed revenue -DPCR4'!H8</f>
        <v>96.2</v>
      </c>
    </row>
    <row r="15" spans="1:19">
      <c r="B15" s="2" t="s">
        <v>886</v>
      </c>
      <c r="D15" s="2">
        <f>SUM(D12:D14)</f>
        <v>82.198999999999998</v>
      </c>
      <c r="E15" s="2">
        <f>SUM(E12:E14)</f>
        <v>83.24130000000001</v>
      </c>
      <c r="G15" s="2">
        <f>SUM(G12:G14)</f>
        <v>83.74130000000001</v>
      </c>
      <c r="H15" s="2">
        <f>SUM(H12:H14)</f>
        <v>82.441300000000012</v>
      </c>
      <c r="I15" s="2">
        <f>SUM(I12:I14)</f>
        <v>81.74130000000001</v>
      </c>
    </row>
    <row r="16" spans="1:19">
      <c r="L16" s="2" t="s">
        <v>887</v>
      </c>
      <c r="O16" s="2">
        <f>'Allowed revenue -DPCR4'!D10</f>
        <v>75.2</v>
      </c>
      <c r="P16" s="2">
        <f>'Allowed revenue -DPCR4'!E10</f>
        <v>77.7</v>
      </c>
      <c r="Q16" s="2">
        <f>'Allowed revenue -DPCR4'!F10</f>
        <v>78.2</v>
      </c>
      <c r="R16" s="2">
        <f>'Allowed revenue -DPCR4'!G10</f>
        <v>76.900000000000006</v>
      </c>
      <c r="S16" s="2">
        <f>'Allowed revenue -DPCR4'!H10</f>
        <v>76.2</v>
      </c>
    </row>
    <row r="17" spans="2:19">
      <c r="B17" s="2" t="s">
        <v>888</v>
      </c>
      <c r="L17" s="2" t="s">
        <v>889</v>
      </c>
      <c r="O17" s="2">
        <f>'Allowed revenue -DPCR4'!D11</f>
        <v>110.3</v>
      </c>
      <c r="P17" s="2">
        <f>'Allowed revenue -DPCR4'!E11</f>
        <v>109.9</v>
      </c>
      <c r="Q17" s="2">
        <f>'Allowed revenue -DPCR4'!F11</f>
        <v>109.4</v>
      </c>
      <c r="R17" s="2">
        <f>'Allowed revenue -DPCR4'!G11</f>
        <v>109</v>
      </c>
      <c r="S17" s="2">
        <f>'Allowed revenue -DPCR4'!H11</f>
        <v>108.8</v>
      </c>
    </row>
    <row r="18" spans="2:19">
      <c r="B18" s="2" t="s">
        <v>49</v>
      </c>
      <c r="D18" s="2">
        <f>-O11</f>
        <v>76.5</v>
      </c>
      <c r="E18" s="2">
        <f>-P11</f>
        <v>76.5</v>
      </c>
      <c r="G18" s="2">
        <f>-Q11</f>
        <v>82.4</v>
      </c>
      <c r="H18" s="2">
        <f>-R11</f>
        <v>88.2</v>
      </c>
      <c r="I18" s="2">
        <f>-S11</f>
        <v>94.1</v>
      </c>
      <c r="L18" s="2" t="s">
        <v>890</v>
      </c>
      <c r="O18" s="2">
        <f>'Allowed revenue -DPCR4'!D12</f>
        <v>13</v>
      </c>
      <c r="P18" s="2">
        <f>'Allowed revenue -DPCR4'!E12</f>
        <v>13.1</v>
      </c>
      <c r="Q18" s="2">
        <f>'Allowed revenue -DPCR4'!F12</f>
        <v>13.1</v>
      </c>
      <c r="R18" s="2">
        <f>'Allowed revenue -DPCR4'!G12</f>
        <v>13.1</v>
      </c>
      <c r="S18" s="2">
        <f>'Allowed revenue -DPCR4'!H12</f>
        <v>13.1</v>
      </c>
    </row>
    <row r="19" spans="2:19">
      <c r="B19" s="2" t="s">
        <v>57</v>
      </c>
      <c r="D19" s="2">
        <f t="shared" ref="D19:E21" si="0">O19</f>
        <v>27.2</v>
      </c>
      <c r="E19" s="2">
        <f t="shared" si="0"/>
        <v>26.3</v>
      </c>
      <c r="G19" s="2">
        <f t="shared" ref="G19:I21" si="1">Q19</f>
        <v>26.4</v>
      </c>
      <c r="H19" s="2">
        <f t="shared" si="1"/>
        <v>26.8</v>
      </c>
      <c r="I19" s="2">
        <f t="shared" si="1"/>
        <v>26.8</v>
      </c>
      <c r="L19" s="2" t="s">
        <v>57</v>
      </c>
      <c r="O19" s="2">
        <f>'Allowed revenue -DPCR4'!D13</f>
        <v>27.2</v>
      </c>
      <c r="P19" s="2">
        <f>'Allowed revenue -DPCR4'!E13</f>
        <v>26.3</v>
      </c>
      <c r="Q19" s="2">
        <f>'Allowed revenue -DPCR4'!F13</f>
        <v>26.4</v>
      </c>
      <c r="R19" s="2">
        <f>'Allowed revenue -DPCR4'!G13</f>
        <v>26.8</v>
      </c>
      <c r="S19" s="2">
        <f>'Allowed revenue -DPCR4'!H13</f>
        <v>26.8</v>
      </c>
    </row>
    <row r="20" spans="2:19">
      <c r="B20" s="2" t="s">
        <v>891</v>
      </c>
      <c r="D20" s="2">
        <f t="shared" si="0"/>
        <v>-0.8</v>
      </c>
      <c r="E20" s="2">
        <f t="shared" si="0"/>
        <v>0.6</v>
      </c>
      <c r="G20" s="2">
        <f t="shared" si="1"/>
        <v>-0.6</v>
      </c>
      <c r="H20" s="2">
        <f t="shared" si="1"/>
        <v>-0.6</v>
      </c>
      <c r="I20" s="2">
        <f t="shared" si="1"/>
        <v>-0.2</v>
      </c>
      <c r="L20" s="2" t="s">
        <v>892</v>
      </c>
      <c r="O20" s="2">
        <f>'Allowed revenue -DPCR4'!D14</f>
        <v>-0.8</v>
      </c>
      <c r="P20" s="2">
        <f>'Allowed revenue -DPCR4'!E14</f>
        <v>0.6</v>
      </c>
      <c r="Q20" s="2">
        <f>'Allowed revenue -DPCR4'!F14</f>
        <v>-0.6</v>
      </c>
      <c r="R20" s="2">
        <f>'Allowed revenue -DPCR4'!G14</f>
        <v>-0.6</v>
      </c>
      <c r="S20" s="2">
        <f>'Allowed revenue -DPCR4'!H14</f>
        <v>-0.2</v>
      </c>
    </row>
    <row r="21" spans="2:19">
      <c r="B21" s="2" t="s">
        <v>893</v>
      </c>
      <c r="D21" s="2">
        <f t="shared" si="0"/>
        <v>1.4</v>
      </c>
      <c r="E21" s="2">
        <f t="shared" si="0"/>
        <v>1.4</v>
      </c>
      <c r="G21" s="2">
        <f t="shared" si="1"/>
        <v>1.5</v>
      </c>
      <c r="H21" s="2">
        <f t="shared" si="1"/>
        <v>1.5</v>
      </c>
      <c r="I21" s="2">
        <f t="shared" si="1"/>
        <v>1.6</v>
      </c>
      <c r="L21" s="2" t="s">
        <v>894</v>
      </c>
      <c r="O21" s="2">
        <f>'Allowed revenue -DPCR4'!D15</f>
        <v>1.4</v>
      </c>
      <c r="P21" s="2">
        <f>'Allowed revenue -DPCR4'!E15</f>
        <v>1.4</v>
      </c>
      <c r="Q21" s="2">
        <f>'Allowed revenue -DPCR4'!F15</f>
        <v>1.5</v>
      </c>
      <c r="R21" s="2">
        <f>'Allowed revenue -DPCR4'!G15</f>
        <v>1.5</v>
      </c>
      <c r="S21" s="2">
        <f>'Allowed revenue -DPCR4'!H15</f>
        <v>1.6</v>
      </c>
    </row>
    <row r="22" spans="2:19">
      <c r="B22" s="2" t="s">
        <v>895</v>
      </c>
      <c r="D22" s="2">
        <f>D10-D15-D18-D19-D20-D21</f>
        <v>54.739808503625405</v>
      </c>
      <c r="E22" s="2">
        <f>E10-E15-E18-E19-E20-E21</f>
        <v>55.368657780158017</v>
      </c>
      <c r="G22" s="2">
        <f>G10-G15-G18-G19-G20-G21</f>
        <v>52.622284673697877</v>
      </c>
      <c r="H22" s="2">
        <f>H10-H15-H18-H19-H20-H21</f>
        <v>50.858389184245006</v>
      </c>
      <c r="I22" s="2">
        <f>I10-I15-I18-I19-I20-I21</f>
        <v>47.812016077784925</v>
      </c>
      <c r="L22" s="2" t="s">
        <v>896</v>
      </c>
      <c r="O22" s="2" t="str">
        <f>IF(ISNUMBER('Allowed revenue -DPCR4'!D16+'Allowed revenue -DPCR4'!D17),'Allowed revenue -DPCR4'!D16+'Allowed revenue -DPCR4'!D17,"")</f>
        <v/>
      </c>
      <c r="P22" s="2" t="str">
        <f>IF(ISNUMBER('Allowed revenue -DPCR4'!E16+'Allowed revenue -DPCR4'!E17),'Allowed revenue -DPCR4'!E16+'Allowed revenue -DPCR4'!E17,"")</f>
        <v/>
      </c>
      <c r="Q22" s="2" t="str">
        <f>IF(ISNUMBER('Allowed revenue -DPCR4'!F16+'Allowed revenue -DPCR4'!F17),'Allowed revenue -DPCR4'!F16+'Allowed revenue -DPCR4'!F17,"")</f>
        <v/>
      </c>
      <c r="R22" s="2" t="str">
        <f>IF(ISNUMBER('Allowed revenue -DPCR4'!G16+'Allowed revenue -DPCR4'!G17),'Allowed revenue -DPCR4'!G16+'Allowed revenue -DPCR4'!G17,"")</f>
        <v/>
      </c>
      <c r="S22" s="2" t="str">
        <f>IF(ISNUMBER('Allowed revenue -DPCR4'!H16+'Allowed revenue -DPCR4'!H17),'Allowed revenue -DPCR4'!H16+'Allowed revenue -DPCR4'!H17,"")</f>
        <v/>
      </c>
    </row>
    <row r="23" spans="2:19">
      <c r="B23" s="2" t="s">
        <v>897</v>
      </c>
      <c r="D23" s="2">
        <f>SUM(D18:D22)</f>
        <v>159.03980850362541</v>
      </c>
      <c r="E23" s="2">
        <f>SUM(E18:E22)</f>
        <v>160.16865778015801</v>
      </c>
      <c r="G23" s="2">
        <f>SUM(G18:G22)</f>
        <v>162.32228467369788</v>
      </c>
      <c r="H23" s="2">
        <f>SUM(H18:H22)</f>
        <v>166.758389184245</v>
      </c>
      <c r="I23" s="2">
        <f>SUM(I18:I22)</f>
        <v>170.11201607778492</v>
      </c>
      <c r="L23" s="2" t="s">
        <v>62</v>
      </c>
      <c r="O23" s="2">
        <f>'Allowed revenue -DPCR4'!D18</f>
        <v>1.5</v>
      </c>
      <c r="P23" s="2" t="str">
        <f>'Allowed revenue -DPCR4'!E18</f>
        <v>-</v>
      </c>
      <c r="Q23" s="2" t="str">
        <f>'Allowed revenue -DPCR4'!F18</f>
        <v>-</v>
      </c>
      <c r="R23" s="2" t="str">
        <f>'Allowed revenue -DPCR4'!G18</f>
        <v>-</v>
      </c>
      <c r="S23" s="2" t="str">
        <f>'Allowed revenue -DPCR4'!H18</f>
        <v>-</v>
      </c>
    </row>
    <row r="24" spans="2:19">
      <c r="B24" s="2" t="s">
        <v>898</v>
      </c>
      <c r="D24" s="2">
        <f>D23-D18</f>
        <v>82.539808503625409</v>
      </c>
      <c r="E24" s="2">
        <f>E23-E18</f>
        <v>83.668657780158014</v>
      </c>
      <c r="G24" s="2">
        <f>G23-G18</f>
        <v>79.922284673697874</v>
      </c>
      <c r="H24" s="2">
        <f>H23-H18</f>
        <v>78.558389184245002</v>
      </c>
      <c r="I24" s="2">
        <f>I23-I18</f>
        <v>76.012016077784921</v>
      </c>
      <c r="L24" s="2" t="s">
        <v>63</v>
      </c>
      <c r="O24" s="2">
        <f>'Allowed revenue -DPCR4'!D19</f>
        <v>227.7</v>
      </c>
      <c r="P24" s="2">
        <f>'Allowed revenue -DPCR4'!E19</f>
        <v>229</v>
      </c>
      <c r="Q24" s="2">
        <f>'Allowed revenue -DPCR4'!F19</f>
        <v>228.1</v>
      </c>
      <c r="R24" s="2">
        <f>'Allowed revenue -DPCR4'!G19</f>
        <v>226.8</v>
      </c>
      <c r="S24" s="2">
        <f>'Allowed revenue -DPCR4'!H19</f>
        <v>226.3</v>
      </c>
    </row>
    <row r="25" spans="2:19">
      <c r="L25" s="2" t="s">
        <v>899</v>
      </c>
      <c r="O25" s="2">
        <f>'Allowed revenue -DPCR4'!D20</f>
        <v>221.6</v>
      </c>
      <c r="P25" s="2">
        <f>'Allowed revenue -DPCR4'!E20</f>
        <v>211.2</v>
      </c>
      <c r="Q25" s="2">
        <f>'Allowed revenue -DPCR4'!F20</f>
        <v>199.3</v>
      </c>
      <c r="R25" s="2">
        <f>'Allowed revenue -DPCR4'!G20</f>
        <v>187.7</v>
      </c>
      <c r="S25" s="2">
        <f>'Allowed revenue -DPCR4'!H20</f>
        <v>177.5</v>
      </c>
    </row>
    <row r="26" spans="2:19">
      <c r="B26" s="2" t="s">
        <v>900</v>
      </c>
      <c r="L26" s="2" t="s">
        <v>65</v>
      </c>
      <c r="S26" s="2">
        <f>'Allowed revenue -DPCR4'!H21</f>
        <v>96.2</v>
      </c>
    </row>
    <row r="27" spans="2:19">
      <c r="L27" s="2" t="s">
        <v>901</v>
      </c>
      <c r="S27" s="2">
        <f>'Allowed revenue -DPCR4'!H22</f>
        <v>1093.5</v>
      </c>
    </row>
    <row r="28" spans="2:19">
      <c r="B28" s="2" t="s">
        <v>848</v>
      </c>
      <c r="D28" s="2">
        <f>D15</f>
        <v>82.198999999999998</v>
      </c>
      <c r="E28" s="2">
        <f>E15</f>
        <v>83.24130000000001</v>
      </c>
      <c r="G28" s="2">
        <f>G15</f>
        <v>83.74130000000001</v>
      </c>
      <c r="H28" s="2">
        <f>H15</f>
        <v>82.441300000000012</v>
      </c>
      <c r="I28" s="2">
        <f>I15</f>
        <v>81.74130000000001</v>
      </c>
    </row>
    <row r="29" spans="2:19">
      <c r="B29" s="2" t="s">
        <v>49</v>
      </c>
      <c r="D29" s="2">
        <f>D18</f>
        <v>76.5</v>
      </c>
      <c r="E29" s="2">
        <f>E18</f>
        <v>76.5</v>
      </c>
      <c r="G29" s="2">
        <f>G18</f>
        <v>82.4</v>
      </c>
      <c r="H29" s="2">
        <f>H18</f>
        <v>88.2</v>
      </c>
      <c r="I29" s="2">
        <f>I18</f>
        <v>94.1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895</v>
      </c>
      <c r="D30" s="2">
        <f>D22</f>
        <v>54.739808503625405</v>
      </c>
      <c r="E30" s="2">
        <f>E22</f>
        <v>55.368657780158017</v>
      </c>
      <c r="G30" s="2">
        <f>G22</f>
        <v>52.622284673697877</v>
      </c>
      <c r="H30" s="2">
        <f>H22</f>
        <v>50.858389184245006</v>
      </c>
      <c r="I30" s="2">
        <f>I22</f>
        <v>47.812016077784925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1.0089999999999999</v>
      </c>
      <c r="Q33" s="2">
        <f>'Allowed revenue -DPCR4'!F24</f>
        <v>1.02</v>
      </c>
      <c r="R33" s="2">
        <f>'Allowed revenue -DPCR4'!G24</f>
        <v>1.0329999999999999</v>
      </c>
      <c r="S33" s="2">
        <f>'Allowed revenue -DPCR4'!H24</f>
        <v>1.044</v>
      </c>
    </row>
    <row r="34" spans="1:19">
      <c r="L34" s="2" t="s">
        <v>69</v>
      </c>
      <c r="O34" s="2">
        <f>O33*O31</f>
        <v>0.97337719686120061</v>
      </c>
      <c r="P34" s="2">
        <f>P33*P31</f>
        <v>0.9305391933610796</v>
      </c>
      <c r="Q34" s="2">
        <f>Q33*Q31</f>
        <v>0.89126327426490615</v>
      </c>
      <c r="R34" s="2">
        <f>R33*R31</f>
        <v>0.85520158422868398</v>
      </c>
      <c r="S34" s="2">
        <f>S33*S31</f>
        <v>0.81890026118958925</v>
      </c>
    </row>
    <row r="35" spans="1:19">
      <c r="L35" s="2" t="s">
        <v>70</v>
      </c>
      <c r="O35" s="2">
        <f>($S$27-$N$41)/SUM($O$34:$U$34)*O33</f>
        <v>241.23880850362539</v>
      </c>
      <c r="P35" s="2">
        <f>($S$27-$N$41)/SUM($O$34:$U$34)*P33</f>
        <v>243.40995778015801</v>
      </c>
      <c r="Q35" s="2">
        <f>($S$27-$N$41)/SUM($O$34:$U$34)*Q33</f>
        <v>246.0635846736979</v>
      </c>
      <c r="R35" s="2">
        <f>($S$27-$N$41)/SUM($O$34:$U$34)*R33</f>
        <v>249.19968918424502</v>
      </c>
      <c r="S35" s="2">
        <f>($S$27-$N$41)/SUM($O$34:$U$34)*S33</f>
        <v>251.85331607778491</v>
      </c>
    </row>
    <row r="36" spans="1:19">
      <c r="L36" s="2" t="s">
        <v>902</v>
      </c>
      <c r="O36" s="2">
        <f>'Allowed revenue -DPCR4'!D27</f>
        <v>3.5</v>
      </c>
      <c r="P36" s="2">
        <f>'Allowed revenue -DPCR4'!E27</f>
        <v>3.5</v>
      </c>
      <c r="Q36" s="2">
        <f>'Allowed revenue -DPCR4'!F27</f>
        <v>3.5</v>
      </c>
      <c r="R36" s="2">
        <f>'Allowed revenue -DPCR4'!G27</f>
        <v>3.5</v>
      </c>
      <c r="S36" s="2">
        <f>'Allowed revenue -DPCR4'!H27</f>
        <v>3.5</v>
      </c>
    </row>
    <row r="37" spans="1:19">
      <c r="L37" s="2" t="s">
        <v>72</v>
      </c>
      <c r="O37" s="2">
        <f>O36+O35</f>
        <v>244.73880850362539</v>
      </c>
      <c r="P37" s="2">
        <f>P36+P35</f>
        <v>246.90995778015801</v>
      </c>
      <c r="Q37" s="2">
        <f>Q36+Q35</f>
        <v>249.5635846736979</v>
      </c>
      <c r="R37" s="2">
        <f>R36+R35</f>
        <v>252.69968918424502</v>
      </c>
      <c r="S37" s="2">
        <f>S36+S35</f>
        <v>255.35331607778491</v>
      </c>
    </row>
    <row r="38" spans="1:19">
      <c r="L38" s="2" t="s">
        <v>903</v>
      </c>
      <c r="O38" s="2">
        <f>O37*O31</f>
        <v>238.22317538440905</v>
      </c>
      <c r="P38" s="2">
        <f>P37*P31</f>
        <v>227.71000291929283</v>
      </c>
      <c r="Q38" s="2">
        <f>Q37*Q31</f>
        <v>218.06554667996778</v>
      </c>
      <c r="R38" s="2">
        <f>R37*R31</f>
        <v>209.20539644188034</v>
      </c>
      <c r="S38" s="2">
        <f>S37*S31</f>
        <v>200.29587857445</v>
      </c>
    </row>
    <row r="39" spans="1:19">
      <c r="L39" s="2" t="s">
        <v>901</v>
      </c>
      <c r="S39" s="2">
        <f>SUM(O38:S38)</f>
        <v>1093.5</v>
      </c>
    </row>
    <row r="41" spans="1:19">
      <c r="L41" s="2" t="s">
        <v>904</v>
      </c>
      <c r="N41" s="2">
        <f>SUM(O41:S41)</f>
        <v>15.335853683123087</v>
      </c>
      <c r="O41" s="2">
        <f>O36*O31</f>
        <v>3.4068201890142022</v>
      </c>
      <c r="P41" s="2">
        <f>P36*P31</f>
        <v>3.2278366469413071</v>
      </c>
      <c r="Q41" s="2">
        <f>Q36*Q31</f>
        <v>3.0582563332619328</v>
      </c>
      <c r="R41" s="2">
        <f>R36*R31</f>
        <v>2.8975852321397815</v>
      </c>
      <c r="S41" s="2">
        <f>S36*S31</f>
        <v>2.7453552817658644</v>
      </c>
    </row>
    <row r="43" spans="1:19">
      <c r="A43" s="2" t="s">
        <v>905</v>
      </c>
    </row>
    <row r="45" spans="1:19">
      <c r="B45" s="2" t="s">
        <v>906</v>
      </c>
      <c r="C45" s="2" t="s">
        <v>907</v>
      </c>
      <c r="D45" s="2" t="s">
        <v>908</v>
      </c>
      <c r="E45" s="2" t="s">
        <v>909</v>
      </c>
      <c r="K45" s="2" t="s">
        <v>203</v>
      </c>
    </row>
    <row r="46" spans="1:19">
      <c r="E46" s="2" t="s">
        <v>402</v>
      </c>
      <c r="G46" s="2" t="s">
        <v>223</v>
      </c>
      <c r="H46" s="2" t="s">
        <v>38</v>
      </c>
      <c r="I46" s="2" t="s">
        <v>441</v>
      </c>
      <c r="J46" s="2" t="s">
        <v>849</v>
      </c>
      <c r="K46" s="2" t="s">
        <v>402</v>
      </c>
      <c r="L46" s="2" t="s">
        <v>223</v>
      </c>
      <c r="M46" s="2" t="s">
        <v>38</v>
      </c>
      <c r="N46" s="2" t="s">
        <v>441</v>
      </c>
      <c r="O46" s="2" t="s">
        <v>849</v>
      </c>
    </row>
    <row r="47" spans="1:19">
      <c r="B47" s="2" t="s">
        <v>895</v>
      </c>
      <c r="C47" s="2">
        <f>SUM(D24:I24)</f>
        <v>400.70115621951118</v>
      </c>
      <c r="D47" s="2" t="s">
        <v>868</v>
      </c>
      <c r="E47" s="2">
        <f>VLOOKUP($D47,'Calc-Drivers'!$B$17:$G$27,E$53,FALSE)</f>
        <v>0.53226629902330469</v>
      </c>
      <c r="G47" s="2">
        <f>VLOOKUP($D47,'Calc-Drivers'!$B$17:$G$27,G$53,FALSE)</f>
        <v>0.27202086792538993</v>
      </c>
      <c r="H47" s="2">
        <f>VLOOKUP($D47,'Calc-Drivers'!$B$17:$G$27,H$53,FALSE)</f>
        <v>5.9749506838939877E-2</v>
      </c>
      <c r="I47" s="2">
        <f>VLOOKUP($D47,'Calc-Drivers'!$B$17:$G$27,I$53,FALSE)</f>
        <v>7.5734364440090088E-2</v>
      </c>
      <c r="J47" s="2">
        <f>VLOOKUP($D47,'Calc-Drivers'!$B$17:$G$27,J$53,FALSE)</f>
        <v>6.0228961772275519E-2</v>
      </c>
      <c r="K47" s="2">
        <f>$C47*E47</f>
        <v>213.27972143531827</v>
      </c>
      <c r="L47" s="2">
        <f t="shared" ref="L47:N49" si="2">$C47*G47</f>
        <v>108.99907629353869</v>
      </c>
      <c r="M47" s="2">
        <f t="shared" si="2"/>
        <v>23.941696473908799</v>
      </c>
      <c r="N47" s="2">
        <f t="shared" si="2"/>
        <v>30.346847396693931</v>
      </c>
      <c r="O47" s="2">
        <f>$C47 * J47</f>
        <v>24.133814620051538</v>
      </c>
    </row>
    <row r="48" spans="1:19">
      <c r="B48" s="2" t="s">
        <v>49</v>
      </c>
      <c r="C48" s="2">
        <f>SUM(D18:I18)</f>
        <v>417.70000000000005</v>
      </c>
      <c r="D48" s="2" t="s">
        <v>868</v>
      </c>
      <c r="E48" s="2">
        <f>VLOOKUP($D48,'Calc-Drivers'!$B$17:$G$27,E$53,FALSE)</f>
        <v>0.53226629902330469</v>
      </c>
      <c r="G48" s="2">
        <f>VLOOKUP($D48,'Calc-Drivers'!$B$17:$G$27,G$53,FALSE)</f>
        <v>0.27202086792538993</v>
      </c>
      <c r="H48" s="2">
        <f>VLOOKUP($D48,'Calc-Drivers'!$B$17:$G$27,H$53,FALSE)</f>
        <v>5.9749506838939877E-2</v>
      </c>
      <c r="I48" s="2">
        <f>VLOOKUP($D48,'Calc-Drivers'!$B$17:$G$27,I$53,FALSE)</f>
        <v>7.5734364440090088E-2</v>
      </c>
      <c r="J48" s="2">
        <f>VLOOKUP($D48,'Calc-Drivers'!$B$17:$G$27,J$53,FALSE)</f>
        <v>6.0228961772275519E-2</v>
      </c>
      <c r="K48" s="2">
        <f>$C48*E48</f>
        <v>222.32763310203438</v>
      </c>
      <c r="L48" s="2">
        <f t="shared" si="2"/>
        <v>113.62311653243539</v>
      </c>
      <c r="M48" s="2">
        <f t="shared" si="2"/>
        <v>24.957369006625189</v>
      </c>
      <c r="N48" s="2">
        <f t="shared" si="2"/>
        <v>31.634244026625634</v>
      </c>
      <c r="O48" s="2">
        <f>$C48 * J48</f>
        <v>25.157637332279489</v>
      </c>
    </row>
    <row r="49" spans="1:16">
      <c r="B49" s="2" t="s">
        <v>910</v>
      </c>
      <c r="C49" s="2">
        <f>SUM(D15:I15)</f>
        <v>413.36420000000004</v>
      </c>
      <c r="D49" s="2" t="s">
        <v>911</v>
      </c>
      <c r="E49" s="2">
        <f>'Calc-Opex'!AQ42</f>
        <v>0.26199527536422224</v>
      </c>
      <c r="G49" s="2">
        <f>'Calc-Opex'!AR42</f>
        <v>0.18879691418015843</v>
      </c>
      <c r="H49" s="2">
        <f>'Calc-Opex'!AS42</f>
        <v>7.8595556024634902E-2</v>
      </c>
      <c r="I49" s="2">
        <f>'Calc-Opex'!AT42</f>
        <v>0.24666775124993745</v>
      </c>
      <c r="J49" s="2">
        <f>'Calc-Opex'!AU42</f>
        <v>0.223944503181047</v>
      </c>
      <c r="K49" s="2">
        <f>$C49*E49</f>
        <v>108.29946740471145</v>
      </c>
      <c r="L49" s="2">
        <f t="shared" si="2"/>
        <v>78.041885392549858</v>
      </c>
      <c r="M49" s="2">
        <f t="shared" si="2"/>
        <v>32.488589139678389</v>
      </c>
      <c r="N49" s="2">
        <f>$C49*I49</f>
        <v>101.96361766122941</v>
      </c>
      <c r="O49" s="2">
        <f>$C49 * J49</f>
        <v>92.570640401830957</v>
      </c>
    </row>
    <row r="51" spans="1:16">
      <c r="B51" s="2" t="s">
        <v>200</v>
      </c>
      <c r="C51" s="2">
        <f>SUM(C47:C49)</f>
        <v>1231.7653562195112</v>
      </c>
      <c r="K51" s="2">
        <f>SUM(K47:K50)</f>
        <v>543.90682194206408</v>
      </c>
      <c r="L51" s="2">
        <f>SUM(L47:L50)</f>
        <v>300.66407821852397</v>
      </c>
      <c r="M51" s="2">
        <f>SUM(M47:M50)</f>
        <v>81.387654620212373</v>
      </c>
      <c r="N51" s="2">
        <f>SUM(N47:N50)</f>
        <v>163.94470908454898</v>
      </c>
      <c r="O51" s="2">
        <f>SUM($O$47:$O$50)</f>
        <v>141.86209235416197</v>
      </c>
    </row>
    <row r="52" spans="1:16">
      <c r="K52" s="2">
        <f>K51/SUM($K$51:$O$51)</f>
        <v>0.44156690979798519</v>
      </c>
      <c r="L52" s="2">
        <f>L51/SUM($K$51:$O$51)</f>
        <v>0.24409200721581503</v>
      </c>
      <c r="M52" s="2">
        <f>M51/SUM($K$51:$O$51)</f>
        <v>6.6073992265868187E-2</v>
      </c>
      <c r="N52" s="2">
        <f>N51/SUM($K$51:$O$51)</f>
        <v>0.13309735353145669</v>
      </c>
      <c r="O52" s="2">
        <f>O51/SUM($K$50:$O$51)</f>
        <v>0.11516973718887487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912</v>
      </c>
    </row>
    <row r="56" spans="1:16">
      <c r="D56" s="2" t="s">
        <v>913</v>
      </c>
    </row>
    <row r="58" spans="1:16">
      <c r="A58" s="2" t="s">
        <v>914</v>
      </c>
    </row>
    <row r="60" spans="1:16">
      <c r="B60" s="2" t="s">
        <v>915</v>
      </c>
    </row>
    <row r="61" spans="1:16">
      <c r="B61" s="2" t="s">
        <v>916</v>
      </c>
      <c r="F61" s="2">
        <f>'Summary of revenue'!J11</f>
        <v>276.42685499999999</v>
      </c>
      <c r="G61" s="2">
        <f>F61/$F$66</f>
        <v>0.94327570891569268</v>
      </c>
      <c r="P61" s="2" t="s">
        <v>203</v>
      </c>
    </row>
    <row r="62" spans="1:16">
      <c r="B62" s="2" t="s">
        <v>917</v>
      </c>
      <c r="F62" s="2">
        <f>'Summary of revenue'!J12</f>
        <v>-4.5983270000000003</v>
      </c>
      <c r="G62" s="2">
        <f>F62/$F$66</f>
        <v>-1.5691276307980895E-2</v>
      </c>
    </row>
    <row r="63" spans="1:16">
      <c r="B63" s="2" t="s">
        <v>918</v>
      </c>
      <c r="F63" s="2">
        <f>'Summary of revenue'!J13</f>
        <v>26.407907999999999</v>
      </c>
      <c r="G63" s="2">
        <f>F63/$F$66</f>
        <v>9.0114030851598664E-2</v>
      </c>
      <c r="M63" s="2" t="s">
        <v>919</v>
      </c>
      <c r="P63" s="2">
        <f>F66</f>
        <v>293.04990300000003</v>
      </c>
    </row>
    <row r="64" spans="1:16">
      <c r="B64" s="2" t="s">
        <v>920</v>
      </c>
      <c r="F64" s="2">
        <f>'Summary of revenue'!J21</f>
        <v>-11.856533000000001</v>
      </c>
      <c r="G64" s="2">
        <f>F64/$F$66</f>
        <v>-4.0459092047541133E-2</v>
      </c>
    </row>
    <row r="65" spans="2:19">
      <c r="B65" s="2" t="s">
        <v>921</v>
      </c>
      <c r="F65" s="2">
        <f>'Summary of revenue'!J46+'Summary of revenue'!J47</f>
        <v>6.67</v>
      </c>
      <c r="G65" s="2">
        <f>F65/$F$66</f>
        <v>2.2760628588230584E-2</v>
      </c>
      <c r="M65" s="2" t="s">
        <v>922</v>
      </c>
      <c r="P65" s="2">
        <f>-F63</f>
        <v>-26.407907999999999</v>
      </c>
    </row>
    <row r="66" spans="2:19">
      <c r="B66" s="2" t="s">
        <v>200</v>
      </c>
      <c r="F66" s="2">
        <f>SUM(F61:F65)</f>
        <v>293.04990300000003</v>
      </c>
      <c r="G66" s="2">
        <f>SUM(G61:G65)</f>
        <v>0.99999999999999989</v>
      </c>
      <c r="M66" s="2" t="s">
        <v>974</v>
      </c>
      <c r="P66" s="2">
        <f>-'Calc-Opex'!I37</f>
        <v>-4.4000000000000004</v>
      </c>
    </row>
    <row r="68" spans="2:19">
      <c r="M68" s="2" t="s">
        <v>923</v>
      </c>
      <c r="P68" s="2">
        <f>-SUM(P65:P67)</f>
        <v>30.807907999999998</v>
      </c>
    </row>
    <row r="69" spans="2:19">
      <c r="M69" s="2" t="s">
        <v>924</v>
      </c>
      <c r="P69" s="2">
        <f>SUM(P63:P67)</f>
        <v>262.24199500000003</v>
      </c>
    </row>
    <row r="70" spans="2:19">
      <c r="B70" s="2" t="s">
        <v>981</v>
      </c>
      <c r="G70" s="2">
        <f>(SUM('FBPQ LR1'!D13:M13)-MIN(0,'Calc-Net capex'!C19)-MIN(0,'Calc-Net capex'!C20)-MIN(0,'Calc-Net capex'!C21+'Calc-Net capex'!C22))/10</f>
        <v>7.51</v>
      </c>
    </row>
    <row r="71" spans="2:19" ht="39" customHeight="1">
      <c r="L71" s="2" t="s">
        <v>925</v>
      </c>
    </row>
    <row r="72" spans="2:19">
      <c r="B72" s="2" t="s">
        <v>926</v>
      </c>
      <c r="D72" s="2" t="s">
        <v>203</v>
      </c>
      <c r="L72" s="2" t="s">
        <v>927</v>
      </c>
    </row>
    <row r="73" spans="2:19">
      <c r="D73" s="2" t="s">
        <v>200</v>
      </c>
      <c r="F73" s="2" t="s">
        <v>402</v>
      </c>
      <c r="G73" s="2" t="s">
        <v>223</v>
      </c>
      <c r="H73" s="2" t="s">
        <v>38</v>
      </c>
      <c r="I73" s="2" t="s">
        <v>222</v>
      </c>
      <c r="J73" s="2" t="s">
        <v>928</v>
      </c>
      <c r="L73" s="2" t="s">
        <v>402</v>
      </c>
      <c r="M73" s="2" t="s">
        <v>223</v>
      </c>
      <c r="N73" s="2" t="s">
        <v>38</v>
      </c>
      <c r="O73" s="2" t="s">
        <v>441</v>
      </c>
      <c r="P73" s="2" t="s">
        <v>928</v>
      </c>
      <c r="R73" s="2" t="s">
        <v>200</v>
      </c>
      <c r="S73" s="2" t="s">
        <v>849</v>
      </c>
    </row>
    <row r="75" spans="2:19">
      <c r="B75" s="2" t="s">
        <v>929</v>
      </c>
      <c r="D75" s="2">
        <f>SUM(F75:J75)</f>
        <v>300.55990300000002</v>
      </c>
      <c r="F75" s="2">
        <f>$P$69*K52+$G70*E49</f>
        <v>117.76497186939402</v>
      </c>
      <c r="G75" s="2">
        <f>$P$69*L52+$G70*G49</f>
        <v>65.429039761322727</v>
      </c>
      <c r="H75" s="2">
        <f>$P$69*M52+$G70*H49</f>
        <v>17.917628175160853</v>
      </c>
      <c r="I75" s="2">
        <f>$P$69*(N52+O52)+$G70*(I49+J49)</f>
        <v>68.640355194122435</v>
      </c>
      <c r="J75" s="2">
        <f>P68</f>
        <v>30.807907999999998</v>
      </c>
      <c r="L75" s="2">
        <f>F75*100000000/'Calc-Units'!E23</f>
        <v>0.40103962383621411</v>
      </c>
      <c r="M75" s="2">
        <f>G75*100000000/'Calc-Units'!D23</f>
        <v>0.2280973887566933</v>
      </c>
      <c r="N75" s="2">
        <f>H75*100000000/'Calc-Units'!C23</f>
        <v>9.2904843799444442E-2</v>
      </c>
      <c r="O75" s="2">
        <f>I75*100000000/'Calc-Units'!C23</f>
        <v>0.35590768015204</v>
      </c>
      <c r="P75" s="2">
        <f>J75*100000000/'Calc-Units'!E23</f>
        <v>0.10491397942338139</v>
      </c>
    </row>
    <row r="77" spans="2:19">
      <c r="B77" s="2" t="s">
        <v>930</v>
      </c>
      <c r="L77" s="2">
        <f>L75</f>
        <v>0.40103962383621411</v>
      </c>
      <c r="M77" s="2">
        <f>M75</f>
        <v>0.2280973887566933</v>
      </c>
      <c r="N77" s="2">
        <f>N75</f>
        <v>9.2904843799444442E-2</v>
      </c>
      <c r="O77" s="2">
        <f>O75</f>
        <v>0.35590768015204</v>
      </c>
      <c r="P77" s="2">
        <f>P75</f>
        <v>0.10491397942338139</v>
      </c>
      <c r="R77" s="2">
        <f>SUM(L77:P77)</f>
        <v>1.1828635159677732</v>
      </c>
    </row>
    <row r="78" spans="2:19">
      <c r="B78" s="2" t="s">
        <v>931</v>
      </c>
    </row>
    <row r="79" spans="2:19">
      <c r="B79" s="2" t="s">
        <v>932</v>
      </c>
    </row>
    <row r="81" spans="2:19">
      <c r="B81" s="2" t="s">
        <v>930</v>
      </c>
      <c r="L81" s="2">
        <f>L77/$R77</f>
        <v>0.33904133352874527</v>
      </c>
      <c r="M81" s="2">
        <f>M77/$R77</f>
        <v>0.1928349177039862</v>
      </c>
      <c r="N81" s="2">
        <f>N77/$R77</f>
        <v>7.8542319164720611E-2</v>
      </c>
      <c r="O81" s="2">
        <f>$O77/$R77*$N52/($N52+$O52)</f>
        <v>0.16130691604623337</v>
      </c>
      <c r="P81" s="2">
        <f>P77/$R77</f>
        <v>8.8694915353395465E-2</v>
      </c>
      <c r="R81" s="2">
        <f>SUM(L81:P81) + S81</f>
        <v>1</v>
      </c>
      <c r="S81" s="2">
        <f>$O77/$R77*$O52/($N52+$O52)</f>
        <v>0.1395795982029191</v>
      </c>
    </row>
    <row r="82" spans="2:19">
      <c r="B82" s="2" t="s">
        <v>931</v>
      </c>
    </row>
    <row r="83" spans="2:19">
      <c r="B83" s="2" t="s">
        <v>932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/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Mid East in April 17  Status: Finals</v>
      </c>
    </row>
    <row r="3" spans="1:7" ht="14.1" customHeight="1">
      <c r="A3" s="2" t="s">
        <v>866</v>
      </c>
      <c r="B3" s="2" t="s">
        <v>933</v>
      </c>
    </row>
    <row r="4" spans="1:7" ht="14.1" customHeight="1">
      <c r="B4" s="2" t="s">
        <v>849</v>
      </c>
      <c r="C4" s="2" t="s">
        <v>441</v>
      </c>
      <c r="D4" s="2" t="s">
        <v>525</v>
      </c>
      <c r="E4" s="2" t="s">
        <v>223</v>
      </c>
      <c r="F4" s="2" t="s">
        <v>402</v>
      </c>
      <c r="G4" s="2" t="s">
        <v>934</v>
      </c>
    </row>
    <row r="5" spans="1:7" ht="14.1" customHeight="1">
      <c r="A5" s="2" t="s">
        <v>935</v>
      </c>
      <c r="B5" s="2">
        <f>'Calc-Allocation'!J49</f>
        <v>0.223944503181047</v>
      </c>
      <c r="C5" s="2">
        <f>'Calc-Allocation'!I49</f>
        <v>0.24666775124993745</v>
      </c>
      <c r="D5" s="2">
        <f>'Calc-Allocation'!H49</f>
        <v>7.8595556024634902E-2</v>
      </c>
      <c r="E5" s="2">
        <f>'Calc-Allocation'!G49</f>
        <v>0.18879691418015843</v>
      </c>
      <c r="F5" s="2">
        <f>'Calc-Allocation'!E49</f>
        <v>0.26199527536422224</v>
      </c>
      <c r="G5" s="2" t="s">
        <v>936</v>
      </c>
    </row>
    <row r="6" spans="1:7" ht="14.1" customHeight="1">
      <c r="A6" s="2" t="s">
        <v>49</v>
      </c>
      <c r="B6" s="2">
        <f>'Calc-Allocation'!J47</f>
        <v>6.0228961772275519E-2</v>
      </c>
      <c r="C6" s="2">
        <f>'Calc-Allocation'!I48</f>
        <v>7.5734364440090088E-2</v>
      </c>
      <c r="D6" s="2">
        <f>'Calc-Allocation'!H48</f>
        <v>5.9749506838939877E-2</v>
      </c>
      <c r="E6" s="2">
        <f>'Calc-Allocation'!G48</f>
        <v>0.27202086792538993</v>
      </c>
      <c r="F6" s="2">
        <f>'Calc-Allocation'!E48</f>
        <v>0.53226629902330469</v>
      </c>
      <c r="G6" s="2" t="s">
        <v>936</v>
      </c>
    </row>
    <row r="7" spans="1:7" ht="14.1" customHeight="1">
      <c r="A7" s="2" t="s">
        <v>895</v>
      </c>
      <c r="B7" s="2">
        <f>'Calc-Allocation'!J48</f>
        <v>6.0228961772275519E-2</v>
      </c>
      <c r="C7" s="2">
        <f>'Calc-Allocation'!I47</f>
        <v>7.5734364440090088E-2</v>
      </c>
      <c r="D7" s="2">
        <f>'Calc-Allocation'!H47</f>
        <v>5.9749506838939877E-2</v>
      </c>
      <c r="E7" s="2">
        <f>'Calc-Allocation'!G47</f>
        <v>0.27202086792538993</v>
      </c>
      <c r="F7" s="2">
        <f>'Calc-Allocation'!E47</f>
        <v>0.53226629902330469</v>
      </c>
      <c r="G7" s="2" t="s">
        <v>936</v>
      </c>
    </row>
    <row r="8" spans="1:7" ht="14.1" customHeight="1">
      <c r="A8" s="2" t="s">
        <v>937</v>
      </c>
      <c r="B8" s="2">
        <f>'Calc-Allocation'!O52</f>
        <v>0.11516973718887487</v>
      </c>
      <c r="C8" s="2">
        <f>'Calc-Allocation'!N52</f>
        <v>0.13309735353145669</v>
      </c>
      <c r="D8" s="2">
        <f>'Calc-Allocation'!M52</f>
        <v>6.6073992265868187E-2</v>
      </c>
      <c r="E8" s="2">
        <f>'Calc-Allocation'!L52</f>
        <v>0.24409200721581503</v>
      </c>
      <c r="F8" s="2">
        <f>'Calc-Allocation'!K52</f>
        <v>0.44156690979798519</v>
      </c>
      <c r="G8" s="2" t="s">
        <v>936</v>
      </c>
    </row>
    <row r="9" spans="1:7" ht="14.1" customHeight="1">
      <c r="A9" s="2" t="s">
        <v>938</v>
      </c>
      <c r="B9" s="2">
        <f>'Calc-Allocation'!S81</f>
        <v>0.1395795982029191</v>
      </c>
      <c r="C9" s="2">
        <f>'Calc-Allocation'!O81</f>
        <v>0.16130691604623337</v>
      </c>
      <c r="D9" s="2">
        <f>'Calc-Allocation'!N81</f>
        <v>7.8542319164720611E-2</v>
      </c>
      <c r="E9" s="2">
        <f>'Calc-Allocation'!M81</f>
        <v>0.1928349177039862</v>
      </c>
      <c r="F9" s="2">
        <f>'Calc-Allocation'!L81</f>
        <v>0.33904133352874527</v>
      </c>
      <c r="G9" s="2">
        <f>'Calc-Allocation'!P81</f>
        <v>8.8694915353395465E-2</v>
      </c>
    </row>
    <row r="10" spans="1:7" ht="14.1" customHeight="1">
      <c r="A10" s="2" t="s">
        <v>939</v>
      </c>
      <c r="B10" s="2">
        <f>'Calc-Opex'!AD49</f>
        <v>0.63297179024843442</v>
      </c>
      <c r="C10" s="2">
        <f>'Calc-Opex'!AC49</f>
        <v>0.63297179024843431</v>
      </c>
      <c r="D10" s="2">
        <f>'Calc-Opex'!AB49</f>
        <v>0.8954618032508217</v>
      </c>
      <c r="E10" s="2">
        <f>'Calc-Opex'!AA49</f>
        <v>0.88106017376320722</v>
      </c>
      <c r="F10" s="2">
        <f>'Calc-Opex'!Z49</f>
        <v>0.73601676107323522</v>
      </c>
      <c r="G10" s="2" t="s">
        <v>936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abSelected="1" topLeftCell="A37" workbookViewId="0">
      <selection activeCell="E58" sqref="E58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Mid East in April 17  Status: Finals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9" t="s">
        <v>961</v>
      </c>
      <c r="B3" s="15"/>
      <c r="C3" s="15"/>
      <c r="D3" s="15"/>
      <c r="E3" s="15"/>
      <c r="F3" s="15"/>
      <c r="G3" s="15"/>
      <c r="H3" s="15"/>
    </row>
    <row r="4" spans="1:9" ht="17.25">
      <c r="A4" s="39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959</v>
      </c>
      <c r="D5" s="15"/>
      <c r="E5" s="15"/>
      <c r="F5" s="15"/>
      <c r="G5" s="15"/>
      <c r="H5" s="15"/>
    </row>
    <row r="6" spans="1:9">
      <c r="A6" s="14" t="s">
        <v>222</v>
      </c>
      <c r="B6" s="40">
        <f>SUM('Data-MEAV'!I19:I39)</f>
        <v>8538239.7638876997</v>
      </c>
      <c r="E6" s="15"/>
      <c r="F6" s="15"/>
      <c r="G6" s="15"/>
      <c r="H6" s="15"/>
    </row>
    <row r="7" spans="1:9">
      <c r="A7" s="14" t="s">
        <v>38</v>
      </c>
      <c r="B7" s="40">
        <f>SUM('Data-MEAV'!I62:I63,'Data-MEAV'!I69:I70,'Data-MEAV'!I75:I78,'Data-MEAV'!I153:I154)</f>
        <v>760542.34925782215</v>
      </c>
      <c r="E7" s="15"/>
      <c r="F7" s="15"/>
      <c r="G7" s="15"/>
      <c r="H7" s="15"/>
    </row>
    <row r="8" spans="1:9">
      <c r="A8" s="14" t="s">
        <v>223</v>
      </c>
      <c r="B8" s="40">
        <f>SUM('Data-MEAV'!I41:I58,'Data-MEAV'!I61,'Data-MEAV'!I64:I65,'Data-MEAV'!I68,'Data-MEAV'!I71:I72)</f>
        <v>1624509.0141403514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40">
        <f>SUM('Data-MEAV'!I59:I60,'Data-MEAV'!I66:I67,'Data-MEAV'!I110,'Data-MEAV'!I112,'Data-MEAV'!I115:I119,'Data-MEAV'!I149:I150)</f>
        <v>1031189.4535040611</v>
      </c>
      <c r="D10" s="16"/>
      <c r="E10" s="15"/>
      <c r="F10" s="15"/>
      <c r="G10" s="15"/>
      <c r="H10" s="15"/>
    </row>
    <row r="11" spans="1:9">
      <c r="A11" s="14" t="s">
        <v>402</v>
      </c>
      <c r="B11" s="40">
        <f>SUM('Data-MEAV'!I82:I85,'Data-MEAV'!I88:I91,'Data-MEAV'!I94:I99,'Data-MEAV'!I102)</f>
        <v>720647.17279849679</v>
      </c>
      <c r="D11" s="16"/>
      <c r="E11" s="15"/>
      <c r="F11" s="15"/>
      <c r="G11" s="15"/>
      <c r="H11" s="15"/>
    </row>
    <row r="12" spans="1:9">
      <c r="A12" s="14" t="s">
        <v>36</v>
      </c>
      <c r="B12" s="40">
        <f>SUM('Data-MEAV'!I105:I109,'Data-MEAV'!I111,'Data-MEAV'!I144:I145)</f>
        <v>611697.00564528489</v>
      </c>
      <c r="D12" s="16"/>
      <c r="E12" s="15"/>
      <c r="F12" s="15"/>
      <c r="G12" s="15"/>
      <c r="H12" s="15"/>
    </row>
    <row r="13" spans="1:9">
      <c r="A13" s="14" t="s">
        <v>401</v>
      </c>
      <c r="B13" s="40">
        <f>SUM('Data-MEAV'!I123:I124,'Data-MEAV'!I127:I129,'Data-MEAV'!I132:I134,'Data-MEAV'!I137,'Data-MEAV'!I140:I141)</f>
        <v>4948880.4032057784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953</v>
      </c>
      <c r="B15" s="40">
        <f>SUM(B10:B13)</f>
        <v>7312414.0351536218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9" t="s">
        <v>962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960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41">
        <f>B10/B$15</f>
        <v>0.14101901896510946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402</v>
      </c>
      <c r="B21" s="41">
        <f>B11/B$15</f>
        <v>9.8551199280301302E-2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41">
        <f>B12/B$15</f>
        <v>8.3651855967758273E-2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401</v>
      </c>
      <c r="B23" s="41">
        <f>B13/B$15</f>
        <v>0.67677792578683094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9" t="s">
        <v>963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849</v>
      </c>
      <c r="C27" s="6" t="s">
        <v>441</v>
      </c>
      <c r="D27" s="6" t="s">
        <v>525</v>
      </c>
      <c r="E27" s="6" t="s">
        <v>223</v>
      </c>
      <c r="F27" s="6" t="s">
        <v>37</v>
      </c>
      <c r="G27" s="6" t="s">
        <v>402</v>
      </c>
      <c r="H27" s="6" t="s">
        <v>36</v>
      </c>
      <c r="I27" s="6" t="s">
        <v>401</v>
      </c>
    </row>
    <row r="28" spans="1:9">
      <c r="A28" s="14" t="s">
        <v>952</v>
      </c>
      <c r="B28" s="41">
        <f>'Calc-Summary'!B9</f>
        <v>0.1395795982029191</v>
      </c>
      <c r="C28" s="41">
        <f>'Calc-Summary'!C9</f>
        <v>0.16130691604623337</v>
      </c>
      <c r="D28" s="41">
        <f>'Calc-Summary'!D9</f>
        <v>7.8542319164720611E-2</v>
      </c>
      <c r="E28" s="41">
        <f>'Calc-Summary'!E9</f>
        <v>0.1928349177039862</v>
      </c>
      <c r="F28" s="41">
        <f>'Calc-Summary'!$F9*'EDCM discounts'!$B20</f>
        <v>4.7811276242846132E-2</v>
      </c>
      <c r="G28" s="41">
        <f>'Calc-Summary'!$F9*'EDCM discounts'!$B21</f>
        <v>3.3412930024850476E-2</v>
      </c>
      <c r="H28" s="41">
        <f>'Calc-Summary'!$F9*'EDCM discounts'!$B22</f>
        <v>2.8361436799463294E-2</v>
      </c>
      <c r="I28" s="41">
        <f>'Calc-Summary'!$F9*'EDCM discounts'!$B23</f>
        <v>0.22945569046158537</v>
      </c>
    </row>
    <row r="29" spans="1:9">
      <c r="A29" s="14" t="s">
        <v>939</v>
      </c>
      <c r="B29" s="41">
        <f>'Calc-Summary'!B10</f>
        <v>0.63297179024843442</v>
      </c>
      <c r="C29" s="41">
        <f>'Calc-Summary'!C10</f>
        <v>0.63297179024843431</v>
      </c>
      <c r="D29" s="41">
        <f>'Calc-Summary'!D10</f>
        <v>0.8954618032508217</v>
      </c>
      <c r="E29" s="41">
        <f>'Calc-Summary'!E10</f>
        <v>0.88106017376320722</v>
      </c>
      <c r="F29" s="41">
        <f>'Calc-Summary'!$F10</f>
        <v>0.73601676107323522</v>
      </c>
      <c r="G29" s="41">
        <f>'Calc-Summary'!$F10</f>
        <v>0.73601676107323522</v>
      </c>
      <c r="H29" s="41">
        <f>'Calc-Summary'!$F10</f>
        <v>0.73601676107323522</v>
      </c>
      <c r="I29" s="41">
        <f>'Calc-Summary'!$F10</f>
        <v>0.73601676107323522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9" t="s">
        <v>956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9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958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954</v>
      </c>
      <c r="B34" s="46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955</v>
      </c>
      <c r="B35" s="46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9" t="s">
        <v>957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824" t="s">
        <v>951</v>
      </c>
      <c r="C39" s="1825"/>
      <c r="D39" s="1825"/>
      <c r="E39" s="1825"/>
      <c r="F39" s="1824" t="s">
        <v>970</v>
      </c>
      <c r="G39" s="1824"/>
      <c r="H39" s="1824"/>
      <c r="I39" s="1824"/>
    </row>
    <row r="40" spans="1:9">
      <c r="A40" s="15"/>
      <c r="B40" s="18" t="s">
        <v>37</v>
      </c>
      <c r="C40" s="18" t="s">
        <v>402</v>
      </c>
      <c r="D40" s="18" t="s">
        <v>36</v>
      </c>
      <c r="E40" s="18" t="s">
        <v>401</v>
      </c>
      <c r="F40" s="18" t="s">
        <v>37</v>
      </c>
      <c r="G40" s="18" t="s">
        <v>402</v>
      </c>
      <c r="H40" s="18" t="s">
        <v>36</v>
      </c>
      <c r="I40" s="18" t="s">
        <v>401</v>
      </c>
    </row>
    <row r="41" spans="1:9">
      <c r="A41" s="14" t="s">
        <v>946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</row>
    <row r="42" spans="1:9">
      <c r="A42" s="14" t="s">
        <v>945</v>
      </c>
      <c r="B42" s="44">
        <v>0</v>
      </c>
      <c r="C42" s="44">
        <v>0</v>
      </c>
      <c r="D42" s="44">
        <v>0</v>
      </c>
      <c r="E42" s="38">
        <f>B35*$I$29</f>
        <v>0.73601676107323522</v>
      </c>
      <c r="F42" s="44">
        <v>0</v>
      </c>
      <c r="G42" s="44">
        <v>0</v>
      </c>
      <c r="H42" s="44">
        <v>0</v>
      </c>
      <c r="I42" s="44">
        <v>0</v>
      </c>
    </row>
    <row r="43" spans="1:9">
      <c r="A43" s="14" t="s">
        <v>944</v>
      </c>
      <c r="B43" s="44">
        <v>0</v>
      </c>
      <c r="C43" s="44">
        <v>0</v>
      </c>
      <c r="D43" s="44">
        <v>1</v>
      </c>
      <c r="E43" s="44">
        <v>1</v>
      </c>
      <c r="F43" s="44">
        <v>0</v>
      </c>
      <c r="G43" s="44">
        <v>0</v>
      </c>
      <c r="H43" s="44">
        <v>0</v>
      </c>
      <c r="I43" s="44">
        <v>0</v>
      </c>
    </row>
    <row r="44" spans="1:9">
      <c r="A44" s="14" t="s">
        <v>943</v>
      </c>
      <c r="B44" s="44">
        <v>0</v>
      </c>
      <c r="C44" s="38">
        <f>B34*$G$29</f>
        <v>0.73601676107323522</v>
      </c>
      <c r="D44" s="44">
        <v>1</v>
      </c>
      <c r="E44" s="44">
        <v>1</v>
      </c>
      <c r="F44" s="44">
        <v>0</v>
      </c>
      <c r="G44" s="44">
        <v>0</v>
      </c>
      <c r="H44" s="44">
        <v>0</v>
      </c>
      <c r="I44" s="44">
        <v>0</v>
      </c>
    </row>
    <row r="45" spans="1:9">
      <c r="A45" s="14" t="s">
        <v>942</v>
      </c>
      <c r="B45" s="44">
        <v>1</v>
      </c>
      <c r="C45" s="44">
        <v>1</v>
      </c>
      <c r="D45" s="44">
        <v>1</v>
      </c>
      <c r="E45" s="44">
        <v>1</v>
      </c>
      <c r="F45" s="44">
        <v>0</v>
      </c>
      <c r="G45" s="44">
        <v>0</v>
      </c>
      <c r="H45" s="44">
        <v>0</v>
      </c>
      <c r="I45" s="44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9" t="s">
        <v>969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950</v>
      </c>
      <c r="C49" s="6" t="s">
        <v>949</v>
      </c>
      <c r="D49" s="6" t="s">
        <v>948</v>
      </c>
      <c r="E49" s="6" t="s">
        <v>947</v>
      </c>
      <c r="F49" s="15"/>
      <c r="G49" s="15"/>
      <c r="H49" s="15"/>
      <c r="I49" s="15"/>
    </row>
    <row r="50" spans="1:9">
      <c r="A50" s="14" t="s">
        <v>946</v>
      </c>
      <c r="B50" s="38">
        <f>(SUM(B$28:$I$28)-SUMPRODUCT($B41:$E41,$F$28:$I$28))/(1-SUMPRODUCT($F41:$I41,$F$28:$I$28))</f>
        <v>0.91130508464660442</v>
      </c>
      <c r="C50" s="38">
        <f>(SUM(D$28:$I$28)-SUMPRODUCT($B41:$E41,$F$28:$I$28))/(1-SUM($B$28:C$28)-SUMPRODUCT($F41:$I41,$F$28:$I$28))</f>
        <v>0.8731323066123704</v>
      </c>
      <c r="D50" s="38">
        <f>(SUM(E$28:$I$28)-SUMPRODUCT($B41:$E41,$F$28:$I$28))/(1-SUM($B$28:D$28)-SUMPRODUCT($F41:$I41,$F$28:$I$28))</f>
        <v>0.8570753523059701</v>
      </c>
      <c r="E50" s="38">
        <f>(SUM(F$28:$I$28)-SUMPRODUCT($B41:$E41,$F$28:$I$28))/(1-SUM($B$28:E$28)-SUMPRODUCT($F41:$I41,$F$28:$I$28))</f>
        <v>0.79264110632383022</v>
      </c>
      <c r="F50" s="15"/>
      <c r="G50" s="15"/>
      <c r="H50" s="15"/>
      <c r="I50" s="15"/>
    </row>
    <row r="51" spans="1:9">
      <c r="A51" s="14" t="s">
        <v>945</v>
      </c>
      <c r="B51" s="38">
        <f>(SUM(B$28:$I$28)-SUMPRODUCT($B42:$E42,$F$28:$I$28))/(1-SUMPRODUCT($F42:$I42,$F$28:$I$28))</f>
        <v>0.7424218505432455</v>
      </c>
      <c r="C51" s="38">
        <f>(SUM(D$28:$I$28)-SUMPRODUCT($B42:$E42,$F$28:$I$28))/(1-SUM($B$28:C$28)-SUMPRODUCT($F42:$I42,$F$28:$I$28))</f>
        <v>0.63156461045789214</v>
      </c>
      <c r="D51" s="38">
        <f>(SUM(E$28:$I$28)-SUMPRODUCT($B42:$E42,$F$28:$I$28))/(1-SUM($B$28:D$28)-SUMPRODUCT($F42:$I42,$F$28:$I$28))</f>
        <v>0.58493374599767856</v>
      </c>
      <c r="E51" s="38">
        <f>(SUM(F$28:$I$28)-SUMPRODUCT($B42:$E42,$F$28:$I$28))/(1-SUM($B$28:E$28)-SUMPRODUCT($F42:$I42,$F$28:$I$28))</f>
        <v>0.3978108001603391</v>
      </c>
      <c r="F51" s="15"/>
      <c r="G51" s="15"/>
      <c r="H51" s="15"/>
      <c r="I51" s="15"/>
    </row>
    <row r="52" spans="1:9">
      <c r="A52" s="14" t="s">
        <v>944</v>
      </c>
      <c r="B52" s="38">
        <f>(SUM(B$28:$I$28)-SUMPRODUCT($B43:$E43,$F$28:$I$28))/(1-SUMPRODUCT($F43:$I43,$F$28:$I$28))</f>
        <v>0.65348795738555576</v>
      </c>
      <c r="C52" s="38">
        <f>(SUM(D$28:$I$28)-SUMPRODUCT($B43:$E43,$F$28:$I$28))/(1-SUM($B$28:C$28)-SUMPRODUCT($F43:$I43,$F$28:$I$28))</f>
        <v>0.50435508729703538</v>
      </c>
      <c r="D52" s="38">
        <f>(SUM(E$28:$I$28)-SUMPRODUCT($B43:$E43,$F$28:$I$28))/(1-SUM($B$28:D$28)-SUMPRODUCT($F43:$I43,$F$28:$I$28))</f>
        <v>0.44162400499419135</v>
      </c>
      <c r="E52" s="38">
        <f>(SUM(F$28:$I$28)-SUMPRODUCT($B43:$E43,$F$28:$I$28))/(1-SUM($B$28:E$28)-SUMPRODUCT($F43:$I43,$F$28:$I$28))</f>
        <v>0.18989320283228386</v>
      </c>
      <c r="F52" s="15"/>
      <c r="G52" s="15"/>
      <c r="H52" s="15"/>
      <c r="I52" s="15"/>
    </row>
    <row r="53" spans="1:9">
      <c r="A53" s="14" t="s">
        <v>943</v>
      </c>
      <c r="B53" s="38">
        <f>(SUM(B$28:$I$28)-SUMPRODUCT($B44:$E44,$F$28:$I$28))/(1-SUMPRODUCT($F44:$I44,$F$28:$I$28))</f>
        <v>0.62889548085069868</v>
      </c>
      <c r="C53" s="38">
        <f>(SUM(D$28:$I$28)-SUMPRODUCT($B44:$E44,$F$28:$I$28))/(1-SUM($B$28:C$28)-SUMPRODUCT($F44:$I44,$F$28:$I$28))</f>
        <v>0.46917842851974861</v>
      </c>
      <c r="D53" s="38">
        <f>(SUM(E$28:$I$28)-SUMPRODUCT($B44:$E44,$F$28:$I$28))/(1-SUM($B$28:D$28)-SUMPRODUCT($F44:$I44,$F$28:$I$28))</f>
        <v>0.4019952277338093</v>
      </c>
      <c r="E53" s="38">
        <f>(SUM(F$28:$I$28)-SUMPRODUCT($B44:$E44,$F$28:$I$28))/(1-SUM($B$28:E$28)-SUMPRODUCT($F44:$I44,$F$28:$I$28))</f>
        <v>0.13239871505125567</v>
      </c>
      <c r="F53" s="15"/>
      <c r="G53" s="15"/>
      <c r="H53" s="15"/>
      <c r="I53" s="15"/>
    </row>
    <row r="54" spans="1:9">
      <c r="A54" s="14" t="s">
        <v>942</v>
      </c>
      <c r="B54" s="38">
        <f>(SUM(B$28:$I$28)-SUMPRODUCT($B45:$E45,$F$28:$I$28))/(1-SUMPRODUCT($F45:$I45,$F$28:$I$28))</f>
        <v>0.57226375111785921</v>
      </c>
      <c r="C54" s="38">
        <f>(SUM(D$28:$I$28)-SUMPRODUCT($B45:$E45,$F$28:$I$28))/(1-SUM($B$28:C$28)-SUMPRODUCT($F45:$I45,$F$28:$I$28))</f>
        <v>0.3881733687017177</v>
      </c>
      <c r="D54" s="38">
        <f>(SUM(E$28:$I$28)-SUMPRODUCT($B45:$E45,$F$28:$I$28))/(1-SUM($B$28:D$28)-SUMPRODUCT($F45:$I45,$F$28:$I$28))</f>
        <v>0.31073779783357591</v>
      </c>
      <c r="E54" s="38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9" t="s">
        <v>968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950</v>
      </c>
      <c r="C58" s="6" t="s">
        <v>949</v>
      </c>
      <c r="D58" s="6" t="s">
        <v>948</v>
      </c>
      <c r="E58" s="6" t="s">
        <v>947</v>
      </c>
    </row>
    <row r="59" spans="1:9">
      <c r="A59" s="14" t="s">
        <v>946</v>
      </c>
      <c r="B59" s="38">
        <f>MIN(1,B50)</f>
        <v>0.91130508464660442</v>
      </c>
      <c r="C59" s="38">
        <f t="shared" ref="C59:E59" si="0">MIN(1,C50)</f>
        <v>0.8731323066123704</v>
      </c>
      <c r="D59" s="38">
        <f t="shared" si="0"/>
        <v>0.8570753523059701</v>
      </c>
      <c r="E59" s="38">
        <f t="shared" si="0"/>
        <v>0.79264110632383022</v>
      </c>
    </row>
    <row r="60" spans="1:9">
      <c r="A60" s="14" t="s">
        <v>945</v>
      </c>
      <c r="B60" s="38">
        <f t="shared" ref="B60:E60" si="1">MIN(1,B51)</f>
        <v>0.7424218505432455</v>
      </c>
      <c r="C60" s="38">
        <f t="shared" si="1"/>
        <v>0.63156461045789214</v>
      </c>
      <c r="D60" s="38">
        <f t="shared" si="1"/>
        <v>0.58493374599767856</v>
      </c>
      <c r="E60" s="38">
        <f t="shared" si="1"/>
        <v>0.3978108001603391</v>
      </c>
    </row>
    <row r="61" spans="1:9">
      <c r="A61" s="14" t="s">
        <v>944</v>
      </c>
      <c r="B61" s="38">
        <f t="shared" ref="B61:E61" si="2">MIN(1,B52)</f>
        <v>0.65348795738555576</v>
      </c>
      <c r="C61" s="38">
        <f t="shared" si="2"/>
        <v>0.50435508729703538</v>
      </c>
      <c r="D61" s="38">
        <f t="shared" si="2"/>
        <v>0.44162400499419135</v>
      </c>
      <c r="E61" s="38">
        <f t="shared" si="2"/>
        <v>0.18989320283228386</v>
      </c>
    </row>
    <row r="62" spans="1:9">
      <c r="A62" s="14" t="s">
        <v>943</v>
      </c>
      <c r="B62" s="38">
        <f t="shared" ref="B62:E62" si="3">MIN(1,B53)</f>
        <v>0.62889548085069868</v>
      </c>
      <c r="C62" s="38">
        <f t="shared" si="3"/>
        <v>0.46917842851974861</v>
      </c>
      <c r="D62" s="38">
        <f t="shared" si="3"/>
        <v>0.4019952277338093</v>
      </c>
      <c r="E62" s="38">
        <f t="shared" si="3"/>
        <v>0.13239871505125567</v>
      </c>
    </row>
    <row r="63" spans="1:9">
      <c r="A63" s="14" t="s">
        <v>942</v>
      </c>
      <c r="B63" s="38">
        <f t="shared" ref="B63:E63" si="4">MIN(1,B54)</f>
        <v>0.57226375111785921</v>
      </c>
      <c r="C63" s="38">
        <f t="shared" si="4"/>
        <v>0.3881733687017177</v>
      </c>
      <c r="D63" s="38">
        <f t="shared" si="4"/>
        <v>0.31073779783357591</v>
      </c>
      <c r="E63" s="38">
        <f t="shared" si="4"/>
        <v>0</v>
      </c>
    </row>
  </sheetData>
  <sheetProtection sheet="1" objects="1" scenarios="1"/>
  <mergeCells count="2">
    <mergeCell ref="B39:E39"/>
    <mergeCell ref="F39:I39"/>
  </mergeCells>
  <pageMargins left="0.74803149606299213" right="0.74803149606299213" top="0.98425196850393704" bottom="0.98425196850393704" header="0.51181102362204722" footer="0.51181102362204722"/>
  <pageSetup paperSize="9" scale="61" orientation="portrait" horizontalDpi="4294967292" verticalDpi="4294967292" r:id="rId1"/>
  <headerFooter>
    <oddHeader>&amp;A&amp;RPage &amp;P</oddHeader>
    <oddFooter>&amp;L&amp;Z&amp;F&amp;R&amp;D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I33"/>
  <sheetViews>
    <sheetView workbookViewId="0">
      <selection activeCell="C3" sqref="C3:H30"/>
    </sheetView>
  </sheetViews>
  <sheetFormatPr defaultColWidth="8.85546875" defaultRowHeight="15"/>
  <cols>
    <col min="1" max="1" width="5" style="2" customWidth="1"/>
    <col min="2" max="2" width="38.140625" style="2" bestFit="1" customWidth="1"/>
    <col min="3" max="8" width="9.42578125" style="2" customWidth="1"/>
    <col min="9" max="16384" width="8.85546875" style="2"/>
  </cols>
  <sheetData>
    <row r="1" spans="1:9"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9">
      <c r="C2" s="2" t="s">
        <v>45</v>
      </c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</row>
    <row r="3" spans="1:9">
      <c r="A3" s="2">
        <v>1</v>
      </c>
      <c r="B3" s="2" t="s">
        <v>46</v>
      </c>
      <c r="C3" s="65"/>
      <c r="D3" s="66">
        <v>947.9</v>
      </c>
      <c r="E3" s="66">
        <v>989.2</v>
      </c>
      <c r="F3" s="66">
        <v>1030.2</v>
      </c>
      <c r="G3" s="66">
        <v>1064.8</v>
      </c>
      <c r="H3" s="66">
        <v>1093.2</v>
      </c>
      <c r="I3" s="2" t="s">
        <v>47</v>
      </c>
    </row>
    <row r="4" spans="1:9">
      <c r="A4" s="2">
        <v>2</v>
      </c>
      <c r="B4" s="2" t="s">
        <v>48</v>
      </c>
      <c r="C4" s="65"/>
      <c r="D4" s="66">
        <v>117.8</v>
      </c>
      <c r="E4" s="66">
        <v>117.5</v>
      </c>
      <c r="F4" s="66">
        <v>117</v>
      </c>
      <c r="G4" s="66">
        <v>116.6</v>
      </c>
      <c r="H4" s="66">
        <v>116.4</v>
      </c>
      <c r="I4" s="2" t="s">
        <v>47</v>
      </c>
    </row>
    <row r="5" spans="1:9">
      <c r="A5" s="2">
        <v>3</v>
      </c>
      <c r="B5" s="2" t="s">
        <v>49</v>
      </c>
      <c r="C5" s="65"/>
      <c r="D5" s="66">
        <v>-76.5</v>
      </c>
      <c r="E5" s="66">
        <v>-76.5</v>
      </c>
      <c r="F5" s="66">
        <v>-82.4</v>
      </c>
      <c r="G5" s="66">
        <v>-88.2</v>
      </c>
      <c r="H5" s="66">
        <v>-94.1</v>
      </c>
      <c r="I5" s="2" t="s">
        <v>47</v>
      </c>
    </row>
    <row r="6" spans="1:9">
      <c r="A6" s="2">
        <v>4</v>
      </c>
      <c r="B6" s="2" t="s">
        <v>50</v>
      </c>
      <c r="C6" s="65"/>
      <c r="D6" s="66">
        <v>989.2</v>
      </c>
      <c r="E6" s="66">
        <v>1030.2</v>
      </c>
      <c r="F6" s="66">
        <v>1064.8</v>
      </c>
      <c r="G6" s="66">
        <v>1093.2</v>
      </c>
      <c r="H6" s="66">
        <v>1115.5999999999999</v>
      </c>
      <c r="I6" s="2" t="s">
        <v>47</v>
      </c>
    </row>
    <row r="7" spans="1:9">
      <c r="A7" s="2">
        <v>5</v>
      </c>
      <c r="B7" s="2" t="s">
        <v>51</v>
      </c>
      <c r="C7" s="65"/>
      <c r="D7" s="66">
        <v>947.9</v>
      </c>
      <c r="E7" s="66"/>
      <c r="F7" s="66"/>
      <c r="G7" s="66"/>
      <c r="H7" s="66">
        <v>851.7</v>
      </c>
    </row>
    <row r="8" spans="1:9">
      <c r="A8" s="2">
        <v>6</v>
      </c>
      <c r="B8" s="2" t="s">
        <v>52</v>
      </c>
      <c r="C8" s="65"/>
      <c r="D8" s="66"/>
      <c r="E8" s="66"/>
      <c r="F8" s="66"/>
      <c r="G8" s="66"/>
      <c r="H8" s="66">
        <v>96.2</v>
      </c>
    </row>
    <row r="9" spans="1:9">
      <c r="A9" s="2" t="s">
        <v>53</v>
      </c>
      <c r="C9"/>
      <c r="D9" s="67"/>
      <c r="E9" s="67"/>
      <c r="F9" s="67"/>
      <c r="G9" s="67"/>
      <c r="H9" s="67"/>
    </row>
    <row r="10" spans="1:9">
      <c r="A10" s="2">
        <v>7</v>
      </c>
      <c r="B10" s="2" t="s">
        <v>54</v>
      </c>
      <c r="C10" s="65"/>
      <c r="D10" s="66">
        <v>75.2</v>
      </c>
      <c r="E10" s="66">
        <v>77.7</v>
      </c>
      <c r="F10" s="66">
        <v>78.2</v>
      </c>
      <c r="G10" s="66">
        <v>76.900000000000006</v>
      </c>
      <c r="H10" s="66">
        <v>76.2</v>
      </c>
      <c r="I10" s="2" t="s">
        <v>47</v>
      </c>
    </row>
    <row r="11" spans="1:9">
      <c r="A11" s="2">
        <v>8</v>
      </c>
      <c r="B11" s="2" t="s">
        <v>55</v>
      </c>
      <c r="C11" s="65"/>
      <c r="D11" s="66">
        <v>110.3</v>
      </c>
      <c r="E11" s="66">
        <v>109.9</v>
      </c>
      <c r="F11" s="66">
        <v>109.4</v>
      </c>
      <c r="G11" s="66">
        <v>109</v>
      </c>
      <c r="H11" s="66">
        <v>108.8</v>
      </c>
      <c r="I11" s="2" t="s">
        <v>47</v>
      </c>
    </row>
    <row r="12" spans="1:9">
      <c r="A12" s="2">
        <v>9</v>
      </c>
      <c r="B12" s="2" t="s">
        <v>56</v>
      </c>
      <c r="C12" s="65"/>
      <c r="D12" s="66">
        <v>13</v>
      </c>
      <c r="E12" s="66">
        <v>13.1</v>
      </c>
      <c r="F12" s="66">
        <v>13.1</v>
      </c>
      <c r="G12" s="66">
        <v>13.1</v>
      </c>
      <c r="H12" s="66">
        <v>13.1</v>
      </c>
      <c r="I12" s="2" t="s">
        <v>47</v>
      </c>
    </row>
    <row r="13" spans="1:9">
      <c r="A13" s="2">
        <v>10</v>
      </c>
      <c r="B13" s="2" t="s">
        <v>57</v>
      </c>
      <c r="C13" s="65"/>
      <c r="D13" s="66">
        <v>27.2</v>
      </c>
      <c r="E13" s="66">
        <v>26.3</v>
      </c>
      <c r="F13" s="66">
        <v>26.4</v>
      </c>
      <c r="G13" s="66">
        <v>26.8</v>
      </c>
      <c r="H13" s="66">
        <v>26.8</v>
      </c>
      <c r="I13" s="2" t="s">
        <v>47</v>
      </c>
    </row>
    <row r="14" spans="1:9">
      <c r="A14" s="2">
        <v>11</v>
      </c>
      <c r="B14" s="2" t="s">
        <v>58</v>
      </c>
      <c r="C14" s="65"/>
      <c r="D14" s="66">
        <v>-0.8</v>
      </c>
      <c r="E14" s="66">
        <v>0.6</v>
      </c>
      <c r="F14" s="66">
        <v>-0.6</v>
      </c>
      <c r="G14" s="66">
        <v>-0.6</v>
      </c>
      <c r="H14" s="66">
        <v>-0.2</v>
      </c>
      <c r="I14" s="2" t="s">
        <v>47</v>
      </c>
    </row>
    <row r="15" spans="1:9">
      <c r="A15" s="2">
        <v>12</v>
      </c>
      <c r="B15" s="2" t="s">
        <v>59</v>
      </c>
      <c r="C15" s="65"/>
      <c r="D15" s="66">
        <v>1.4</v>
      </c>
      <c r="E15" s="66">
        <v>1.4</v>
      </c>
      <c r="F15" s="66">
        <v>1.5</v>
      </c>
      <c r="G15" s="66">
        <v>1.5</v>
      </c>
      <c r="H15" s="66">
        <v>1.6</v>
      </c>
      <c r="I15" s="2" t="s">
        <v>47</v>
      </c>
    </row>
    <row r="16" spans="1:9">
      <c r="A16" s="2">
        <v>13</v>
      </c>
      <c r="B16" s="2" t="s">
        <v>60</v>
      </c>
      <c r="C16" s="65"/>
      <c r="D16" s="68" t="s">
        <v>984</v>
      </c>
      <c r="E16" s="68" t="s">
        <v>984</v>
      </c>
      <c r="F16" s="68" t="s">
        <v>984</v>
      </c>
      <c r="G16" s="68" t="s">
        <v>984</v>
      </c>
      <c r="H16" s="68" t="s">
        <v>984</v>
      </c>
      <c r="I16" s="2" t="s">
        <v>47</v>
      </c>
    </row>
    <row r="17" spans="1:9">
      <c r="A17" s="2">
        <v>14</v>
      </c>
      <c r="B17" s="2" t="s">
        <v>61</v>
      </c>
      <c r="C17" s="65"/>
      <c r="D17" s="68" t="s">
        <v>984</v>
      </c>
      <c r="E17" s="68" t="s">
        <v>984</v>
      </c>
      <c r="F17" s="68" t="s">
        <v>984</v>
      </c>
      <c r="G17" s="68" t="s">
        <v>984</v>
      </c>
      <c r="H17" s="68" t="s">
        <v>984</v>
      </c>
      <c r="I17" s="2" t="s">
        <v>47</v>
      </c>
    </row>
    <row r="18" spans="1:9">
      <c r="A18" s="2">
        <v>15</v>
      </c>
      <c r="B18" s="2" t="s">
        <v>62</v>
      </c>
      <c r="C18" s="65"/>
      <c r="D18" s="68">
        <v>1.5</v>
      </c>
      <c r="E18" s="68" t="s">
        <v>984</v>
      </c>
      <c r="F18" s="68" t="s">
        <v>984</v>
      </c>
      <c r="G18" s="68" t="s">
        <v>984</v>
      </c>
      <c r="H18" s="68" t="s">
        <v>984</v>
      </c>
      <c r="I18" s="2" t="s">
        <v>47</v>
      </c>
    </row>
    <row r="19" spans="1:9">
      <c r="A19" s="2">
        <v>16</v>
      </c>
      <c r="B19" s="2" t="s">
        <v>63</v>
      </c>
      <c r="C19" s="69"/>
      <c r="D19" s="70">
        <v>227.7</v>
      </c>
      <c r="E19" s="70">
        <v>229</v>
      </c>
      <c r="F19" s="70">
        <v>228.1</v>
      </c>
      <c r="G19" s="70">
        <v>226.8</v>
      </c>
      <c r="H19" s="70">
        <v>226.3</v>
      </c>
      <c r="I19" s="2" t="s">
        <v>47</v>
      </c>
    </row>
    <row r="20" spans="1:9">
      <c r="A20" s="2">
        <v>17</v>
      </c>
      <c r="B20" s="2" t="s">
        <v>64</v>
      </c>
      <c r="C20" s="65"/>
      <c r="D20" s="66">
        <v>221.6</v>
      </c>
      <c r="E20" s="66">
        <v>211.2</v>
      </c>
      <c r="F20" s="66">
        <v>199.3</v>
      </c>
      <c r="G20" s="66">
        <v>187.7</v>
      </c>
      <c r="H20" s="66">
        <v>177.5</v>
      </c>
      <c r="I20" s="2" t="s">
        <v>47</v>
      </c>
    </row>
    <row r="21" spans="1:9">
      <c r="A21" s="2">
        <v>18</v>
      </c>
      <c r="B21" s="2" t="s">
        <v>65</v>
      </c>
      <c r="C21" s="65"/>
      <c r="D21" s="66"/>
      <c r="E21" s="66"/>
      <c r="F21" s="66"/>
      <c r="G21" s="66"/>
      <c r="H21" s="66">
        <v>96.2</v>
      </c>
    </row>
    <row r="22" spans="1:9">
      <c r="A22" s="2">
        <v>19</v>
      </c>
      <c r="B22" s="2" t="s">
        <v>66</v>
      </c>
      <c r="C22" s="65"/>
      <c r="D22" s="66"/>
      <c r="E22" s="66"/>
      <c r="F22" s="66"/>
      <c r="G22" s="66"/>
      <c r="H22" s="70">
        <v>1093.5</v>
      </c>
    </row>
    <row r="23" spans="1:9">
      <c r="A23" s="2" t="s">
        <v>67</v>
      </c>
      <c r="C23"/>
      <c r="D23" s="67"/>
      <c r="E23" s="67"/>
      <c r="F23" s="67"/>
      <c r="G23" s="67"/>
      <c r="H23" s="67"/>
    </row>
    <row r="24" spans="1:9">
      <c r="A24" s="2">
        <v>20</v>
      </c>
      <c r="B24" s="2" t="s">
        <v>68</v>
      </c>
      <c r="C24" s="65"/>
      <c r="D24" s="71">
        <v>1</v>
      </c>
      <c r="E24" s="71">
        <v>1.0089999999999999</v>
      </c>
      <c r="F24" s="71">
        <v>1.02</v>
      </c>
      <c r="G24" s="71">
        <v>1.0329999999999999</v>
      </c>
      <c r="H24" s="71">
        <v>1.044</v>
      </c>
      <c r="I24" s="2" t="s">
        <v>47</v>
      </c>
    </row>
    <row r="25" spans="1:9">
      <c r="A25" s="2">
        <v>21</v>
      </c>
      <c r="B25" s="2" t="s">
        <v>69</v>
      </c>
      <c r="C25" s="65"/>
      <c r="D25" s="71">
        <v>0.97299999999999998</v>
      </c>
      <c r="E25" s="71">
        <v>0.93100000000000005</v>
      </c>
      <c r="F25" s="71">
        <v>0.89100000000000001</v>
      </c>
      <c r="G25" s="71">
        <v>0.85499999999999998</v>
      </c>
      <c r="H25" s="71">
        <v>0.81899999999999995</v>
      </c>
      <c r="I25" s="2" t="s">
        <v>47</v>
      </c>
    </row>
    <row r="26" spans="1:9">
      <c r="A26" s="2">
        <v>22</v>
      </c>
      <c r="B26" s="2" t="s">
        <v>70</v>
      </c>
      <c r="C26" s="65">
        <v>256.2</v>
      </c>
      <c r="D26" s="66">
        <v>241.2</v>
      </c>
      <c r="E26" s="66">
        <v>243.4</v>
      </c>
      <c r="F26" s="66">
        <v>246.1</v>
      </c>
      <c r="G26" s="66">
        <v>249.1</v>
      </c>
      <c r="H26" s="66">
        <v>251.8</v>
      </c>
      <c r="I26" s="2" t="s">
        <v>47</v>
      </c>
    </row>
    <row r="27" spans="1:9">
      <c r="A27" s="2">
        <v>23</v>
      </c>
      <c r="B27" s="2" t="s">
        <v>71</v>
      </c>
      <c r="C27" s="65"/>
      <c r="D27" s="66">
        <v>3.5</v>
      </c>
      <c r="E27" s="66">
        <v>3.5</v>
      </c>
      <c r="F27" s="66">
        <v>3.5</v>
      </c>
      <c r="G27" s="66">
        <v>3.5</v>
      </c>
      <c r="H27" s="66">
        <v>3.5</v>
      </c>
      <c r="I27" s="2" t="s">
        <v>47</v>
      </c>
    </row>
    <row r="28" spans="1:9">
      <c r="A28" s="2">
        <v>24</v>
      </c>
      <c r="B28" s="2" t="s">
        <v>72</v>
      </c>
      <c r="C28" s="65"/>
      <c r="D28" s="66">
        <v>244.7</v>
      </c>
      <c r="E28" s="66">
        <v>246.9</v>
      </c>
      <c r="F28" s="66">
        <v>249.6</v>
      </c>
      <c r="G28" s="66">
        <v>252.6</v>
      </c>
      <c r="H28" s="66">
        <v>255.3</v>
      </c>
      <c r="I28" s="2" t="s">
        <v>47</v>
      </c>
    </row>
    <row r="29" spans="1:9">
      <c r="A29" s="2">
        <v>25</v>
      </c>
      <c r="B29" s="2" t="s">
        <v>73</v>
      </c>
      <c r="C29" s="65"/>
      <c r="D29" s="66">
        <v>238.2</v>
      </c>
      <c r="E29" s="66">
        <v>227.7</v>
      </c>
      <c r="F29" s="66">
        <v>218.1</v>
      </c>
      <c r="G29" s="66">
        <v>209.2</v>
      </c>
      <c r="H29" s="66">
        <v>200.3</v>
      </c>
      <c r="I29" s="2" t="s">
        <v>47</v>
      </c>
    </row>
    <row r="30" spans="1:9">
      <c r="A30" s="2">
        <v>26</v>
      </c>
      <c r="B30" s="2" t="s">
        <v>66</v>
      </c>
      <c r="C30" s="65"/>
      <c r="D30" s="66"/>
      <c r="E30" s="66"/>
      <c r="F30" s="66"/>
      <c r="G30" s="66"/>
      <c r="H30" s="70">
        <v>1093.5</v>
      </c>
    </row>
    <row r="32" spans="1:9">
      <c r="A32" s="2" t="s">
        <v>940</v>
      </c>
    </row>
    <row r="33" spans="1:1">
      <c r="A33" s="2" t="s">
        <v>941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2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72" t="s">
        <v>74</v>
      </c>
      <c r="B1" s="72"/>
      <c r="F1" t="s">
        <v>47</v>
      </c>
      <c r="G1" s="73" t="s">
        <v>985</v>
      </c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72"/>
      <c r="B2" s="72"/>
    </row>
    <row r="3" spans="1:31">
      <c r="A3" s="72" t="s">
        <v>75</v>
      </c>
      <c r="B3" s="72"/>
    </row>
    <row r="4" spans="1:31">
      <c r="A4" s="72"/>
      <c r="B4" s="72"/>
    </row>
    <row r="5" spans="1:31">
      <c r="A5" s="72"/>
      <c r="B5" s="72" t="s">
        <v>76</v>
      </c>
    </row>
    <row r="6" spans="1:31" ht="13.5" thickBot="1"/>
    <row r="7" spans="1:31" s="74" customFormat="1" ht="15" customHeight="1" thickBot="1">
      <c r="B7" s="1492" t="s">
        <v>77</v>
      </c>
      <c r="C7" s="1493"/>
      <c r="D7" s="1493"/>
      <c r="E7" s="1494"/>
      <c r="F7" s="1498" t="s">
        <v>78</v>
      </c>
      <c r="G7" s="1489" t="s">
        <v>79</v>
      </c>
      <c r="H7" s="1489"/>
      <c r="I7" s="1489"/>
      <c r="J7" s="1489"/>
      <c r="K7" s="1490"/>
      <c r="L7" s="1489" t="s">
        <v>80</v>
      </c>
      <c r="M7" s="1489"/>
      <c r="N7" s="1489"/>
      <c r="O7" s="1489"/>
      <c r="P7" s="1490"/>
      <c r="Q7" s="1488" t="s">
        <v>81</v>
      </c>
      <c r="R7" s="1489"/>
      <c r="S7" s="1489"/>
      <c r="T7" s="1489"/>
      <c r="U7" s="1490"/>
      <c r="V7" s="1488" t="s">
        <v>82</v>
      </c>
      <c r="W7" s="1489"/>
      <c r="X7" s="1489"/>
      <c r="Y7" s="1489"/>
      <c r="Z7" s="1490"/>
      <c r="AA7" s="1488" t="s">
        <v>44</v>
      </c>
      <c r="AB7" s="1489"/>
      <c r="AC7" s="1489"/>
      <c r="AD7" s="1489"/>
      <c r="AE7" s="1490"/>
    </row>
    <row r="8" spans="1:31" ht="38.25">
      <c r="B8" s="1486"/>
      <c r="C8" s="1491"/>
      <c r="D8" s="1491"/>
      <c r="E8" s="1487"/>
      <c r="F8" s="1499"/>
      <c r="G8" s="1491" t="s">
        <v>83</v>
      </c>
      <c r="H8" s="1491"/>
      <c r="I8" s="1486" t="s">
        <v>84</v>
      </c>
      <c r="J8" s="1491"/>
      <c r="K8" s="75" t="s">
        <v>85</v>
      </c>
      <c r="L8" s="1491" t="s">
        <v>83</v>
      </c>
      <c r="M8" s="1491"/>
      <c r="N8" s="1486" t="s">
        <v>84</v>
      </c>
      <c r="O8" s="1487"/>
      <c r="P8" s="76" t="s">
        <v>85</v>
      </c>
      <c r="Q8" s="1491" t="s">
        <v>83</v>
      </c>
      <c r="R8" s="1491"/>
      <c r="S8" s="1486" t="s">
        <v>84</v>
      </c>
      <c r="T8" s="1491"/>
      <c r="U8" s="75" t="s">
        <v>85</v>
      </c>
      <c r="V8" s="1491" t="s">
        <v>83</v>
      </c>
      <c r="W8" s="1491"/>
      <c r="X8" s="1486" t="s">
        <v>84</v>
      </c>
      <c r="Y8" s="1487"/>
      <c r="Z8" s="76" t="s">
        <v>85</v>
      </c>
      <c r="AA8" s="1491" t="s">
        <v>83</v>
      </c>
      <c r="AB8" s="1491"/>
      <c r="AC8" s="1486" t="s">
        <v>84</v>
      </c>
      <c r="AD8" s="1487"/>
      <c r="AE8" s="76" t="s">
        <v>86</v>
      </c>
    </row>
    <row r="9" spans="1:31" s="74" customFormat="1" ht="15.75" customHeight="1" thickBot="1">
      <c r="B9" s="1495"/>
      <c r="C9" s="1496"/>
      <c r="D9" s="1496"/>
      <c r="E9" s="1497"/>
      <c r="F9" s="1500"/>
      <c r="G9" s="77" t="s">
        <v>87</v>
      </c>
      <c r="H9" s="78" t="s">
        <v>88</v>
      </c>
      <c r="I9" s="79" t="s">
        <v>87</v>
      </c>
      <c r="J9" s="80" t="s">
        <v>88</v>
      </c>
      <c r="K9" s="81" t="s">
        <v>79</v>
      </c>
      <c r="L9" s="77" t="s">
        <v>87</v>
      </c>
      <c r="M9" s="78" t="s">
        <v>88</v>
      </c>
      <c r="N9" s="79" t="s">
        <v>87</v>
      </c>
      <c r="O9" s="82" t="s">
        <v>88</v>
      </c>
      <c r="P9" s="83" t="s">
        <v>80</v>
      </c>
      <c r="Q9" s="77" t="s">
        <v>87</v>
      </c>
      <c r="R9" s="78" t="s">
        <v>88</v>
      </c>
      <c r="S9" s="79" t="s">
        <v>87</v>
      </c>
      <c r="T9" s="80" t="s">
        <v>88</v>
      </c>
      <c r="U9" s="81" t="s">
        <v>81</v>
      </c>
      <c r="V9" s="77" t="s">
        <v>87</v>
      </c>
      <c r="W9" s="78" t="s">
        <v>88</v>
      </c>
      <c r="X9" s="79" t="s">
        <v>87</v>
      </c>
      <c r="Y9" s="82" t="s">
        <v>88</v>
      </c>
      <c r="Z9" s="83" t="s">
        <v>82</v>
      </c>
      <c r="AA9" s="77" t="s">
        <v>87</v>
      </c>
      <c r="AB9" s="78" t="s">
        <v>88</v>
      </c>
      <c r="AC9" s="79" t="s">
        <v>87</v>
      </c>
      <c r="AD9" s="82" t="s">
        <v>88</v>
      </c>
      <c r="AE9" s="83" t="s">
        <v>44</v>
      </c>
    </row>
    <row r="10" spans="1:31" s="74" customFormat="1" ht="15.75" customHeight="1">
      <c r="B10" s="84"/>
      <c r="C10" s="85" t="s">
        <v>89</v>
      </c>
      <c r="D10" s="85"/>
      <c r="E10" s="86"/>
      <c r="F10" s="87"/>
      <c r="G10" s="88"/>
      <c r="H10" s="89"/>
      <c r="I10" s="88"/>
      <c r="J10" s="90"/>
      <c r="K10" s="87"/>
      <c r="L10" s="88"/>
      <c r="M10" s="89"/>
      <c r="N10" s="88"/>
      <c r="O10" s="90"/>
      <c r="P10" s="87"/>
      <c r="Q10" s="88"/>
      <c r="R10" s="89"/>
      <c r="S10" s="88"/>
      <c r="T10" s="90"/>
      <c r="U10" s="87"/>
      <c r="V10" s="88"/>
      <c r="W10" s="89"/>
      <c r="X10" s="88"/>
      <c r="Y10" s="89"/>
      <c r="Z10" s="87"/>
      <c r="AA10" s="88"/>
      <c r="AB10" s="89"/>
      <c r="AC10" s="88"/>
      <c r="AD10" s="89"/>
      <c r="AE10" s="87"/>
    </row>
    <row r="11" spans="1:31" s="74" customFormat="1" ht="15.75" customHeight="1">
      <c r="B11" s="84"/>
      <c r="C11" s="86"/>
      <c r="D11" s="85" t="s">
        <v>90</v>
      </c>
      <c r="E11" s="86"/>
      <c r="F11" s="91"/>
      <c r="G11" s="92"/>
      <c r="H11" s="93"/>
      <c r="I11" s="92"/>
      <c r="J11" s="94"/>
      <c r="K11" s="91"/>
      <c r="L11" s="92"/>
      <c r="M11" s="93"/>
      <c r="N11" s="92"/>
      <c r="O11" s="94"/>
      <c r="P11" s="91"/>
      <c r="Q11" s="92"/>
      <c r="R11" s="93"/>
      <c r="S11" s="92"/>
      <c r="T11" s="94"/>
      <c r="U11" s="95"/>
      <c r="V11" s="92"/>
      <c r="W11" s="93"/>
      <c r="X11" s="92"/>
      <c r="Y11" s="93"/>
      <c r="Z11" s="91"/>
      <c r="AA11" s="92"/>
      <c r="AB11" s="93"/>
      <c r="AC11" s="92"/>
      <c r="AD11" s="93"/>
      <c r="AE11" s="91"/>
    </row>
    <row r="12" spans="1:31" s="74" customFormat="1" ht="15.75" customHeight="1">
      <c r="B12" s="96"/>
      <c r="C12" s="86"/>
      <c r="D12" s="86"/>
      <c r="E12" s="86" t="s">
        <v>91</v>
      </c>
      <c r="F12" s="97">
        <v>4914</v>
      </c>
      <c r="G12" s="98">
        <v>22</v>
      </c>
      <c r="H12" s="99">
        <v>8</v>
      </c>
      <c r="I12" s="98">
        <v>214</v>
      </c>
      <c r="J12" s="99">
        <v>4</v>
      </c>
      <c r="K12" s="97">
        <v>5102</v>
      </c>
      <c r="L12" s="98">
        <v>62</v>
      </c>
      <c r="M12" s="99">
        <v>20</v>
      </c>
      <c r="N12" s="98">
        <v>9</v>
      </c>
      <c r="O12" s="99">
        <v>10</v>
      </c>
      <c r="P12" s="97">
        <v>5039</v>
      </c>
      <c r="Q12" s="98">
        <v>0</v>
      </c>
      <c r="R12" s="99">
        <v>21</v>
      </c>
      <c r="S12" s="98">
        <v>35</v>
      </c>
      <c r="T12" s="99">
        <v>18</v>
      </c>
      <c r="U12" s="100">
        <v>5071</v>
      </c>
      <c r="V12" s="98">
        <v>0</v>
      </c>
      <c r="W12" s="99">
        <v>45.699999999999996</v>
      </c>
      <c r="X12" s="98">
        <v>27.6</v>
      </c>
      <c r="Y12" s="99">
        <v>17.3</v>
      </c>
      <c r="Z12" s="97">
        <v>5070.2</v>
      </c>
      <c r="AA12" s="98">
        <v>0</v>
      </c>
      <c r="AB12" s="99">
        <v>148.29999999999998</v>
      </c>
      <c r="AC12" s="98">
        <v>25.5</v>
      </c>
      <c r="AD12" s="99">
        <v>64.300000000000011</v>
      </c>
      <c r="AE12" s="97">
        <v>5011.7</v>
      </c>
    </row>
    <row r="13" spans="1:31" s="74" customFormat="1" ht="15.75" customHeight="1">
      <c r="B13" s="96"/>
      <c r="C13" s="86"/>
      <c r="D13" s="86"/>
      <c r="E13" s="86" t="s">
        <v>92</v>
      </c>
      <c r="F13" s="97">
        <v>135999</v>
      </c>
      <c r="G13" s="98">
        <v>911</v>
      </c>
      <c r="H13" s="99">
        <v>1556</v>
      </c>
      <c r="I13" s="98">
        <v>48</v>
      </c>
      <c r="J13" s="101">
        <v>1633</v>
      </c>
      <c r="K13" s="97">
        <v>135213</v>
      </c>
      <c r="L13" s="98">
        <v>97</v>
      </c>
      <c r="M13" s="99">
        <v>1478</v>
      </c>
      <c r="N13" s="98">
        <v>77</v>
      </c>
      <c r="O13" s="101">
        <v>565</v>
      </c>
      <c r="P13" s="97">
        <v>134280</v>
      </c>
      <c r="Q13" s="98">
        <v>2469</v>
      </c>
      <c r="R13" s="99">
        <v>1419</v>
      </c>
      <c r="S13" s="98">
        <v>437</v>
      </c>
      <c r="T13" s="101">
        <v>732</v>
      </c>
      <c r="U13" s="100">
        <v>131561</v>
      </c>
      <c r="V13" s="98">
        <v>1942</v>
      </c>
      <c r="W13" s="99">
        <v>2476</v>
      </c>
      <c r="X13" s="98">
        <v>358</v>
      </c>
      <c r="Y13" s="99">
        <v>637</v>
      </c>
      <c r="Z13" s="97">
        <v>128138</v>
      </c>
      <c r="AA13" s="98">
        <v>1785</v>
      </c>
      <c r="AB13" s="99">
        <v>3377</v>
      </c>
      <c r="AC13" s="98">
        <v>371</v>
      </c>
      <c r="AD13" s="99">
        <v>1217</v>
      </c>
      <c r="AE13" s="97">
        <v>124564</v>
      </c>
    </row>
    <row r="14" spans="1:31" s="74" customFormat="1" ht="15.75" customHeight="1">
      <c r="B14" s="96"/>
      <c r="C14" s="86"/>
      <c r="D14" s="86"/>
      <c r="E14" s="86"/>
      <c r="F14" s="102"/>
      <c r="G14" s="103"/>
      <c r="H14" s="104"/>
      <c r="I14" s="103"/>
      <c r="J14" s="105"/>
      <c r="K14" s="102"/>
      <c r="L14" s="103"/>
      <c r="M14" s="104"/>
      <c r="N14" s="103"/>
      <c r="O14" s="105"/>
      <c r="P14" s="102"/>
      <c r="Q14" s="103"/>
      <c r="R14" s="104"/>
      <c r="S14" s="103"/>
      <c r="T14" s="105"/>
      <c r="U14" s="106"/>
      <c r="V14" s="103"/>
      <c r="W14" s="104"/>
      <c r="X14" s="103"/>
      <c r="Y14" s="104"/>
      <c r="Z14" s="102"/>
      <c r="AA14" s="103"/>
      <c r="AB14" s="104"/>
      <c r="AC14" s="103"/>
      <c r="AD14" s="104"/>
      <c r="AE14" s="102"/>
    </row>
    <row r="15" spans="1:31" s="74" customFormat="1" ht="15.75" customHeight="1">
      <c r="B15" s="96"/>
      <c r="C15" s="86"/>
      <c r="D15" s="85" t="s">
        <v>93</v>
      </c>
      <c r="E15" s="86"/>
      <c r="F15" s="102"/>
      <c r="G15" s="103"/>
      <c r="H15" s="104"/>
      <c r="I15" s="103"/>
      <c r="J15" s="105"/>
      <c r="K15" s="102"/>
      <c r="L15" s="103"/>
      <c r="M15" s="104"/>
      <c r="N15" s="103"/>
      <c r="O15" s="105"/>
      <c r="P15" s="102"/>
      <c r="Q15" s="103"/>
      <c r="R15" s="104"/>
      <c r="S15" s="103"/>
      <c r="T15" s="105"/>
      <c r="U15" s="106"/>
      <c r="V15" s="103"/>
      <c r="W15" s="104"/>
      <c r="X15" s="103"/>
      <c r="Y15" s="104"/>
      <c r="Z15" s="102"/>
      <c r="AA15" s="103"/>
      <c r="AB15" s="104"/>
      <c r="AC15" s="103"/>
      <c r="AD15" s="104"/>
      <c r="AE15" s="102"/>
    </row>
    <row r="16" spans="1:31" s="74" customFormat="1" ht="15.75" customHeight="1">
      <c r="B16" s="96"/>
      <c r="C16" s="86"/>
      <c r="D16" s="86"/>
      <c r="E16" s="86" t="s">
        <v>94</v>
      </c>
      <c r="F16" s="97">
        <v>123846</v>
      </c>
      <c r="G16" s="98">
        <v>134</v>
      </c>
      <c r="H16" s="99">
        <v>0</v>
      </c>
      <c r="I16" s="98">
        <v>61</v>
      </c>
      <c r="J16" s="101">
        <v>0</v>
      </c>
      <c r="K16" s="97">
        <v>123773</v>
      </c>
      <c r="L16" s="98">
        <v>228</v>
      </c>
      <c r="M16" s="99">
        <v>0</v>
      </c>
      <c r="N16" s="98">
        <v>335</v>
      </c>
      <c r="O16" s="101">
        <v>0</v>
      </c>
      <c r="P16" s="97">
        <v>123880</v>
      </c>
      <c r="Q16" s="98">
        <v>1316</v>
      </c>
      <c r="R16" s="99">
        <v>910</v>
      </c>
      <c r="S16" s="98">
        <v>1127</v>
      </c>
      <c r="T16" s="101">
        <v>910</v>
      </c>
      <c r="U16" s="100">
        <v>123691</v>
      </c>
      <c r="V16" s="98">
        <v>1035</v>
      </c>
      <c r="W16" s="99">
        <v>570</v>
      </c>
      <c r="X16" s="98">
        <v>902</v>
      </c>
      <c r="Y16" s="99">
        <v>142</v>
      </c>
      <c r="Z16" s="97">
        <v>123130</v>
      </c>
      <c r="AA16" s="98">
        <v>951</v>
      </c>
      <c r="AB16" s="99">
        <v>1458</v>
      </c>
      <c r="AC16" s="98">
        <v>872</v>
      </c>
      <c r="AD16" s="99">
        <v>400</v>
      </c>
      <c r="AE16" s="97">
        <v>121993</v>
      </c>
    </row>
    <row r="17" spans="2:31" s="74" customFormat="1" ht="15.75" customHeight="1">
      <c r="B17" s="96"/>
      <c r="C17" s="86"/>
      <c r="D17" s="86"/>
      <c r="E17" s="86"/>
      <c r="F17" s="102"/>
      <c r="G17" s="103"/>
      <c r="H17" s="104"/>
      <c r="I17" s="103"/>
      <c r="J17" s="105"/>
      <c r="K17" s="102"/>
      <c r="L17" s="103"/>
      <c r="M17" s="104"/>
      <c r="N17" s="103"/>
      <c r="O17" s="105"/>
      <c r="P17" s="102"/>
      <c r="Q17" s="103"/>
      <c r="R17" s="104"/>
      <c r="S17" s="103"/>
      <c r="T17" s="105"/>
      <c r="U17" s="106"/>
      <c r="V17" s="103"/>
      <c r="W17" s="104"/>
      <c r="X17" s="103"/>
      <c r="Y17" s="104"/>
      <c r="Z17" s="102"/>
      <c r="AA17" s="103"/>
      <c r="AB17" s="104"/>
      <c r="AC17" s="103"/>
      <c r="AD17" s="104"/>
      <c r="AE17" s="102"/>
    </row>
    <row r="18" spans="2:31" s="74" customFormat="1" ht="15.75" customHeight="1">
      <c r="B18" s="96"/>
      <c r="C18" s="86"/>
      <c r="D18" s="85" t="s">
        <v>95</v>
      </c>
      <c r="E18" s="86"/>
      <c r="F18" s="102"/>
      <c r="G18" s="103"/>
      <c r="H18" s="104"/>
      <c r="I18" s="103"/>
      <c r="J18" s="105"/>
      <c r="K18" s="102"/>
      <c r="L18" s="103"/>
      <c r="M18" s="104"/>
      <c r="N18" s="103"/>
      <c r="O18" s="105"/>
      <c r="P18" s="102"/>
      <c r="Q18" s="103"/>
      <c r="R18" s="104"/>
      <c r="S18" s="103"/>
      <c r="T18" s="105"/>
      <c r="U18" s="106"/>
      <c r="V18" s="103"/>
      <c r="W18" s="104"/>
      <c r="X18" s="103"/>
      <c r="Y18" s="104"/>
      <c r="Z18" s="102"/>
      <c r="AA18" s="103"/>
      <c r="AB18" s="104"/>
      <c r="AC18" s="103"/>
      <c r="AD18" s="104"/>
      <c r="AE18" s="102"/>
    </row>
    <row r="19" spans="2:31" s="74" customFormat="1" ht="15.75" customHeight="1">
      <c r="B19" s="96"/>
      <c r="C19" s="86"/>
      <c r="D19" s="85"/>
      <c r="E19" s="86" t="s">
        <v>96</v>
      </c>
      <c r="F19" s="97">
        <v>11</v>
      </c>
      <c r="G19" s="98">
        <v>0</v>
      </c>
      <c r="H19" s="99">
        <v>0</v>
      </c>
      <c r="I19" s="98">
        <v>0</v>
      </c>
      <c r="J19" s="101">
        <v>0</v>
      </c>
      <c r="K19" s="97">
        <v>11</v>
      </c>
      <c r="L19" s="98">
        <v>0</v>
      </c>
      <c r="M19" s="99">
        <v>0</v>
      </c>
      <c r="N19" s="98">
        <v>0</v>
      </c>
      <c r="O19" s="101">
        <v>0</v>
      </c>
      <c r="P19" s="97">
        <v>11</v>
      </c>
      <c r="Q19" s="98">
        <v>0</v>
      </c>
      <c r="R19" s="99">
        <v>0</v>
      </c>
      <c r="S19" s="98">
        <v>0</v>
      </c>
      <c r="T19" s="101">
        <v>0</v>
      </c>
      <c r="U19" s="100">
        <v>11</v>
      </c>
      <c r="V19" s="98">
        <v>0</v>
      </c>
      <c r="W19" s="99">
        <v>0</v>
      </c>
      <c r="X19" s="98">
        <v>0</v>
      </c>
      <c r="Y19" s="99">
        <v>0</v>
      </c>
      <c r="Z19" s="97">
        <v>11</v>
      </c>
      <c r="AA19" s="98">
        <v>0</v>
      </c>
      <c r="AB19" s="99">
        <v>0</v>
      </c>
      <c r="AC19" s="98">
        <v>0</v>
      </c>
      <c r="AD19" s="99">
        <v>0</v>
      </c>
      <c r="AE19" s="97">
        <v>11</v>
      </c>
    </row>
    <row r="20" spans="2:31" s="74" customFormat="1" ht="15.75" customHeight="1">
      <c r="B20" s="96"/>
      <c r="C20" s="86"/>
      <c r="D20" s="85"/>
      <c r="E20" s="86" t="s">
        <v>97</v>
      </c>
      <c r="F20" s="97">
        <v>13223</v>
      </c>
      <c r="G20" s="98">
        <v>0</v>
      </c>
      <c r="H20" s="99">
        <v>0</v>
      </c>
      <c r="I20" s="98">
        <v>655</v>
      </c>
      <c r="J20" s="101">
        <v>39</v>
      </c>
      <c r="K20" s="97">
        <v>13917</v>
      </c>
      <c r="L20" s="98">
        <v>0</v>
      </c>
      <c r="M20" s="99">
        <v>2</v>
      </c>
      <c r="N20" s="98">
        <v>310</v>
      </c>
      <c r="O20" s="101">
        <v>75</v>
      </c>
      <c r="P20" s="97">
        <v>14300</v>
      </c>
      <c r="Q20" s="98">
        <v>0</v>
      </c>
      <c r="R20" s="99">
        <v>0</v>
      </c>
      <c r="S20" s="98">
        <v>305</v>
      </c>
      <c r="T20" s="101">
        <v>50</v>
      </c>
      <c r="U20" s="100">
        <v>14655</v>
      </c>
      <c r="V20" s="98">
        <v>0</v>
      </c>
      <c r="W20" s="99">
        <v>1.4</v>
      </c>
      <c r="X20" s="98">
        <v>210.3</v>
      </c>
      <c r="Y20" s="99">
        <v>74.599999999999994</v>
      </c>
      <c r="Z20" s="97">
        <v>14938.5</v>
      </c>
      <c r="AA20" s="98">
        <v>0</v>
      </c>
      <c r="AB20" s="99">
        <v>1</v>
      </c>
      <c r="AC20" s="98">
        <v>196</v>
      </c>
      <c r="AD20" s="99">
        <v>78</v>
      </c>
      <c r="AE20" s="97">
        <v>15211.5</v>
      </c>
    </row>
    <row r="21" spans="2:31" s="74" customFormat="1" ht="15.75" customHeight="1">
      <c r="B21" s="96"/>
      <c r="C21" s="86"/>
      <c r="D21" s="85"/>
      <c r="E21" s="86" t="s">
        <v>98</v>
      </c>
      <c r="F21" s="97">
        <v>18395</v>
      </c>
      <c r="G21" s="98">
        <v>0</v>
      </c>
      <c r="H21" s="99">
        <v>7</v>
      </c>
      <c r="I21" s="98">
        <v>0</v>
      </c>
      <c r="J21" s="101">
        <v>0</v>
      </c>
      <c r="K21" s="97">
        <v>18388</v>
      </c>
      <c r="L21" s="98">
        <v>0</v>
      </c>
      <c r="M21" s="99">
        <v>31</v>
      </c>
      <c r="N21" s="98">
        <v>0</v>
      </c>
      <c r="O21" s="101">
        <v>0</v>
      </c>
      <c r="P21" s="97">
        <v>18357</v>
      </c>
      <c r="Q21" s="98">
        <v>0</v>
      </c>
      <c r="R21" s="99">
        <v>33</v>
      </c>
      <c r="S21" s="98">
        <v>0</v>
      </c>
      <c r="T21" s="101">
        <v>0</v>
      </c>
      <c r="U21" s="100">
        <v>18324</v>
      </c>
      <c r="V21" s="98">
        <v>0</v>
      </c>
      <c r="W21" s="99">
        <v>4</v>
      </c>
      <c r="X21" s="98">
        <v>0</v>
      </c>
      <c r="Y21" s="99">
        <v>0</v>
      </c>
      <c r="Z21" s="97">
        <v>18320</v>
      </c>
      <c r="AA21" s="98">
        <v>0</v>
      </c>
      <c r="AB21" s="99">
        <v>3</v>
      </c>
      <c r="AC21" s="98">
        <v>0</v>
      </c>
      <c r="AD21" s="99">
        <v>0</v>
      </c>
      <c r="AE21" s="97">
        <v>18317</v>
      </c>
    </row>
    <row r="22" spans="2:31" s="74" customFormat="1" ht="15.75" customHeight="1">
      <c r="B22" s="96"/>
      <c r="C22" s="86"/>
      <c r="D22" s="85"/>
      <c r="E22" s="86" t="s">
        <v>99</v>
      </c>
      <c r="F22" s="97">
        <v>2361332</v>
      </c>
      <c r="G22" s="98">
        <v>77</v>
      </c>
      <c r="H22" s="99">
        <v>1230</v>
      </c>
      <c r="I22" s="98">
        <v>27978</v>
      </c>
      <c r="J22" s="101">
        <v>1230</v>
      </c>
      <c r="K22" s="97">
        <v>2389233</v>
      </c>
      <c r="L22" s="98">
        <v>0</v>
      </c>
      <c r="M22" s="99">
        <v>1153</v>
      </c>
      <c r="N22" s="98">
        <v>23378</v>
      </c>
      <c r="O22" s="101">
        <v>2066</v>
      </c>
      <c r="P22" s="97">
        <v>2413524</v>
      </c>
      <c r="Q22" s="98">
        <v>0</v>
      </c>
      <c r="R22" s="99">
        <v>1684</v>
      </c>
      <c r="S22" s="98">
        <v>27485</v>
      </c>
      <c r="T22" s="101">
        <v>2371</v>
      </c>
      <c r="U22" s="100">
        <v>2441696</v>
      </c>
      <c r="V22" s="98">
        <v>0</v>
      </c>
      <c r="W22" s="99">
        <v>108</v>
      </c>
      <c r="X22" s="98">
        <v>20668.5</v>
      </c>
      <c r="Y22" s="99">
        <v>1787</v>
      </c>
      <c r="Z22" s="97">
        <v>2464043.5</v>
      </c>
      <c r="AA22" s="98">
        <v>0</v>
      </c>
      <c r="AB22" s="99">
        <v>262</v>
      </c>
      <c r="AC22" s="98">
        <v>18931.599999999999</v>
      </c>
      <c r="AD22" s="99">
        <v>2406</v>
      </c>
      <c r="AE22" s="97">
        <v>2485119.1</v>
      </c>
    </row>
    <row r="23" spans="2:31" s="74" customFormat="1" ht="15.75" customHeight="1">
      <c r="B23" s="96"/>
      <c r="C23" s="86"/>
      <c r="D23" s="86"/>
      <c r="E23" s="86"/>
      <c r="F23" s="102"/>
      <c r="G23" s="103"/>
      <c r="H23" s="104"/>
      <c r="I23" s="103"/>
      <c r="J23" s="105"/>
      <c r="K23" s="102"/>
      <c r="L23" s="103"/>
      <c r="M23" s="104"/>
      <c r="N23" s="103"/>
      <c r="O23" s="105"/>
      <c r="P23" s="102"/>
      <c r="Q23" s="103"/>
      <c r="R23" s="104"/>
      <c r="S23" s="103"/>
      <c r="T23" s="105"/>
      <c r="U23" s="106"/>
      <c r="V23" s="103"/>
      <c r="W23" s="104"/>
      <c r="X23" s="103"/>
      <c r="Y23" s="104"/>
      <c r="Z23" s="102"/>
      <c r="AA23" s="103"/>
      <c r="AB23" s="104"/>
      <c r="AC23" s="103"/>
      <c r="AD23" s="104"/>
      <c r="AE23" s="102"/>
    </row>
    <row r="24" spans="2:31" s="74" customFormat="1" ht="15.75" customHeight="1">
      <c r="B24" s="96"/>
      <c r="C24" s="86"/>
      <c r="D24" s="85" t="s">
        <v>100</v>
      </c>
      <c r="E24" s="86"/>
      <c r="F24" s="102"/>
      <c r="G24" s="103"/>
      <c r="H24" s="104"/>
      <c r="I24" s="103"/>
      <c r="J24" s="105"/>
      <c r="K24" s="102"/>
      <c r="L24" s="103"/>
      <c r="M24" s="104"/>
      <c r="N24" s="103"/>
      <c r="O24" s="105"/>
      <c r="P24" s="102"/>
      <c r="Q24" s="103"/>
      <c r="R24" s="104"/>
      <c r="S24" s="103"/>
      <c r="T24" s="105"/>
      <c r="U24" s="106"/>
      <c r="V24" s="103"/>
      <c r="W24" s="104"/>
      <c r="X24" s="103"/>
      <c r="Y24" s="104"/>
      <c r="Z24" s="102"/>
      <c r="AA24" s="103"/>
      <c r="AB24" s="104"/>
      <c r="AC24" s="103"/>
      <c r="AD24" s="104"/>
      <c r="AE24" s="102"/>
    </row>
    <row r="25" spans="2:31" s="74" customFormat="1" ht="15.75" customHeight="1">
      <c r="B25" s="96"/>
      <c r="C25" s="86"/>
      <c r="D25" s="85"/>
      <c r="E25" s="86" t="s">
        <v>101</v>
      </c>
      <c r="F25" s="97">
        <v>8541</v>
      </c>
      <c r="G25" s="98">
        <v>12</v>
      </c>
      <c r="H25" s="99">
        <v>49</v>
      </c>
      <c r="I25" s="98">
        <v>210</v>
      </c>
      <c r="J25" s="101">
        <v>49</v>
      </c>
      <c r="K25" s="97">
        <v>8739</v>
      </c>
      <c r="L25" s="98">
        <v>43</v>
      </c>
      <c r="M25" s="99">
        <v>105</v>
      </c>
      <c r="N25" s="98">
        <v>392</v>
      </c>
      <c r="O25" s="101">
        <v>105</v>
      </c>
      <c r="P25" s="97">
        <v>9088</v>
      </c>
      <c r="Q25" s="98">
        <v>0</v>
      </c>
      <c r="R25" s="99">
        <v>94</v>
      </c>
      <c r="S25" s="98">
        <v>259</v>
      </c>
      <c r="T25" s="101">
        <v>103</v>
      </c>
      <c r="U25" s="100">
        <v>9356</v>
      </c>
      <c r="V25" s="98">
        <v>0</v>
      </c>
      <c r="W25" s="99">
        <v>283</v>
      </c>
      <c r="X25" s="98">
        <v>204</v>
      </c>
      <c r="Y25" s="99">
        <v>143</v>
      </c>
      <c r="Z25" s="97">
        <v>9420</v>
      </c>
      <c r="AA25" s="98">
        <v>0</v>
      </c>
      <c r="AB25" s="99">
        <v>116</v>
      </c>
      <c r="AC25" s="98">
        <v>188</v>
      </c>
      <c r="AD25" s="99">
        <v>104</v>
      </c>
      <c r="AE25" s="97">
        <v>9596</v>
      </c>
    </row>
    <row r="26" spans="2:31" s="74" customFormat="1" ht="15.75" customHeight="1">
      <c r="B26" s="96"/>
      <c r="C26" s="86"/>
      <c r="D26" s="85"/>
      <c r="E26" s="86" t="s">
        <v>102</v>
      </c>
      <c r="F26" s="97">
        <v>7893</v>
      </c>
      <c r="G26" s="98">
        <v>0</v>
      </c>
      <c r="H26" s="99">
        <v>0</v>
      </c>
      <c r="I26" s="98">
        <v>80</v>
      </c>
      <c r="J26" s="101">
        <v>0</v>
      </c>
      <c r="K26" s="97">
        <v>7973</v>
      </c>
      <c r="L26" s="98">
        <v>3</v>
      </c>
      <c r="M26" s="99">
        <v>36</v>
      </c>
      <c r="N26" s="98">
        <v>0</v>
      </c>
      <c r="O26" s="101">
        <v>36</v>
      </c>
      <c r="P26" s="97">
        <v>7970</v>
      </c>
      <c r="Q26" s="98">
        <v>181</v>
      </c>
      <c r="R26" s="99">
        <v>0</v>
      </c>
      <c r="S26" s="98">
        <v>136</v>
      </c>
      <c r="T26" s="101">
        <v>0</v>
      </c>
      <c r="U26" s="100">
        <v>7925</v>
      </c>
      <c r="V26" s="98">
        <v>142</v>
      </c>
      <c r="W26" s="99">
        <v>0</v>
      </c>
      <c r="X26" s="98">
        <v>63</v>
      </c>
      <c r="Y26" s="99">
        <v>0</v>
      </c>
      <c r="Z26" s="97">
        <v>7846</v>
      </c>
      <c r="AA26" s="98">
        <v>131</v>
      </c>
      <c r="AB26" s="99">
        <v>0</v>
      </c>
      <c r="AC26" s="98">
        <v>57</v>
      </c>
      <c r="AD26" s="99">
        <v>0</v>
      </c>
      <c r="AE26" s="97">
        <v>7772</v>
      </c>
    </row>
    <row r="27" spans="2:31" s="74" customFormat="1" ht="15.75" customHeight="1">
      <c r="B27" s="96"/>
      <c r="C27" s="86"/>
      <c r="D27" s="85"/>
      <c r="E27" s="86" t="s">
        <v>103</v>
      </c>
      <c r="F27" s="97">
        <v>2425</v>
      </c>
      <c r="G27" s="98">
        <v>0</v>
      </c>
      <c r="H27" s="99">
        <v>0</v>
      </c>
      <c r="I27" s="98">
        <v>0</v>
      </c>
      <c r="J27" s="101">
        <v>0</v>
      </c>
      <c r="K27" s="97">
        <v>2425</v>
      </c>
      <c r="L27" s="98">
        <v>43</v>
      </c>
      <c r="M27" s="99">
        <v>0</v>
      </c>
      <c r="N27" s="98">
        <v>0</v>
      </c>
      <c r="O27" s="101">
        <v>0</v>
      </c>
      <c r="P27" s="97">
        <v>2382</v>
      </c>
      <c r="Q27" s="98">
        <v>33</v>
      </c>
      <c r="R27" s="99">
        <v>0</v>
      </c>
      <c r="S27" s="98">
        <v>0</v>
      </c>
      <c r="T27" s="101">
        <v>0</v>
      </c>
      <c r="U27" s="100">
        <v>2349</v>
      </c>
      <c r="V27" s="98">
        <v>26</v>
      </c>
      <c r="W27" s="99">
        <v>0</v>
      </c>
      <c r="X27" s="98">
        <v>0</v>
      </c>
      <c r="Y27" s="99">
        <v>0</v>
      </c>
      <c r="Z27" s="97">
        <v>2323</v>
      </c>
      <c r="AA27" s="98">
        <v>24</v>
      </c>
      <c r="AB27" s="99">
        <v>0</v>
      </c>
      <c r="AC27" s="98">
        <v>0</v>
      </c>
      <c r="AD27" s="99">
        <v>0</v>
      </c>
      <c r="AE27" s="97">
        <v>2299</v>
      </c>
    </row>
    <row r="28" spans="2:31" s="74" customFormat="1" ht="15.75" customHeight="1">
      <c r="B28" s="96"/>
      <c r="C28" s="86"/>
      <c r="D28" s="85"/>
      <c r="E28" s="86" t="s">
        <v>104</v>
      </c>
      <c r="F28" s="97">
        <v>27050</v>
      </c>
      <c r="G28" s="98">
        <v>0</v>
      </c>
      <c r="H28" s="99">
        <v>1</v>
      </c>
      <c r="I28" s="98">
        <v>63</v>
      </c>
      <c r="J28" s="101">
        <v>9</v>
      </c>
      <c r="K28" s="97">
        <v>27121</v>
      </c>
      <c r="L28" s="98">
        <v>0</v>
      </c>
      <c r="M28" s="99">
        <v>159</v>
      </c>
      <c r="N28" s="98">
        <v>127</v>
      </c>
      <c r="O28" s="101">
        <v>136</v>
      </c>
      <c r="P28" s="97">
        <v>27225</v>
      </c>
      <c r="Q28" s="98">
        <v>0</v>
      </c>
      <c r="R28" s="99">
        <v>330</v>
      </c>
      <c r="S28" s="98">
        <v>484</v>
      </c>
      <c r="T28" s="101">
        <v>155</v>
      </c>
      <c r="U28" s="100">
        <v>27534</v>
      </c>
      <c r="V28" s="98">
        <v>0</v>
      </c>
      <c r="W28" s="99">
        <v>340</v>
      </c>
      <c r="X28" s="98">
        <v>392</v>
      </c>
      <c r="Y28" s="99">
        <v>457</v>
      </c>
      <c r="Z28" s="97">
        <v>28043</v>
      </c>
      <c r="AA28" s="98">
        <v>0</v>
      </c>
      <c r="AB28" s="99">
        <v>33</v>
      </c>
      <c r="AC28" s="98">
        <v>391</v>
      </c>
      <c r="AD28" s="99">
        <v>123</v>
      </c>
      <c r="AE28" s="97">
        <v>28524</v>
      </c>
    </row>
    <row r="29" spans="2:31" s="74" customFormat="1" ht="15.75" customHeight="1">
      <c r="B29" s="96"/>
      <c r="C29" s="86"/>
      <c r="D29" s="85"/>
      <c r="E29" s="86" t="s">
        <v>105</v>
      </c>
      <c r="F29" s="97">
        <v>22689</v>
      </c>
      <c r="G29" s="98">
        <v>0</v>
      </c>
      <c r="H29" s="99">
        <v>0</v>
      </c>
      <c r="I29" s="98">
        <v>31</v>
      </c>
      <c r="J29" s="101">
        <v>0</v>
      </c>
      <c r="K29" s="97">
        <v>22720</v>
      </c>
      <c r="L29" s="98">
        <v>109</v>
      </c>
      <c r="M29" s="99">
        <v>0</v>
      </c>
      <c r="N29" s="98">
        <v>88</v>
      </c>
      <c r="O29" s="101">
        <v>0</v>
      </c>
      <c r="P29" s="97">
        <v>22699</v>
      </c>
      <c r="Q29" s="98">
        <v>485</v>
      </c>
      <c r="R29" s="99">
        <v>0</v>
      </c>
      <c r="S29" s="98">
        <v>484</v>
      </c>
      <c r="T29" s="101">
        <v>0</v>
      </c>
      <c r="U29" s="100">
        <v>22698</v>
      </c>
      <c r="V29" s="98">
        <v>382</v>
      </c>
      <c r="W29" s="99">
        <v>0</v>
      </c>
      <c r="X29" s="98">
        <v>380</v>
      </c>
      <c r="Y29" s="99">
        <v>0</v>
      </c>
      <c r="Z29" s="97">
        <v>22696</v>
      </c>
      <c r="AA29" s="98">
        <v>351</v>
      </c>
      <c r="AB29" s="99">
        <v>0</v>
      </c>
      <c r="AC29" s="98">
        <v>347</v>
      </c>
      <c r="AD29" s="99">
        <v>0</v>
      </c>
      <c r="AE29" s="97">
        <v>22692</v>
      </c>
    </row>
    <row r="30" spans="2:31" s="74" customFormat="1" ht="15.75" customHeight="1">
      <c r="B30" s="96"/>
      <c r="C30" s="86"/>
      <c r="D30" s="85"/>
      <c r="E30" s="86" t="s">
        <v>106</v>
      </c>
      <c r="F30" s="97">
        <v>0</v>
      </c>
      <c r="G30" s="98">
        <v>0</v>
      </c>
      <c r="H30" s="99">
        <v>0</v>
      </c>
      <c r="I30" s="98">
        <v>0</v>
      </c>
      <c r="J30" s="101">
        <v>0</v>
      </c>
      <c r="K30" s="97">
        <v>0</v>
      </c>
      <c r="L30" s="98">
        <v>0</v>
      </c>
      <c r="M30" s="99">
        <v>0</v>
      </c>
      <c r="N30" s="98">
        <v>0</v>
      </c>
      <c r="O30" s="101">
        <v>0</v>
      </c>
      <c r="P30" s="97">
        <v>0</v>
      </c>
      <c r="Q30" s="98">
        <v>0</v>
      </c>
      <c r="R30" s="99">
        <v>0</v>
      </c>
      <c r="S30" s="98">
        <v>0</v>
      </c>
      <c r="T30" s="101">
        <v>0</v>
      </c>
      <c r="U30" s="100">
        <v>0</v>
      </c>
      <c r="V30" s="98">
        <v>0</v>
      </c>
      <c r="W30" s="99">
        <v>0</v>
      </c>
      <c r="X30" s="98">
        <v>0</v>
      </c>
      <c r="Y30" s="99">
        <v>0</v>
      </c>
      <c r="Z30" s="97">
        <v>0</v>
      </c>
      <c r="AA30" s="98">
        <v>0</v>
      </c>
      <c r="AB30" s="99">
        <v>0</v>
      </c>
      <c r="AC30" s="98">
        <v>0</v>
      </c>
      <c r="AD30" s="99">
        <v>0</v>
      </c>
      <c r="AE30" s="97">
        <v>0</v>
      </c>
    </row>
    <row r="31" spans="2:31" s="74" customFormat="1" ht="15.75" customHeight="1" thickBot="1">
      <c r="B31" s="107"/>
      <c r="C31" s="108"/>
      <c r="D31" s="108"/>
      <c r="E31" s="108"/>
      <c r="F31" s="109"/>
      <c r="G31" s="110"/>
      <c r="H31" s="111"/>
      <c r="I31" s="110"/>
      <c r="J31" s="112"/>
      <c r="K31" s="113"/>
      <c r="L31" s="110"/>
      <c r="M31" s="111"/>
      <c r="N31" s="110"/>
      <c r="O31" s="112"/>
      <c r="P31" s="113"/>
      <c r="Q31" s="110"/>
      <c r="R31" s="111"/>
      <c r="S31" s="110"/>
      <c r="T31" s="112"/>
      <c r="U31" s="114"/>
      <c r="V31" s="110"/>
      <c r="W31" s="111"/>
      <c r="X31" s="110"/>
      <c r="Y31" s="111"/>
      <c r="Z31" s="113"/>
      <c r="AA31" s="110"/>
      <c r="AB31" s="111"/>
      <c r="AC31" s="110"/>
      <c r="AD31" s="111"/>
      <c r="AE31" s="113"/>
    </row>
    <row r="32" spans="2:31" s="74" customFormat="1" ht="15.75" customHeight="1">
      <c r="B32" s="115"/>
      <c r="C32" s="116" t="s">
        <v>107</v>
      </c>
      <c r="D32" s="116"/>
      <c r="E32" s="117"/>
      <c r="F32" s="102"/>
      <c r="G32" s="103"/>
      <c r="H32" s="104"/>
      <c r="I32" s="103"/>
      <c r="J32" s="105"/>
      <c r="K32" s="102"/>
      <c r="L32" s="103"/>
      <c r="M32" s="104"/>
      <c r="N32" s="103"/>
      <c r="O32" s="105"/>
      <c r="P32" s="102"/>
      <c r="Q32" s="103"/>
      <c r="R32" s="104"/>
      <c r="S32" s="103"/>
      <c r="T32" s="105"/>
      <c r="U32" s="106"/>
      <c r="V32" s="103"/>
      <c r="W32" s="104"/>
      <c r="X32" s="103"/>
      <c r="Y32" s="104"/>
      <c r="Z32" s="102"/>
      <c r="AA32" s="103"/>
      <c r="AB32" s="104"/>
      <c r="AC32" s="103"/>
      <c r="AD32" s="104"/>
      <c r="AE32" s="102"/>
    </row>
    <row r="33" spans="2:31" s="74" customFormat="1" ht="15.75" customHeight="1">
      <c r="B33" s="96"/>
      <c r="C33" s="86"/>
      <c r="D33" s="85" t="s">
        <v>90</v>
      </c>
      <c r="E33" s="86"/>
      <c r="F33" s="102"/>
      <c r="G33" s="103"/>
      <c r="H33" s="104"/>
      <c r="I33" s="103"/>
      <c r="J33" s="105"/>
      <c r="K33" s="102"/>
      <c r="L33" s="103"/>
      <c r="M33" s="104"/>
      <c r="N33" s="103"/>
      <c r="O33" s="105"/>
      <c r="P33" s="102"/>
      <c r="Q33" s="103"/>
      <c r="R33" s="104"/>
      <c r="S33" s="103"/>
      <c r="T33" s="105"/>
      <c r="U33" s="106"/>
      <c r="V33" s="103"/>
      <c r="W33" s="104"/>
      <c r="X33" s="103"/>
      <c r="Y33" s="104"/>
      <c r="Z33" s="102"/>
      <c r="AA33" s="103"/>
      <c r="AB33" s="104"/>
      <c r="AC33" s="103"/>
      <c r="AD33" s="104"/>
      <c r="AE33" s="102"/>
    </row>
    <row r="34" spans="2:31" s="74" customFormat="1" ht="15.75" customHeight="1">
      <c r="B34" s="96"/>
      <c r="C34" s="86"/>
      <c r="D34" s="85"/>
      <c r="E34" s="86" t="s">
        <v>108</v>
      </c>
      <c r="F34" s="97">
        <v>12571</v>
      </c>
      <c r="G34" s="98">
        <v>23</v>
      </c>
      <c r="H34" s="99">
        <v>22</v>
      </c>
      <c r="I34" s="98">
        <v>13</v>
      </c>
      <c r="J34" s="101">
        <v>22</v>
      </c>
      <c r="K34" s="97">
        <v>12561</v>
      </c>
      <c r="L34" s="98">
        <v>17</v>
      </c>
      <c r="M34" s="99">
        <v>43</v>
      </c>
      <c r="N34" s="98">
        <v>46</v>
      </c>
      <c r="O34" s="101">
        <v>43</v>
      </c>
      <c r="P34" s="97">
        <v>12590</v>
      </c>
      <c r="Q34" s="98">
        <v>78</v>
      </c>
      <c r="R34" s="99">
        <v>57</v>
      </c>
      <c r="S34" s="98">
        <v>60</v>
      </c>
      <c r="T34" s="101">
        <v>57</v>
      </c>
      <c r="U34" s="100">
        <v>12572</v>
      </c>
      <c r="V34" s="98">
        <v>34.299999999999997</v>
      </c>
      <c r="W34" s="99">
        <v>250.1</v>
      </c>
      <c r="X34" s="98">
        <v>26.8</v>
      </c>
      <c r="Y34" s="99">
        <v>219.4</v>
      </c>
      <c r="Z34" s="97">
        <v>12533.800000000001</v>
      </c>
      <c r="AA34" s="98">
        <v>49.4</v>
      </c>
      <c r="AB34" s="99">
        <v>167.5</v>
      </c>
      <c r="AC34" s="98">
        <v>26</v>
      </c>
      <c r="AD34" s="99">
        <v>130.30000000000001</v>
      </c>
      <c r="AE34" s="97">
        <v>12473.2</v>
      </c>
    </row>
    <row r="35" spans="2:31" s="74" customFormat="1" ht="15.75" customHeight="1">
      <c r="B35" s="96"/>
      <c r="C35" s="86"/>
      <c r="D35" s="85"/>
      <c r="E35" s="86" t="s">
        <v>109</v>
      </c>
      <c r="F35" s="97">
        <v>22</v>
      </c>
      <c r="G35" s="98">
        <v>0</v>
      </c>
      <c r="H35" s="99">
        <v>0</v>
      </c>
      <c r="I35" s="98">
        <v>0</v>
      </c>
      <c r="J35" s="101">
        <v>0</v>
      </c>
      <c r="K35" s="97">
        <v>22</v>
      </c>
      <c r="L35" s="98">
        <v>0</v>
      </c>
      <c r="M35" s="99">
        <v>0</v>
      </c>
      <c r="N35" s="98">
        <v>0</v>
      </c>
      <c r="O35" s="101">
        <v>0</v>
      </c>
      <c r="P35" s="97">
        <v>22</v>
      </c>
      <c r="Q35" s="98">
        <v>1</v>
      </c>
      <c r="R35" s="99">
        <v>0</v>
      </c>
      <c r="S35" s="98">
        <v>0</v>
      </c>
      <c r="T35" s="101">
        <v>0</v>
      </c>
      <c r="U35" s="100">
        <v>21</v>
      </c>
      <c r="V35" s="98">
        <v>0.4</v>
      </c>
      <c r="W35" s="99">
        <v>0</v>
      </c>
      <c r="X35" s="98">
        <v>0</v>
      </c>
      <c r="Y35" s="99">
        <v>0</v>
      </c>
      <c r="Z35" s="97">
        <v>20.6</v>
      </c>
      <c r="AA35" s="98">
        <v>0.6</v>
      </c>
      <c r="AB35" s="99">
        <v>0</v>
      </c>
      <c r="AC35" s="98">
        <v>0</v>
      </c>
      <c r="AD35" s="99">
        <v>0</v>
      </c>
      <c r="AE35" s="97">
        <v>20</v>
      </c>
    </row>
    <row r="36" spans="2:31" s="74" customFormat="1" ht="15.75" customHeight="1">
      <c r="B36" s="96"/>
      <c r="C36" s="86"/>
      <c r="D36" s="86"/>
      <c r="E36" s="86" t="s">
        <v>110</v>
      </c>
      <c r="F36" s="97">
        <v>0</v>
      </c>
      <c r="G36" s="98">
        <v>0</v>
      </c>
      <c r="H36" s="99">
        <v>0</v>
      </c>
      <c r="I36" s="98">
        <v>0</v>
      </c>
      <c r="J36" s="101">
        <v>0</v>
      </c>
      <c r="K36" s="97">
        <v>0</v>
      </c>
      <c r="L36" s="98">
        <v>0</v>
      </c>
      <c r="M36" s="99">
        <v>0</v>
      </c>
      <c r="N36" s="98">
        <v>0</v>
      </c>
      <c r="O36" s="101">
        <v>0</v>
      </c>
      <c r="P36" s="97">
        <v>0</v>
      </c>
      <c r="Q36" s="98">
        <v>0</v>
      </c>
      <c r="R36" s="99">
        <v>0</v>
      </c>
      <c r="S36" s="98">
        <v>0</v>
      </c>
      <c r="T36" s="101">
        <v>0</v>
      </c>
      <c r="U36" s="100">
        <v>0</v>
      </c>
      <c r="V36" s="98">
        <v>0</v>
      </c>
      <c r="W36" s="99">
        <v>0</v>
      </c>
      <c r="X36" s="98">
        <v>0</v>
      </c>
      <c r="Y36" s="99">
        <v>0</v>
      </c>
      <c r="Z36" s="97">
        <v>0</v>
      </c>
      <c r="AA36" s="98">
        <v>0</v>
      </c>
      <c r="AB36" s="99">
        <v>0</v>
      </c>
      <c r="AC36" s="98">
        <v>0</v>
      </c>
      <c r="AD36" s="99">
        <v>0</v>
      </c>
      <c r="AE36" s="97">
        <v>0</v>
      </c>
    </row>
    <row r="37" spans="2:31" s="74" customFormat="1" ht="15.75" customHeight="1">
      <c r="B37" s="96"/>
      <c r="C37" s="86"/>
      <c r="D37" s="86"/>
      <c r="E37" s="86" t="s">
        <v>111</v>
      </c>
      <c r="F37" s="97">
        <v>0</v>
      </c>
      <c r="G37" s="98">
        <v>0</v>
      </c>
      <c r="H37" s="99">
        <v>0</v>
      </c>
      <c r="I37" s="98">
        <v>0</v>
      </c>
      <c r="J37" s="101">
        <v>0</v>
      </c>
      <c r="K37" s="97">
        <v>0</v>
      </c>
      <c r="L37" s="98">
        <v>0</v>
      </c>
      <c r="M37" s="99">
        <v>0</v>
      </c>
      <c r="N37" s="98">
        <v>0</v>
      </c>
      <c r="O37" s="101">
        <v>0</v>
      </c>
      <c r="P37" s="97">
        <v>0</v>
      </c>
      <c r="Q37" s="98">
        <v>0</v>
      </c>
      <c r="R37" s="99">
        <v>0</v>
      </c>
      <c r="S37" s="98">
        <v>0</v>
      </c>
      <c r="T37" s="101">
        <v>0</v>
      </c>
      <c r="U37" s="100">
        <v>0</v>
      </c>
      <c r="V37" s="98">
        <v>0</v>
      </c>
      <c r="W37" s="99">
        <v>0</v>
      </c>
      <c r="X37" s="98">
        <v>0</v>
      </c>
      <c r="Y37" s="99">
        <v>0</v>
      </c>
      <c r="Z37" s="97">
        <v>0</v>
      </c>
      <c r="AA37" s="98">
        <v>0</v>
      </c>
      <c r="AB37" s="99">
        <v>0</v>
      </c>
      <c r="AC37" s="98">
        <v>0</v>
      </c>
      <c r="AD37" s="99">
        <v>0</v>
      </c>
      <c r="AE37" s="97">
        <v>0</v>
      </c>
    </row>
    <row r="38" spans="2:31" s="74" customFormat="1" ht="15.75" customHeight="1">
      <c r="B38" s="96"/>
      <c r="C38" s="86"/>
      <c r="D38" s="86"/>
      <c r="E38" s="86"/>
      <c r="F38" s="102"/>
      <c r="G38" s="103"/>
      <c r="H38" s="104"/>
      <c r="I38" s="103"/>
      <c r="J38" s="105"/>
      <c r="K38" s="102"/>
      <c r="L38" s="103"/>
      <c r="M38" s="104"/>
      <c r="N38" s="103"/>
      <c r="O38" s="105"/>
      <c r="P38" s="102"/>
      <c r="Q38" s="103"/>
      <c r="R38" s="104"/>
      <c r="S38" s="103"/>
      <c r="T38" s="105"/>
      <c r="U38" s="106"/>
      <c r="V38" s="103"/>
      <c r="W38" s="104"/>
      <c r="X38" s="103"/>
      <c r="Y38" s="104"/>
      <c r="Z38" s="102"/>
      <c r="AA38" s="103"/>
      <c r="AB38" s="104"/>
      <c r="AC38" s="103"/>
      <c r="AD38" s="104"/>
      <c r="AE38" s="102"/>
    </row>
    <row r="39" spans="2:31" s="74" customFormat="1" ht="15.75" customHeight="1">
      <c r="B39" s="96"/>
      <c r="C39" s="86"/>
      <c r="D39" s="85" t="s">
        <v>93</v>
      </c>
      <c r="E39" s="86"/>
      <c r="F39" s="102"/>
      <c r="G39" s="103"/>
      <c r="H39" s="104"/>
      <c r="I39" s="103"/>
      <c r="J39" s="105"/>
      <c r="K39" s="102"/>
      <c r="L39" s="103"/>
      <c r="M39" s="104"/>
      <c r="N39" s="103"/>
      <c r="O39" s="105"/>
      <c r="P39" s="102"/>
      <c r="Q39" s="103"/>
      <c r="R39" s="104"/>
      <c r="S39" s="103"/>
      <c r="T39" s="105"/>
      <c r="U39" s="106"/>
      <c r="V39" s="103"/>
      <c r="W39" s="104"/>
      <c r="X39" s="103"/>
      <c r="Y39" s="104"/>
      <c r="Z39" s="102"/>
      <c r="AA39" s="103"/>
      <c r="AB39" s="104"/>
      <c r="AC39" s="103"/>
      <c r="AD39" s="104"/>
      <c r="AE39" s="102"/>
    </row>
    <row r="40" spans="2:31" s="74" customFormat="1" ht="15.75" customHeight="1">
      <c r="B40" s="96"/>
      <c r="C40" s="86"/>
      <c r="D40" s="117"/>
      <c r="E40" s="86" t="s">
        <v>112</v>
      </c>
      <c r="F40" s="97">
        <v>163477</v>
      </c>
      <c r="G40" s="98">
        <v>229</v>
      </c>
      <c r="H40" s="99">
        <v>225</v>
      </c>
      <c r="I40" s="98">
        <v>145</v>
      </c>
      <c r="J40" s="101">
        <v>225</v>
      </c>
      <c r="K40" s="97">
        <v>163393</v>
      </c>
      <c r="L40" s="98">
        <v>0</v>
      </c>
      <c r="M40" s="99">
        <v>233</v>
      </c>
      <c r="N40" s="98">
        <v>697</v>
      </c>
      <c r="O40" s="101">
        <v>506</v>
      </c>
      <c r="P40" s="97">
        <v>164363</v>
      </c>
      <c r="Q40" s="98">
        <v>2217</v>
      </c>
      <c r="R40" s="99">
        <v>1136</v>
      </c>
      <c r="S40" s="98">
        <v>647</v>
      </c>
      <c r="T40" s="101">
        <v>1136</v>
      </c>
      <c r="U40" s="100">
        <v>162793</v>
      </c>
      <c r="V40" s="98">
        <v>974</v>
      </c>
      <c r="W40" s="99">
        <v>1765</v>
      </c>
      <c r="X40" s="98">
        <v>525</v>
      </c>
      <c r="Y40" s="99">
        <v>1460</v>
      </c>
      <c r="Z40" s="97">
        <v>162039</v>
      </c>
      <c r="AA40" s="98">
        <v>1403</v>
      </c>
      <c r="AB40" s="99">
        <v>1533</v>
      </c>
      <c r="AC40" s="98">
        <v>509</v>
      </c>
      <c r="AD40" s="99">
        <v>1161</v>
      </c>
      <c r="AE40" s="97">
        <v>160773</v>
      </c>
    </row>
    <row r="41" spans="2:31" s="74" customFormat="1" ht="15.75" customHeight="1">
      <c r="B41" s="96"/>
      <c r="C41" s="86"/>
      <c r="D41" s="85"/>
      <c r="E41" s="86" t="s">
        <v>113</v>
      </c>
      <c r="F41" s="97">
        <v>0</v>
      </c>
      <c r="G41" s="98">
        <v>0</v>
      </c>
      <c r="H41" s="99">
        <v>0</v>
      </c>
      <c r="I41" s="98">
        <v>0</v>
      </c>
      <c r="J41" s="101">
        <v>0</v>
      </c>
      <c r="K41" s="97">
        <v>0</v>
      </c>
      <c r="L41" s="98">
        <v>0</v>
      </c>
      <c r="M41" s="99">
        <v>0</v>
      </c>
      <c r="N41" s="98">
        <v>0</v>
      </c>
      <c r="O41" s="101">
        <v>0</v>
      </c>
      <c r="P41" s="97">
        <v>0</v>
      </c>
      <c r="Q41" s="98">
        <v>0</v>
      </c>
      <c r="R41" s="99">
        <v>0</v>
      </c>
      <c r="S41" s="98">
        <v>0</v>
      </c>
      <c r="T41" s="101">
        <v>0</v>
      </c>
      <c r="U41" s="100">
        <v>0</v>
      </c>
      <c r="V41" s="98">
        <v>0</v>
      </c>
      <c r="W41" s="99">
        <v>0</v>
      </c>
      <c r="X41" s="98">
        <v>0</v>
      </c>
      <c r="Y41" s="99">
        <v>0</v>
      </c>
      <c r="Z41" s="97">
        <v>0</v>
      </c>
      <c r="AA41" s="98">
        <v>0</v>
      </c>
      <c r="AB41" s="99">
        <v>0</v>
      </c>
      <c r="AC41" s="98">
        <v>0</v>
      </c>
      <c r="AD41" s="99">
        <v>0</v>
      </c>
      <c r="AE41" s="97">
        <v>0</v>
      </c>
    </row>
    <row r="42" spans="2:31" s="74" customFormat="1" ht="15.75" customHeight="1">
      <c r="B42" s="96"/>
      <c r="C42" s="86"/>
      <c r="D42" s="86"/>
      <c r="E42" s="86"/>
      <c r="F42" s="102"/>
      <c r="G42" s="103"/>
      <c r="H42" s="104"/>
      <c r="I42" s="103"/>
      <c r="J42" s="105"/>
      <c r="K42" s="102"/>
      <c r="L42" s="103"/>
      <c r="M42" s="104"/>
      <c r="N42" s="103"/>
      <c r="O42" s="105"/>
      <c r="P42" s="102"/>
      <c r="Q42" s="103"/>
      <c r="R42" s="104"/>
      <c r="S42" s="103"/>
      <c r="T42" s="105"/>
      <c r="U42" s="106"/>
      <c r="V42" s="103"/>
      <c r="W42" s="104"/>
      <c r="X42" s="103"/>
      <c r="Y42" s="104"/>
      <c r="Z42" s="102"/>
      <c r="AA42" s="103"/>
      <c r="AB42" s="104"/>
      <c r="AC42" s="103"/>
      <c r="AD42" s="104"/>
      <c r="AE42" s="102"/>
    </row>
    <row r="43" spans="2:31" s="74" customFormat="1" ht="15.75" customHeight="1">
      <c r="B43" s="96"/>
      <c r="C43" s="86"/>
      <c r="D43" s="85" t="s">
        <v>114</v>
      </c>
      <c r="E43" s="86"/>
      <c r="F43" s="102"/>
      <c r="G43" s="103"/>
      <c r="H43" s="104"/>
      <c r="I43" s="103"/>
      <c r="J43" s="105"/>
      <c r="K43" s="102"/>
      <c r="L43" s="103"/>
      <c r="M43" s="104"/>
      <c r="N43" s="103"/>
      <c r="O43" s="105"/>
      <c r="P43" s="102"/>
      <c r="Q43" s="103"/>
      <c r="R43" s="104"/>
      <c r="S43" s="103"/>
      <c r="T43" s="105"/>
      <c r="U43" s="106"/>
      <c r="V43" s="103"/>
      <c r="W43" s="104"/>
      <c r="X43" s="103"/>
      <c r="Y43" s="104"/>
      <c r="Z43" s="102"/>
      <c r="AA43" s="103"/>
      <c r="AB43" s="104"/>
      <c r="AC43" s="103"/>
      <c r="AD43" s="104"/>
      <c r="AE43" s="102"/>
    </row>
    <row r="44" spans="2:31" s="74" customFormat="1" ht="15.75" customHeight="1">
      <c r="B44" s="96"/>
      <c r="C44" s="86"/>
      <c r="D44" s="85"/>
      <c r="E44" s="86" t="s">
        <v>115</v>
      </c>
      <c r="F44" s="97">
        <v>12768</v>
      </c>
      <c r="G44" s="98">
        <v>0</v>
      </c>
      <c r="H44" s="99">
        <v>10</v>
      </c>
      <c r="I44" s="98">
        <v>122</v>
      </c>
      <c r="J44" s="101">
        <v>30</v>
      </c>
      <c r="K44" s="97">
        <v>12910</v>
      </c>
      <c r="L44" s="98">
        <v>1</v>
      </c>
      <c r="M44" s="99">
        <v>55</v>
      </c>
      <c r="N44" s="98">
        <v>184</v>
      </c>
      <c r="O44" s="101">
        <v>55</v>
      </c>
      <c r="P44" s="97">
        <v>13093</v>
      </c>
      <c r="Q44" s="98">
        <v>0</v>
      </c>
      <c r="R44" s="99">
        <v>10</v>
      </c>
      <c r="S44" s="98">
        <v>167</v>
      </c>
      <c r="T44" s="101">
        <v>38</v>
      </c>
      <c r="U44" s="100">
        <v>13288</v>
      </c>
      <c r="V44" s="98">
        <v>0</v>
      </c>
      <c r="W44" s="99">
        <v>10.8</v>
      </c>
      <c r="X44" s="98">
        <v>133</v>
      </c>
      <c r="Y44" s="99">
        <v>77.3</v>
      </c>
      <c r="Z44" s="97">
        <v>13487.5</v>
      </c>
      <c r="AA44" s="98">
        <v>0</v>
      </c>
      <c r="AB44" s="99">
        <v>14.700000000000001</v>
      </c>
      <c r="AC44" s="98">
        <v>124.7</v>
      </c>
      <c r="AD44" s="99">
        <v>76.400000000000006</v>
      </c>
      <c r="AE44" s="97">
        <v>13673.9</v>
      </c>
    </row>
    <row r="45" spans="2:31" s="74" customFormat="1" ht="15.75" customHeight="1">
      <c r="B45" s="96"/>
      <c r="C45" s="86"/>
      <c r="D45" s="85"/>
      <c r="E45" s="86" t="s">
        <v>116</v>
      </c>
      <c r="F45" s="97">
        <v>0</v>
      </c>
      <c r="G45" s="98">
        <v>0</v>
      </c>
      <c r="H45" s="99">
        <v>0</v>
      </c>
      <c r="I45" s="98">
        <v>0</v>
      </c>
      <c r="J45" s="101">
        <v>0</v>
      </c>
      <c r="K45" s="97">
        <v>0</v>
      </c>
      <c r="L45" s="98">
        <v>0</v>
      </c>
      <c r="M45" s="99">
        <v>0</v>
      </c>
      <c r="N45" s="98">
        <v>0</v>
      </c>
      <c r="O45" s="101">
        <v>0</v>
      </c>
      <c r="P45" s="97">
        <v>0</v>
      </c>
      <c r="Q45" s="98">
        <v>0</v>
      </c>
      <c r="R45" s="99">
        <v>0</v>
      </c>
      <c r="S45" s="98">
        <v>0</v>
      </c>
      <c r="T45" s="101">
        <v>0</v>
      </c>
      <c r="U45" s="100">
        <v>0</v>
      </c>
      <c r="V45" s="98">
        <v>0</v>
      </c>
      <c r="W45" s="99">
        <v>0</v>
      </c>
      <c r="X45" s="98">
        <v>0</v>
      </c>
      <c r="Y45" s="99">
        <v>0</v>
      </c>
      <c r="Z45" s="97">
        <v>0</v>
      </c>
      <c r="AA45" s="98">
        <v>0</v>
      </c>
      <c r="AB45" s="99">
        <v>0</v>
      </c>
      <c r="AC45" s="98">
        <v>0</v>
      </c>
      <c r="AD45" s="99">
        <v>0</v>
      </c>
      <c r="AE45" s="97">
        <v>0</v>
      </c>
    </row>
    <row r="46" spans="2:31" s="74" customFormat="1" ht="15.75" customHeight="1">
      <c r="B46" s="96"/>
      <c r="C46" s="86"/>
      <c r="D46" s="85"/>
      <c r="E46" s="86"/>
      <c r="F46" s="102"/>
      <c r="G46" s="103"/>
      <c r="H46" s="104"/>
      <c r="I46" s="103"/>
      <c r="J46" s="105"/>
      <c r="K46" s="102"/>
      <c r="L46" s="103"/>
      <c r="M46" s="104"/>
      <c r="N46" s="103"/>
      <c r="O46" s="105"/>
      <c r="P46" s="102"/>
      <c r="Q46" s="103"/>
      <c r="R46" s="104"/>
      <c r="S46" s="103"/>
      <c r="T46" s="105"/>
      <c r="U46" s="106"/>
      <c r="V46" s="103"/>
      <c r="W46" s="104"/>
      <c r="X46" s="103"/>
      <c r="Y46" s="104"/>
      <c r="Z46" s="102"/>
      <c r="AA46" s="103"/>
      <c r="AB46" s="104"/>
      <c r="AC46" s="103"/>
      <c r="AD46" s="104"/>
      <c r="AE46" s="102"/>
    </row>
    <row r="47" spans="2:31" s="74" customFormat="1" ht="15.75" customHeight="1">
      <c r="B47" s="96"/>
      <c r="C47" s="86"/>
      <c r="D47" s="85" t="s">
        <v>117</v>
      </c>
      <c r="E47" s="86"/>
      <c r="F47" s="102"/>
      <c r="G47" s="103"/>
      <c r="H47" s="104"/>
      <c r="I47" s="103"/>
      <c r="J47" s="105"/>
      <c r="K47" s="102"/>
      <c r="L47" s="103"/>
      <c r="M47" s="104"/>
      <c r="N47" s="103"/>
      <c r="O47" s="105"/>
      <c r="P47" s="102"/>
      <c r="Q47" s="103"/>
      <c r="R47" s="104"/>
      <c r="S47" s="103"/>
      <c r="T47" s="105"/>
      <c r="U47" s="106"/>
      <c r="V47" s="103"/>
      <c r="W47" s="104"/>
      <c r="X47" s="103"/>
      <c r="Y47" s="104"/>
      <c r="Z47" s="102"/>
      <c r="AA47" s="103"/>
      <c r="AB47" s="104"/>
      <c r="AC47" s="103"/>
      <c r="AD47" s="104"/>
      <c r="AE47" s="102"/>
    </row>
    <row r="48" spans="2:31" s="74" customFormat="1" ht="15.75" customHeight="1">
      <c r="B48" s="96"/>
      <c r="C48" s="86"/>
      <c r="D48" s="85"/>
      <c r="E48" s="86" t="s">
        <v>118</v>
      </c>
      <c r="F48" s="97">
        <v>0</v>
      </c>
      <c r="G48" s="98">
        <v>0</v>
      </c>
      <c r="H48" s="99">
        <v>0</v>
      </c>
      <c r="I48" s="98">
        <v>0</v>
      </c>
      <c r="J48" s="101">
        <v>0</v>
      </c>
      <c r="K48" s="97">
        <v>0</v>
      </c>
      <c r="L48" s="98">
        <v>0</v>
      </c>
      <c r="M48" s="99">
        <v>0</v>
      </c>
      <c r="N48" s="98">
        <v>0</v>
      </c>
      <c r="O48" s="101">
        <v>0</v>
      </c>
      <c r="P48" s="97">
        <v>0</v>
      </c>
      <c r="Q48" s="98">
        <v>0</v>
      </c>
      <c r="R48" s="99">
        <v>0</v>
      </c>
      <c r="S48" s="98">
        <v>0</v>
      </c>
      <c r="T48" s="101">
        <v>0</v>
      </c>
      <c r="U48" s="100">
        <v>0</v>
      </c>
      <c r="V48" s="98" t="s">
        <v>986</v>
      </c>
      <c r="W48" s="99">
        <v>0</v>
      </c>
      <c r="X48" s="98" t="s">
        <v>986</v>
      </c>
      <c r="Y48" s="99">
        <v>0</v>
      </c>
      <c r="Z48" s="97">
        <v>0</v>
      </c>
      <c r="AA48" s="98" t="s">
        <v>986</v>
      </c>
      <c r="AB48" s="99">
        <v>0</v>
      </c>
      <c r="AC48" s="98" t="s">
        <v>986</v>
      </c>
      <c r="AD48" s="99">
        <v>0</v>
      </c>
      <c r="AE48" s="97">
        <v>0</v>
      </c>
    </row>
    <row r="49" spans="2:31" s="74" customFormat="1" ht="15.75" customHeight="1">
      <c r="B49" s="96"/>
      <c r="C49" s="86"/>
      <c r="D49" s="85"/>
      <c r="E49" s="86"/>
      <c r="F49" s="102"/>
      <c r="G49" s="103"/>
      <c r="H49" s="104"/>
      <c r="I49" s="103"/>
      <c r="J49" s="105"/>
      <c r="K49" s="102"/>
      <c r="L49" s="103"/>
      <c r="M49" s="104"/>
      <c r="N49" s="103"/>
      <c r="O49" s="105"/>
      <c r="P49" s="102"/>
      <c r="Q49" s="103"/>
      <c r="R49" s="104"/>
      <c r="S49" s="103"/>
      <c r="T49" s="105"/>
      <c r="U49" s="106"/>
      <c r="V49" s="103"/>
      <c r="W49" s="104"/>
      <c r="X49" s="103"/>
      <c r="Y49" s="104"/>
      <c r="Z49" s="102"/>
      <c r="AA49" s="103"/>
      <c r="AB49" s="104"/>
      <c r="AC49" s="103"/>
      <c r="AD49" s="104"/>
      <c r="AE49" s="102"/>
    </row>
    <row r="50" spans="2:31" s="74" customFormat="1" ht="15.75" customHeight="1">
      <c r="B50" s="96"/>
      <c r="C50" s="86"/>
      <c r="D50" s="85" t="s">
        <v>100</v>
      </c>
      <c r="E50" s="86"/>
      <c r="F50" s="102"/>
      <c r="G50" s="103"/>
      <c r="H50" s="104"/>
      <c r="I50" s="103"/>
      <c r="J50" s="105"/>
      <c r="K50" s="102"/>
      <c r="L50" s="103"/>
      <c r="M50" s="104"/>
      <c r="N50" s="103"/>
      <c r="O50" s="105"/>
      <c r="P50" s="102"/>
      <c r="Q50" s="103"/>
      <c r="R50" s="104"/>
      <c r="S50" s="103"/>
      <c r="T50" s="105"/>
      <c r="U50" s="106"/>
      <c r="V50" s="103"/>
      <c r="W50" s="104"/>
      <c r="X50" s="103"/>
      <c r="Y50" s="104"/>
      <c r="Z50" s="102"/>
      <c r="AA50" s="103"/>
      <c r="AB50" s="104"/>
      <c r="AC50" s="103"/>
      <c r="AD50" s="104"/>
      <c r="AE50" s="102"/>
    </row>
    <row r="51" spans="2:31" s="74" customFormat="1" ht="15.75" customHeight="1">
      <c r="B51" s="96"/>
      <c r="C51" s="86"/>
      <c r="D51" s="85"/>
      <c r="E51" s="86" t="s">
        <v>119</v>
      </c>
      <c r="F51" s="97">
        <v>1148</v>
      </c>
      <c r="G51" s="98">
        <v>0</v>
      </c>
      <c r="H51" s="99">
        <v>63</v>
      </c>
      <c r="I51" s="98">
        <v>0</v>
      </c>
      <c r="J51" s="101">
        <v>23</v>
      </c>
      <c r="K51" s="97">
        <v>1108</v>
      </c>
      <c r="L51" s="98">
        <v>0</v>
      </c>
      <c r="M51" s="99">
        <v>25</v>
      </c>
      <c r="N51" s="98">
        <v>0</v>
      </c>
      <c r="O51" s="101">
        <v>24</v>
      </c>
      <c r="P51" s="97">
        <v>1107</v>
      </c>
      <c r="Q51" s="98">
        <v>0</v>
      </c>
      <c r="R51" s="99">
        <v>66</v>
      </c>
      <c r="S51" s="98">
        <v>0</v>
      </c>
      <c r="T51" s="101">
        <v>56</v>
      </c>
      <c r="U51" s="100">
        <v>1097</v>
      </c>
      <c r="V51" s="98">
        <v>0</v>
      </c>
      <c r="W51" s="99">
        <v>0</v>
      </c>
      <c r="X51" s="98">
        <v>0</v>
      </c>
      <c r="Y51" s="99">
        <v>27</v>
      </c>
      <c r="Z51" s="97">
        <v>1124</v>
      </c>
      <c r="AA51" s="98">
        <v>0</v>
      </c>
      <c r="AB51" s="99">
        <v>0</v>
      </c>
      <c r="AC51" s="98">
        <v>0</v>
      </c>
      <c r="AD51" s="99">
        <v>103</v>
      </c>
      <c r="AE51" s="97">
        <v>1227</v>
      </c>
    </row>
    <row r="52" spans="2:31" s="74" customFormat="1" ht="15.75" customHeight="1">
      <c r="B52" s="96"/>
      <c r="C52" s="86"/>
      <c r="D52" s="85"/>
      <c r="E52" s="86" t="s">
        <v>120</v>
      </c>
      <c r="F52" s="97">
        <v>7882</v>
      </c>
      <c r="G52" s="98">
        <v>0</v>
      </c>
      <c r="H52" s="99">
        <v>18</v>
      </c>
      <c r="I52" s="98">
        <v>73</v>
      </c>
      <c r="J52" s="101">
        <v>15</v>
      </c>
      <c r="K52" s="97">
        <v>7952</v>
      </c>
      <c r="L52" s="98">
        <v>0</v>
      </c>
      <c r="M52" s="99">
        <v>321</v>
      </c>
      <c r="N52" s="98">
        <v>35</v>
      </c>
      <c r="O52" s="101">
        <v>37</v>
      </c>
      <c r="P52" s="97">
        <v>7703</v>
      </c>
      <c r="Q52" s="98">
        <v>0</v>
      </c>
      <c r="R52" s="99">
        <v>344</v>
      </c>
      <c r="S52" s="98">
        <v>169</v>
      </c>
      <c r="T52" s="101">
        <v>32</v>
      </c>
      <c r="U52" s="100">
        <v>7560</v>
      </c>
      <c r="V52" s="98">
        <v>0</v>
      </c>
      <c r="W52" s="99">
        <v>8</v>
      </c>
      <c r="X52" s="98">
        <v>135</v>
      </c>
      <c r="Y52" s="99">
        <v>36</v>
      </c>
      <c r="Z52" s="97">
        <v>7723</v>
      </c>
      <c r="AA52" s="98">
        <v>0</v>
      </c>
      <c r="AB52" s="99">
        <v>23</v>
      </c>
      <c r="AC52" s="98">
        <v>128</v>
      </c>
      <c r="AD52" s="99">
        <v>40</v>
      </c>
      <c r="AE52" s="97">
        <v>7868</v>
      </c>
    </row>
    <row r="53" spans="2:31" s="74" customFormat="1" ht="15.75" customHeight="1">
      <c r="B53" s="96"/>
      <c r="C53" s="86"/>
      <c r="D53" s="85"/>
      <c r="E53" s="86" t="s">
        <v>121</v>
      </c>
      <c r="F53" s="97">
        <v>195</v>
      </c>
      <c r="G53" s="98">
        <v>0</v>
      </c>
      <c r="H53" s="99">
        <v>0</v>
      </c>
      <c r="I53" s="98">
        <v>0</v>
      </c>
      <c r="J53" s="101">
        <v>41</v>
      </c>
      <c r="K53" s="97">
        <v>236</v>
      </c>
      <c r="L53" s="98">
        <v>0</v>
      </c>
      <c r="M53" s="99">
        <v>6</v>
      </c>
      <c r="N53" s="98">
        <v>0</v>
      </c>
      <c r="O53" s="101">
        <v>28</v>
      </c>
      <c r="P53" s="97">
        <v>258</v>
      </c>
      <c r="Q53" s="98">
        <v>0</v>
      </c>
      <c r="R53" s="99">
        <v>0</v>
      </c>
      <c r="S53" s="98">
        <v>0</v>
      </c>
      <c r="T53" s="101">
        <v>36</v>
      </c>
      <c r="U53" s="100">
        <v>294</v>
      </c>
      <c r="V53" s="98">
        <v>0</v>
      </c>
      <c r="W53" s="99">
        <v>387</v>
      </c>
      <c r="X53" s="98">
        <v>0</v>
      </c>
      <c r="Y53" s="99">
        <v>418</v>
      </c>
      <c r="Z53" s="97">
        <v>325</v>
      </c>
      <c r="AA53" s="98">
        <v>0</v>
      </c>
      <c r="AB53" s="99">
        <v>72</v>
      </c>
      <c r="AC53" s="98">
        <v>0</v>
      </c>
      <c r="AD53" s="99">
        <v>134</v>
      </c>
      <c r="AE53" s="97">
        <v>387</v>
      </c>
    </row>
    <row r="54" spans="2:31" s="74" customFormat="1" ht="15.75" customHeight="1">
      <c r="B54" s="96"/>
      <c r="C54" s="86"/>
      <c r="D54" s="85"/>
      <c r="E54" s="86" t="s">
        <v>122</v>
      </c>
      <c r="F54" s="97">
        <v>11859</v>
      </c>
      <c r="G54" s="98">
        <v>0</v>
      </c>
      <c r="H54" s="99">
        <v>162</v>
      </c>
      <c r="I54" s="98">
        <v>47</v>
      </c>
      <c r="J54" s="101">
        <v>53</v>
      </c>
      <c r="K54" s="97">
        <v>11797</v>
      </c>
      <c r="L54" s="98">
        <v>0</v>
      </c>
      <c r="M54" s="99">
        <v>355</v>
      </c>
      <c r="N54" s="98">
        <v>4</v>
      </c>
      <c r="O54" s="101">
        <v>1</v>
      </c>
      <c r="P54" s="97">
        <v>11447</v>
      </c>
      <c r="Q54" s="98">
        <v>0</v>
      </c>
      <c r="R54" s="99">
        <v>410</v>
      </c>
      <c r="S54" s="98">
        <v>32</v>
      </c>
      <c r="T54" s="101">
        <v>0</v>
      </c>
      <c r="U54" s="100">
        <v>11069</v>
      </c>
      <c r="V54" s="98">
        <v>0</v>
      </c>
      <c r="W54" s="99">
        <v>236</v>
      </c>
      <c r="X54" s="98">
        <v>25</v>
      </c>
      <c r="Y54" s="99">
        <v>1</v>
      </c>
      <c r="Z54" s="97">
        <v>10859</v>
      </c>
      <c r="AA54" s="98">
        <v>0</v>
      </c>
      <c r="AB54" s="99">
        <v>276</v>
      </c>
      <c r="AC54" s="98">
        <v>23</v>
      </c>
      <c r="AD54" s="99">
        <v>2</v>
      </c>
      <c r="AE54" s="97">
        <v>10608</v>
      </c>
    </row>
    <row r="55" spans="2:31" s="74" customFormat="1" ht="15.75" customHeight="1">
      <c r="B55" s="96"/>
      <c r="C55" s="86"/>
      <c r="D55" s="85"/>
      <c r="E55" s="86" t="s">
        <v>123</v>
      </c>
      <c r="F55" s="97">
        <v>14442</v>
      </c>
      <c r="G55" s="98">
        <v>0</v>
      </c>
      <c r="H55" s="99">
        <v>13</v>
      </c>
      <c r="I55" s="98">
        <v>297</v>
      </c>
      <c r="J55" s="101">
        <v>47</v>
      </c>
      <c r="K55" s="97">
        <v>14773</v>
      </c>
      <c r="L55" s="98">
        <v>0</v>
      </c>
      <c r="M55" s="99">
        <v>94</v>
      </c>
      <c r="N55" s="98">
        <v>518</v>
      </c>
      <c r="O55" s="101">
        <v>269</v>
      </c>
      <c r="P55" s="97">
        <v>15466</v>
      </c>
      <c r="Q55" s="98">
        <v>4</v>
      </c>
      <c r="R55" s="99">
        <v>243</v>
      </c>
      <c r="S55" s="98">
        <v>552</v>
      </c>
      <c r="T55" s="101">
        <v>243</v>
      </c>
      <c r="U55" s="100">
        <v>16014</v>
      </c>
      <c r="V55" s="98">
        <v>2</v>
      </c>
      <c r="W55" s="99">
        <v>65</v>
      </c>
      <c r="X55" s="98">
        <v>445</v>
      </c>
      <c r="Y55" s="99">
        <v>274</v>
      </c>
      <c r="Z55" s="97">
        <v>16666</v>
      </c>
      <c r="AA55" s="98">
        <v>3</v>
      </c>
      <c r="AB55" s="99">
        <v>94</v>
      </c>
      <c r="AC55" s="98">
        <v>428</v>
      </c>
      <c r="AD55" s="99">
        <v>330</v>
      </c>
      <c r="AE55" s="97">
        <v>17327</v>
      </c>
    </row>
    <row r="56" spans="2:31" s="74" customFormat="1" ht="15.75" customHeight="1">
      <c r="B56" s="96"/>
      <c r="C56" s="86"/>
      <c r="D56" s="85"/>
      <c r="E56" s="86" t="s">
        <v>124</v>
      </c>
      <c r="F56" s="97">
        <v>10690</v>
      </c>
      <c r="G56" s="98">
        <v>0</v>
      </c>
      <c r="H56" s="99">
        <v>1352</v>
      </c>
      <c r="I56" s="98">
        <v>3</v>
      </c>
      <c r="J56" s="101">
        <v>1405</v>
      </c>
      <c r="K56" s="97">
        <v>10746</v>
      </c>
      <c r="L56" s="98">
        <v>0</v>
      </c>
      <c r="M56" s="99">
        <v>134</v>
      </c>
      <c r="N56" s="98">
        <v>12</v>
      </c>
      <c r="O56" s="101">
        <v>388</v>
      </c>
      <c r="P56" s="97">
        <v>11012</v>
      </c>
      <c r="Q56" s="98">
        <v>0</v>
      </c>
      <c r="R56" s="99">
        <v>150</v>
      </c>
      <c r="S56" s="98">
        <v>192</v>
      </c>
      <c r="T56" s="101">
        <v>352</v>
      </c>
      <c r="U56" s="100">
        <v>11406</v>
      </c>
      <c r="V56" s="98">
        <v>0</v>
      </c>
      <c r="W56" s="99">
        <v>0</v>
      </c>
      <c r="X56" s="98">
        <v>168</v>
      </c>
      <c r="Y56" s="99">
        <v>0</v>
      </c>
      <c r="Z56" s="97">
        <v>11574</v>
      </c>
      <c r="AA56" s="98">
        <v>0</v>
      </c>
      <c r="AB56" s="99">
        <v>0</v>
      </c>
      <c r="AC56" s="98">
        <v>183</v>
      </c>
      <c r="AD56" s="99">
        <v>0</v>
      </c>
      <c r="AE56" s="97">
        <v>11757</v>
      </c>
    </row>
    <row r="57" spans="2:31" s="74" customFormat="1" ht="15.75" customHeight="1">
      <c r="B57" s="96"/>
      <c r="C57" s="86"/>
      <c r="D57" s="85"/>
      <c r="E57" s="86" t="s">
        <v>125</v>
      </c>
      <c r="F57" s="97">
        <v>0</v>
      </c>
      <c r="G57" s="98">
        <v>0</v>
      </c>
      <c r="H57" s="99">
        <v>0</v>
      </c>
      <c r="I57" s="98">
        <v>0</v>
      </c>
      <c r="J57" s="101">
        <v>0</v>
      </c>
      <c r="K57" s="97">
        <v>0</v>
      </c>
      <c r="L57" s="98">
        <v>0</v>
      </c>
      <c r="M57" s="99">
        <v>0</v>
      </c>
      <c r="N57" s="98">
        <v>0</v>
      </c>
      <c r="O57" s="101">
        <v>0</v>
      </c>
      <c r="P57" s="97">
        <v>0</v>
      </c>
      <c r="Q57" s="98">
        <v>0</v>
      </c>
      <c r="R57" s="99">
        <v>0</v>
      </c>
      <c r="S57" s="98">
        <v>0</v>
      </c>
      <c r="T57" s="101">
        <v>0</v>
      </c>
      <c r="U57" s="100">
        <v>0</v>
      </c>
      <c r="V57" s="98">
        <v>0</v>
      </c>
      <c r="W57" s="99">
        <v>0</v>
      </c>
      <c r="X57" s="98">
        <v>0</v>
      </c>
      <c r="Y57" s="99">
        <v>0</v>
      </c>
      <c r="Z57" s="97">
        <v>0</v>
      </c>
      <c r="AA57" s="98">
        <v>0</v>
      </c>
      <c r="AB57" s="99">
        <v>0</v>
      </c>
      <c r="AC57" s="98">
        <v>0</v>
      </c>
      <c r="AD57" s="99">
        <v>0</v>
      </c>
      <c r="AE57" s="97">
        <v>0</v>
      </c>
    </row>
    <row r="58" spans="2:31" s="74" customFormat="1" ht="15.75" customHeight="1">
      <c r="B58" s="96"/>
      <c r="C58" s="86"/>
      <c r="D58" s="86"/>
      <c r="E58" s="86" t="s">
        <v>126</v>
      </c>
      <c r="F58" s="97">
        <v>0</v>
      </c>
      <c r="G58" s="98">
        <v>0</v>
      </c>
      <c r="H58" s="99">
        <v>0</v>
      </c>
      <c r="I58" s="98">
        <v>0</v>
      </c>
      <c r="J58" s="101">
        <v>0</v>
      </c>
      <c r="K58" s="97">
        <v>0</v>
      </c>
      <c r="L58" s="98">
        <v>0</v>
      </c>
      <c r="M58" s="99">
        <v>0</v>
      </c>
      <c r="N58" s="98">
        <v>0</v>
      </c>
      <c r="O58" s="101">
        <v>0</v>
      </c>
      <c r="P58" s="97">
        <v>0</v>
      </c>
      <c r="Q58" s="98">
        <v>0</v>
      </c>
      <c r="R58" s="99">
        <v>0</v>
      </c>
      <c r="S58" s="98">
        <v>0</v>
      </c>
      <c r="T58" s="101">
        <v>0</v>
      </c>
      <c r="U58" s="100">
        <v>0</v>
      </c>
      <c r="V58" s="98">
        <v>0</v>
      </c>
      <c r="W58" s="99">
        <v>0</v>
      </c>
      <c r="X58" s="98">
        <v>0</v>
      </c>
      <c r="Y58" s="99">
        <v>0</v>
      </c>
      <c r="Z58" s="97">
        <v>0</v>
      </c>
      <c r="AA58" s="98">
        <v>0</v>
      </c>
      <c r="AB58" s="99">
        <v>0</v>
      </c>
      <c r="AC58" s="98">
        <v>0</v>
      </c>
      <c r="AD58" s="99">
        <v>0</v>
      </c>
      <c r="AE58" s="97">
        <v>0</v>
      </c>
    </row>
    <row r="59" spans="2:31" s="74" customFormat="1" ht="15.75" customHeight="1">
      <c r="B59" s="96"/>
      <c r="C59" s="86"/>
      <c r="D59" s="86"/>
      <c r="E59" s="86" t="s">
        <v>127</v>
      </c>
      <c r="F59" s="97">
        <v>0</v>
      </c>
      <c r="G59" s="98">
        <v>0</v>
      </c>
      <c r="H59" s="99">
        <v>0</v>
      </c>
      <c r="I59" s="98">
        <v>0</v>
      </c>
      <c r="J59" s="101">
        <v>0</v>
      </c>
      <c r="K59" s="97">
        <v>0</v>
      </c>
      <c r="L59" s="98">
        <v>0</v>
      </c>
      <c r="M59" s="99">
        <v>0</v>
      </c>
      <c r="N59" s="98">
        <v>0</v>
      </c>
      <c r="O59" s="101">
        <v>0</v>
      </c>
      <c r="P59" s="97">
        <v>0</v>
      </c>
      <c r="Q59" s="98">
        <v>0</v>
      </c>
      <c r="R59" s="99">
        <v>0</v>
      </c>
      <c r="S59" s="98">
        <v>0</v>
      </c>
      <c r="T59" s="101">
        <v>0</v>
      </c>
      <c r="U59" s="100">
        <v>0</v>
      </c>
      <c r="V59" s="98">
        <v>0</v>
      </c>
      <c r="W59" s="99">
        <v>0</v>
      </c>
      <c r="X59" s="98">
        <v>0</v>
      </c>
      <c r="Y59" s="99">
        <v>0</v>
      </c>
      <c r="Z59" s="97">
        <v>0</v>
      </c>
      <c r="AA59" s="98">
        <v>0</v>
      </c>
      <c r="AB59" s="99">
        <v>0</v>
      </c>
      <c r="AC59" s="98">
        <v>0</v>
      </c>
      <c r="AD59" s="99">
        <v>0</v>
      </c>
      <c r="AE59" s="97">
        <v>0</v>
      </c>
    </row>
    <row r="60" spans="2:31" s="74" customFormat="1" ht="15.75" customHeight="1">
      <c r="B60" s="96"/>
      <c r="C60" s="86"/>
      <c r="D60" s="85"/>
      <c r="E60" s="86" t="s">
        <v>128</v>
      </c>
      <c r="F60" s="97">
        <v>0</v>
      </c>
      <c r="G60" s="98">
        <v>0</v>
      </c>
      <c r="H60" s="99">
        <v>0</v>
      </c>
      <c r="I60" s="98">
        <v>0</v>
      </c>
      <c r="J60" s="101">
        <v>0</v>
      </c>
      <c r="K60" s="97">
        <v>0</v>
      </c>
      <c r="L60" s="98">
        <v>0</v>
      </c>
      <c r="M60" s="99">
        <v>0</v>
      </c>
      <c r="N60" s="98">
        <v>0</v>
      </c>
      <c r="O60" s="101">
        <v>0</v>
      </c>
      <c r="P60" s="97">
        <v>0</v>
      </c>
      <c r="Q60" s="98">
        <v>0</v>
      </c>
      <c r="R60" s="99">
        <v>0</v>
      </c>
      <c r="S60" s="98">
        <v>0</v>
      </c>
      <c r="T60" s="101">
        <v>0</v>
      </c>
      <c r="U60" s="100">
        <v>0</v>
      </c>
      <c r="V60" s="98">
        <v>0</v>
      </c>
      <c r="W60" s="99">
        <v>0</v>
      </c>
      <c r="X60" s="98">
        <v>0</v>
      </c>
      <c r="Y60" s="99">
        <v>0</v>
      </c>
      <c r="Z60" s="97">
        <v>0</v>
      </c>
      <c r="AA60" s="98">
        <v>0</v>
      </c>
      <c r="AB60" s="99">
        <v>0</v>
      </c>
      <c r="AC60" s="98">
        <v>0</v>
      </c>
      <c r="AD60" s="99">
        <v>0</v>
      </c>
      <c r="AE60" s="97">
        <v>0</v>
      </c>
    </row>
    <row r="61" spans="2:31" s="74" customFormat="1" ht="15.75" customHeight="1">
      <c r="B61" s="96"/>
      <c r="C61" s="86"/>
      <c r="D61" s="85"/>
      <c r="E61" s="86" t="s">
        <v>129</v>
      </c>
      <c r="F61" s="97">
        <v>0</v>
      </c>
      <c r="G61" s="98">
        <v>0</v>
      </c>
      <c r="H61" s="99">
        <v>0</v>
      </c>
      <c r="I61" s="98">
        <v>0</v>
      </c>
      <c r="J61" s="101">
        <v>0</v>
      </c>
      <c r="K61" s="97">
        <v>0</v>
      </c>
      <c r="L61" s="98">
        <v>0</v>
      </c>
      <c r="M61" s="99">
        <v>0</v>
      </c>
      <c r="N61" s="98">
        <v>0</v>
      </c>
      <c r="O61" s="101">
        <v>0</v>
      </c>
      <c r="P61" s="97">
        <v>0</v>
      </c>
      <c r="Q61" s="98">
        <v>0</v>
      </c>
      <c r="R61" s="99">
        <v>0</v>
      </c>
      <c r="S61" s="98">
        <v>0</v>
      </c>
      <c r="T61" s="101">
        <v>0</v>
      </c>
      <c r="U61" s="100">
        <v>0</v>
      </c>
      <c r="V61" s="98">
        <v>0</v>
      </c>
      <c r="W61" s="99">
        <v>0</v>
      </c>
      <c r="X61" s="98">
        <v>0</v>
      </c>
      <c r="Y61" s="99">
        <v>0</v>
      </c>
      <c r="Z61" s="97">
        <v>0</v>
      </c>
      <c r="AA61" s="98">
        <v>0</v>
      </c>
      <c r="AB61" s="99">
        <v>0</v>
      </c>
      <c r="AC61" s="98">
        <v>0</v>
      </c>
      <c r="AD61" s="99">
        <v>0</v>
      </c>
      <c r="AE61" s="97">
        <v>0</v>
      </c>
    </row>
    <row r="62" spans="2:31" s="74" customFormat="1" ht="15.75" customHeight="1">
      <c r="B62" s="96"/>
      <c r="C62" s="86"/>
      <c r="D62" s="85"/>
      <c r="E62" s="86" t="s">
        <v>130</v>
      </c>
      <c r="F62" s="97">
        <v>0</v>
      </c>
      <c r="G62" s="98">
        <v>0</v>
      </c>
      <c r="H62" s="99">
        <v>0</v>
      </c>
      <c r="I62" s="98">
        <v>0</v>
      </c>
      <c r="J62" s="101">
        <v>0</v>
      </c>
      <c r="K62" s="97">
        <v>0</v>
      </c>
      <c r="L62" s="98">
        <v>0</v>
      </c>
      <c r="M62" s="99">
        <v>0</v>
      </c>
      <c r="N62" s="98">
        <v>0</v>
      </c>
      <c r="O62" s="101">
        <v>0</v>
      </c>
      <c r="P62" s="97">
        <v>0</v>
      </c>
      <c r="Q62" s="98">
        <v>0</v>
      </c>
      <c r="R62" s="99">
        <v>0</v>
      </c>
      <c r="S62" s="98">
        <v>0</v>
      </c>
      <c r="T62" s="101">
        <v>0</v>
      </c>
      <c r="U62" s="100">
        <v>0</v>
      </c>
      <c r="V62" s="98">
        <v>0</v>
      </c>
      <c r="W62" s="99">
        <v>0</v>
      </c>
      <c r="X62" s="98">
        <v>0</v>
      </c>
      <c r="Y62" s="99">
        <v>0</v>
      </c>
      <c r="Z62" s="97">
        <v>0</v>
      </c>
      <c r="AA62" s="98">
        <v>0</v>
      </c>
      <c r="AB62" s="99">
        <v>0</v>
      </c>
      <c r="AC62" s="98">
        <v>0</v>
      </c>
      <c r="AD62" s="99">
        <v>0</v>
      </c>
      <c r="AE62" s="97">
        <v>0</v>
      </c>
    </row>
    <row r="63" spans="2:31" s="74" customFormat="1" ht="15.75" customHeight="1">
      <c r="B63" s="96"/>
      <c r="C63" s="86"/>
      <c r="D63" s="85"/>
      <c r="E63" s="86" t="s">
        <v>131</v>
      </c>
      <c r="F63" s="97">
        <v>0</v>
      </c>
      <c r="G63" s="98">
        <v>0</v>
      </c>
      <c r="H63" s="99">
        <v>0</v>
      </c>
      <c r="I63" s="98">
        <v>0</v>
      </c>
      <c r="J63" s="101">
        <v>0</v>
      </c>
      <c r="K63" s="97">
        <v>0</v>
      </c>
      <c r="L63" s="98">
        <v>0</v>
      </c>
      <c r="M63" s="99">
        <v>0</v>
      </c>
      <c r="N63" s="98">
        <v>0</v>
      </c>
      <c r="O63" s="101">
        <v>0</v>
      </c>
      <c r="P63" s="97">
        <v>0</v>
      </c>
      <c r="Q63" s="98">
        <v>0</v>
      </c>
      <c r="R63" s="99">
        <v>0</v>
      </c>
      <c r="S63" s="98">
        <v>0</v>
      </c>
      <c r="T63" s="101">
        <v>0</v>
      </c>
      <c r="U63" s="100">
        <v>0</v>
      </c>
      <c r="V63" s="98">
        <v>0</v>
      </c>
      <c r="W63" s="99">
        <v>0</v>
      </c>
      <c r="X63" s="98">
        <v>0</v>
      </c>
      <c r="Y63" s="99">
        <v>0</v>
      </c>
      <c r="Z63" s="97">
        <v>0</v>
      </c>
      <c r="AA63" s="98">
        <v>0</v>
      </c>
      <c r="AB63" s="99">
        <v>0</v>
      </c>
      <c r="AC63" s="98">
        <v>0</v>
      </c>
      <c r="AD63" s="99">
        <v>0</v>
      </c>
      <c r="AE63" s="97">
        <v>0</v>
      </c>
    </row>
    <row r="64" spans="2:31" s="74" customFormat="1" ht="15.75" customHeight="1">
      <c r="B64" s="96"/>
      <c r="C64" s="86"/>
      <c r="D64" s="85"/>
      <c r="E64" s="86" t="s">
        <v>132</v>
      </c>
      <c r="F64" s="97">
        <v>0</v>
      </c>
      <c r="G64" s="98">
        <v>0</v>
      </c>
      <c r="H64" s="99">
        <v>0</v>
      </c>
      <c r="I64" s="98">
        <v>0</v>
      </c>
      <c r="J64" s="101">
        <v>0</v>
      </c>
      <c r="K64" s="97">
        <v>0</v>
      </c>
      <c r="L64" s="98">
        <v>0</v>
      </c>
      <c r="M64" s="99">
        <v>0</v>
      </c>
      <c r="N64" s="98">
        <v>0</v>
      </c>
      <c r="O64" s="101">
        <v>0</v>
      </c>
      <c r="P64" s="97">
        <v>0</v>
      </c>
      <c r="Q64" s="98">
        <v>0</v>
      </c>
      <c r="R64" s="99">
        <v>0</v>
      </c>
      <c r="S64" s="98">
        <v>0</v>
      </c>
      <c r="T64" s="101">
        <v>0</v>
      </c>
      <c r="U64" s="100">
        <v>0</v>
      </c>
      <c r="V64" s="98">
        <v>0</v>
      </c>
      <c r="W64" s="99">
        <v>0</v>
      </c>
      <c r="X64" s="98">
        <v>0</v>
      </c>
      <c r="Y64" s="99">
        <v>0</v>
      </c>
      <c r="Z64" s="97">
        <v>0</v>
      </c>
      <c r="AA64" s="98">
        <v>0</v>
      </c>
      <c r="AB64" s="99">
        <v>0</v>
      </c>
      <c r="AC64" s="98">
        <v>0</v>
      </c>
      <c r="AD64" s="99">
        <v>0</v>
      </c>
      <c r="AE64" s="97">
        <v>0</v>
      </c>
    </row>
    <row r="65" spans="2:31" s="74" customFormat="1" ht="15.75" customHeight="1">
      <c r="B65" s="96"/>
      <c r="C65" s="86"/>
      <c r="D65" s="85"/>
      <c r="E65" s="86"/>
      <c r="F65" s="102"/>
      <c r="G65" s="103"/>
      <c r="H65" s="104"/>
      <c r="I65" s="103"/>
      <c r="J65" s="105"/>
      <c r="K65" s="102"/>
      <c r="L65" s="103"/>
      <c r="M65" s="104"/>
      <c r="N65" s="103"/>
      <c r="O65" s="105"/>
      <c r="P65" s="102"/>
      <c r="Q65" s="103"/>
      <c r="R65" s="104"/>
      <c r="S65" s="103"/>
      <c r="T65" s="105"/>
      <c r="U65" s="106"/>
      <c r="V65" s="103"/>
      <c r="W65" s="104"/>
      <c r="X65" s="103"/>
      <c r="Y65" s="104"/>
      <c r="Z65" s="102"/>
      <c r="AA65" s="103"/>
      <c r="AB65" s="104"/>
      <c r="AC65" s="103"/>
      <c r="AD65" s="104"/>
      <c r="AE65" s="102"/>
    </row>
    <row r="66" spans="2:31" s="74" customFormat="1" ht="15.75" customHeight="1">
      <c r="B66" s="96"/>
      <c r="C66" s="86"/>
      <c r="D66" s="85" t="s">
        <v>133</v>
      </c>
      <c r="E66" s="86"/>
      <c r="F66" s="102"/>
      <c r="G66" s="103"/>
      <c r="H66" s="104"/>
      <c r="I66" s="103"/>
      <c r="J66" s="105"/>
      <c r="K66" s="102"/>
      <c r="L66" s="103"/>
      <c r="M66" s="104"/>
      <c r="N66" s="103"/>
      <c r="O66" s="105"/>
      <c r="P66" s="102"/>
      <c r="Q66" s="103"/>
      <c r="R66" s="104"/>
      <c r="S66" s="103"/>
      <c r="T66" s="105"/>
      <c r="U66" s="106"/>
      <c r="V66" s="103"/>
      <c r="W66" s="104"/>
      <c r="X66" s="103"/>
      <c r="Y66" s="104"/>
      <c r="Z66" s="102"/>
      <c r="AA66" s="103"/>
      <c r="AB66" s="104"/>
      <c r="AC66" s="103"/>
      <c r="AD66" s="104"/>
      <c r="AE66" s="102"/>
    </row>
    <row r="67" spans="2:31" s="74" customFormat="1" ht="15.75" customHeight="1">
      <c r="B67" s="96"/>
      <c r="C67" s="86"/>
      <c r="D67" s="85"/>
      <c r="E67" s="86" t="s">
        <v>134</v>
      </c>
      <c r="F67" s="97">
        <v>22676</v>
      </c>
      <c r="G67" s="98">
        <v>279</v>
      </c>
      <c r="H67" s="99">
        <v>54</v>
      </c>
      <c r="I67" s="98">
        <v>323</v>
      </c>
      <c r="J67" s="101">
        <v>54</v>
      </c>
      <c r="K67" s="97">
        <v>22720</v>
      </c>
      <c r="L67" s="98">
        <v>284</v>
      </c>
      <c r="M67" s="99">
        <v>149</v>
      </c>
      <c r="N67" s="98">
        <v>263</v>
      </c>
      <c r="O67" s="101">
        <v>149</v>
      </c>
      <c r="P67" s="97">
        <v>22699</v>
      </c>
      <c r="Q67" s="98">
        <v>356</v>
      </c>
      <c r="R67" s="99">
        <v>129</v>
      </c>
      <c r="S67" s="98">
        <v>352</v>
      </c>
      <c r="T67" s="101">
        <v>129</v>
      </c>
      <c r="U67" s="100">
        <v>22695</v>
      </c>
      <c r="V67" s="98">
        <v>156</v>
      </c>
      <c r="W67" s="99">
        <v>136</v>
      </c>
      <c r="X67" s="98">
        <v>280</v>
      </c>
      <c r="Y67" s="99">
        <v>139</v>
      </c>
      <c r="Z67" s="97">
        <v>22822</v>
      </c>
      <c r="AA67" s="98">
        <v>225</v>
      </c>
      <c r="AB67" s="99">
        <v>237</v>
      </c>
      <c r="AC67" s="98">
        <v>262</v>
      </c>
      <c r="AD67" s="99">
        <v>232</v>
      </c>
      <c r="AE67" s="97">
        <v>22854</v>
      </c>
    </row>
    <row r="68" spans="2:31" s="74" customFormat="1" ht="15.75" customHeight="1">
      <c r="B68" s="96"/>
      <c r="C68" s="86"/>
      <c r="D68" s="85"/>
      <c r="E68" s="86" t="s">
        <v>135</v>
      </c>
      <c r="F68" s="97">
        <v>17685</v>
      </c>
      <c r="G68" s="98">
        <v>0</v>
      </c>
      <c r="H68" s="99">
        <v>73</v>
      </c>
      <c r="I68" s="98">
        <v>392</v>
      </c>
      <c r="J68" s="101">
        <v>74</v>
      </c>
      <c r="K68" s="97">
        <v>18078</v>
      </c>
      <c r="L68" s="98">
        <v>0</v>
      </c>
      <c r="M68" s="99">
        <v>123</v>
      </c>
      <c r="N68" s="98">
        <v>357</v>
      </c>
      <c r="O68" s="101">
        <v>143</v>
      </c>
      <c r="P68" s="97">
        <v>18455</v>
      </c>
      <c r="Q68" s="98">
        <v>50</v>
      </c>
      <c r="R68" s="99">
        <v>199</v>
      </c>
      <c r="S68" s="98">
        <v>357</v>
      </c>
      <c r="T68" s="101">
        <v>199</v>
      </c>
      <c r="U68" s="100">
        <v>18762</v>
      </c>
      <c r="V68" s="98">
        <v>22</v>
      </c>
      <c r="W68" s="99">
        <v>75</v>
      </c>
      <c r="X68" s="98">
        <v>285</v>
      </c>
      <c r="Y68" s="99">
        <v>92</v>
      </c>
      <c r="Z68" s="97">
        <v>19042</v>
      </c>
      <c r="AA68" s="98">
        <v>32</v>
      </c>
      <c r="AB68" s="99">
        <v>102</v>
      </c>
      <c r="AC68" s="98">
        <v>269</v>
      </c>
      <c r="AD68" s="99">
        <v>131</v>
      </c>
      <c r="AE68" s="97">
        <v>19308</v>
      </c>
    </row>
    <row r="69" spans="2:31" s="74" customFormat="1" ht="15.75" customHeight="1">
      <c r="B69" s="96"/>
      <c r="C69" s="86"/>
      <c r="D69" s="85"/>
      <c r="E69" s="86" t="s">
        <v>136</v>
      </c>
      <c r="F69" s="97">
        <v>0</v>
      </c>
      <c r="G69" s="98">
        <v>0</v>
      </c>
      <c r="H69" s="99">
        <v>0</v>
      </c>
      <c r="I69" s="98">
        <v>0</v>
      </c>
      <c r="J69" s="101">
        <v>0</v>
      </c>
      <c r="K69" s="97">
        <v>0</v>
      </c>
      <c r="L69" s="98">
        <v>0</v>
      </c>
      <c r="M69" s="99">
        <v>0</v>
      </c>
      <c r="N69" s="98">
        <v>0</v>
      </c>
      <c r="O69" s="101">
        <v>0</v>
      </c>
      <c r="P69" s="97">
        <v>0</v>
      </c>
      <c r="Q69" s="98">
        <v>0</v>
      </c>
      <c r="R69" s="99">
        <v>0</v>
      </c>
      <c r="S69" s="98">
        <v>0</v>
      </c>
      <c r="T69" s="101">
        <v>0</v>
      </c>
      <c r="U69" s="100">
        <v>0</v>
      </c>
      <c r="V69" s="98">
        <v>0</v>
      </c>
      <c r="W69" s="99">
        <v>0</v>
      </c>
      <c r="X69" s="98">
        <v>0</v>
      </c>
      <c r="Y69" s="99">
        <v>0</v>
      </c>
      <c r="Z69" s="97">
        <v>0</v>
      </c>
      <c r="AA69" s="98">
        <v>0</v>
      </c>
      <c r="AB69" s="99">
        <v>0</v>
      </c>
      <c r="AC69" s="98">
        <v>0</v>
      </c>
      <c r="AD69" s="99">
        <v>0</v>
      </c>
      <c r="AE69" s="97">
        <v>0</v>
      </c>
    </row>
    <row r="70" spans="2:31" s="74" customFormat="1" ht="15.75" customHeight="1">
      <c r="B70" s="96"/>
      <c r="C70" s="86"/>
      <c r="D70" s="85"/>
      <c r="E70" s="86" t="s">
        <v>137</v>
      </c>
      <c r="F70" s="97">
        <v>0</v>
      </c>
      <c r="G70" s="98">
        <v>0</v>
      </c>
      <c r="H70" s="99">
        <v>0</v>
      </c>
      <c r="I70" s="98">
        <v>0</v>
      </c>
      <c r="J70" s="101">
        <v>0</v>
      </c>
      <c r="K70" s="97">
        <v>0</v>
      </c>
      <c r="L70" s="98">
        <v>0</v>
      </c>
      <c r="M70" s="99">
        <v>0</v>
      </c>
      <c r="N70" s="98">
        <v>0</v>
      </c>
      <c r="O70" s="101">
        <v>0</v>
      </c>
      <c r="P70" s="97">
        <v>0</v>
      </c>
      <c r="Q70" s="98">
        <v>0</v>
      </c>
      <c r="R70" s="99">
        <v>0</v>
      </c>
      <c r="S70" s="98">
        <v>0</v>
      </c>
      <c r="T70" s="101">
        <v>0</v>
      </c>
      <c r="U70" s="100">
        <v>0</v>
      </c>
      <c r="V70" s="98">
        <v>0</v>
      </c>
      <c r="W70" s="99">
        <v>0</v>
      </c>
      <c r="X70" s="98">
        <v>0</v>
      </c>
      <c r="Y70" s="99">
        <v>0</v>
      </c>
      <c r="Z70" s="97">
        <v>0</v>
      </c>
      <c r="AA70" s="98">
        <v>0</v>
      </c>
      <c r="AB70" s="99">
        <v>0</v>
      </c>
      <c r="AC70" s="98">
        <v>0</v>
      </c>
      <c r="AD70" s="99">
        <v>0</v>
      </c>
      <c r="AE70" s="97">
        <v>0</v>
      </c>
    </row>
    <row r="71" spans="2:31" s="74" customFormat="1" ht="15.75" customHeight="1" thickBot="1">
      <c r="B71" s="107"/>
      <c r="C71" s="108"/>
      <c r="D71" s="108"/>
      <c r="E71" s="108"/>
      <c r="F71" s="109"/>
      <c r="G71" s="110"/>
      <c r="H71" s="111"/>
      <c r="I71" s="110"/>
      <c r="J71" s="112"/>
      <c r="K71" s="113"/>
      <c r="L71" s="110"/>
      <c r="M71" s="111"/>
      <c r="N71" s="110"/>
      <c r="O71" s="112"/>
      <c r="P71" s="113"/>
      <c r="Q71" s="110"/>
      <c r="R71" s="111"/>
      <c r="S71" s="110"/>
      <c r="T71" s="112"/>
      <c r="U71" s="114"/>
      <c r="V71" s="110"/>
      <c r="W71" s="111"/>
      <c r="X71" s="110"/>
      <c r="Y71" s="111"/>
      <c r="Z71" s="113"/>
      <c r="AA71" s="110"/>
      <c r="AB71" s="111"/>
      <c r="AC71" s="110"/>
      <c r="AD71" s="111"/>
      <c r="AE71" s="113"/>
    </row>
    <row r="72" spans="2:31" s="74" customFormat="1" ht="15.75" customHeight="1">
      <c r="B72" s="115"/>
      <c r="C72" s="116" t="s">
        <v>138</v>
      </c>
      <c r="D72" s="116"/>
      <c r="E72" s="117"/>
      <c r="F72" s="118"/>
      <c r="G72" s="119"/>
      <c r="H72" s="120"/>
      <c r="I72" s="119"/>
      <c r="J72" s="121"/>
      <c r="K72" s="118"/>
      <c r="L72" s="119"/>
      <c r="M72" s="120"/>
      <c r="N72" s="119"/>
      <c r="O72" s="121"/>
      <c r="P72" s="118"/>
      <c r="Q72" s="119"/>
      <c r="R72" s="120"/>
      <c r="S72" s="119"/>
      <c r="T72" s="121"/>
      <c r="U72" s="122"/>
      <c r="V72" s="119"/>
      <c r="W72" s="120"/>
      <c r="X72" s="119"/>
      <c r="Y72" s="120"/>
      <c r="Z72" s="118"/>
      <c r="AA72" s="119"/>
      <c r="AB72" s="120"/>
      <c r="AC72" s="119"/>
      <c r="AD72" s="120"/>
      <c r="AE72" s="118"/>
    </row>
    <row r="73" spans="2:31" s="74" customFormat="1" ht="15.75" customHeight="1">
      <c r="B73" s="96"/>
      <c r="C73" s="86"/>
      <c r="D73" s="85" t="s">
        <v>90</v>
      </c>
      <c r="E73" s="86"/>
      <c r="F73" s="102"/>
      <c r="G73" s="103"/>
      <c r="H73" s="104"/>
      <c r="I73" s="103"/>
      <c r="J73" s="105"/>
      <c r="K73" s="102"/>
      <c r="L73" s="103"/>
      <c r="M73" s="104"/>
      <c r="N73" s="103"/>
      <c r="O73" s="105"/>
      <c r="P73" s="102"/>
      <c r="Q73" s="103"/>
      <c r="R73" s="104"/>
      <c r="S73" s="103"/>
      <c r="T73" s="105"/>
      <c r="U73" s="106"/>
      <c r="V73" s="103"/>
      <c r="W73" s="104"/>
      <c r="X73" s="103"/>
      <c r="Y73" s="104"/>
      <c r="Z73" s="102"/>
      <c r="AA73" s="103"/>
      <c r="AB73" s="104"/>
      <c r="AC73" s="103"/>
      <c r="AD73" s="104"/>
      <c r="AE73" s="102"/>
    </row>
    <row r="74" spans="2:31" s="74" customFormat="1" ht="15.75" customHeight="1">
      <c r="B74" s="96"/>
      <c r="C74" s="86"/>
      <c r="D74" s="86"/>
      <c r="E74" s="86" t="s">
        <v>139</v>
      </c>
      <c r="F74" s="97">
        <v>1806</v>
      </c>
      <c r="G74" s="98">
        <v>1</v>
      </c>
      <c r="H74" s="99">
        <v>4</v>
      </c>
      <c r="I74" s="98">
        <v>0</v>
      </c>
      <c r="J74" s="101">
        <v>4</v>
      </c>
      <c r="K74" s="97">
        <v>1805</v>
      </c>
      <c r="L74" s="98">
        <v>11</v>
      </c>
      <c r="M74" s="99">
        <v>9</v>
      </c>
      <c r="N74" s="98">
        <v>0</v>
      </c>
      <c r="O74" s="101">
        <v>9</v>
      </c>
      <c r="P74" s="97">
        <v>1794</v>
      </c>
      <c r="Q74" s="98">
        <v>30</v>
      </c>
      <c r="R74" s="99">
        <v>18</v>
      </c>
      <c r="S74" s="98">
        <v>5</v>
      </c>
      <c r="T74" s="101">
        <v>18</v>
      </c>
      <c r="U74" s="100">
        <v>1769</v>
      </c>
      <c r="V74" s="98">
        <v>5</v>
      </c>
      <c r="W74" s="99">
        <v>3.3</v>
      </c>
      <c r="X74" s="98">
        <v>4.3</v>
      </c>
      <c r="Y74" s="99">
        <v>1.8</v>
      </c>
      <c r="Z74" s="97">
        <v>1766.8</v>
      </c>
      <c r="AA74" s="98">
        <v>0.6</v>
      </c>
      <c r="AB74" s="99">
        <v>22</v>
      </c>
      <c r="AC74" s="98">
        <v>0.7</v>
      </c>
      <c r="AD74" s="99">
        <v>8.6</v>
      </c>
      <c r="AE74" s="97">
        <v>1753.5</v>
      </c>
    </row>
    <row r="75" spans="2:31" s="74" customFormat="1" ht="15.75" customHeight="1">
      <c r="B75" s="96"/>
      <c r="C75" s="86"/>
      <c r="D75" s="85"/>
      <c r="E75" s="86" t="s">
        <v>140</v>
      </c>
      <c r="F75" s="97">
        <v>947</v>
      </c>
      <c r="G75" s="98">
        <v>0</v>
      </c>
      <c r="H75" s="99">
        <v>0</v>
      </c>
      <c r="I75" s="98">
        <v>0</v>
      </c>
      <c r="J75" s="101">
        <v>2</v>
      </c>
      <c r="K75" s="97">
        <v>949</v>
      </c>
      <c r="L75" s="98">
        <v>0</v>
      </c>
      <c r="M75" s="99">
        <v>0</v>
      </c>
      <c r="N75" s="98">
        <v>0</v>
      </c>
      <c r="O75" s="101">
        <v>0</v>
      </c>
      <c r="P75" s="97">
        <v>949</v>
      </c>
      <c r="Q75" s="98">
        <v>24</v>
      </c>
      <c r="R75" s="99">
        <v>0</v>
      </c>
      <c r="S75" s="98">
        <v>8</v>
      </c>
      <c r="T75" s="101">
        <v>0</v>
      </c>
      <c r="U75" s="100">
        <v>933</v>
      </c>
      <c r="V75" s="98">
        <v>0</v>
      </c>
      <c r="W75" s="99">
        <v>0</v>
      </c>
      <c r="X75" s="98">
        <v>0</v>
      </c>
      <c r="Y75" s="99">
        <v>0</v>
      </c>
      <c r="Z75" s="97">
        <v>933</v>
      </c>
      <c r="AA75" s="98">
        <v>0</v>
      </c>
      <c r="AB75" s="99">
        <v>0</v>
      </c>
      <c r="AC75" s="98">
        <v>0</v>
      </c>
      <c r="AD75" s="99">
        <v>0</v>
      </c>
      <c r="AE75" s="97">
        <v>933</v>
      </c>
    </row>
    <row r="76" spans="2:31" s="74" customFormat="1" ht="15.75" customHeight="1">
      <c r="B76" s="96"/>
      <c r="C76" s="86"/>
      <c r="D76" s="85"/>
      <c r="E76" s="86" t="s">
        <v>141</v>
      </c>
      <c r="F76" s="97">
        <v>0</v>
      </c>
      <c r="G76" s="98">
        <v>0</v>
      </c>
      <c r="H76" s="99">
        <v>0</v>
      </c>
      <c r="I76" s="98">
        <v>0</v>
      </c>
      <c r="J76" s="101">
        <v>0</v>
      </c>
      <c r="K76" s="97">
        <v>0</v>
      </c>
      <c r="L76" s="98">
        <v>0</v>
      </c>
      <c r="M76" s="99">
        <v>0</v>
      </c>
      <c r="N76" s="98">
        <v>0</v>
      </c>
      <c r="O76" s="101">
        <v>0</v>
      </c>
      <c r="P76" s="97">
        <v>0</v>
      </c>
      <c r="Q76" s="98">
        <v>0</v>
      </c>
      <c r="R76" s="99">
        <v>0</v>
      </c>
      <c r="S76" s="98">
        <v>0</v>
      </c>
      <c r="T76" s="101">
        <v>0</v>
      </c>
      <c r="U76" s="100">
        <v>0</v>
      </c>
      <c r="V76" s="98">
        <v>0</v>
      </c>
      <c r="W76" s="99">
        <v>0</v>
      </c>
      <c r="X76" s="98">
        <v>0</v>
      </c>
      <c r="Y76" s="99">
        <v>0</v>
      </c>
      <c r="Z76" s="97">
        <v>0</v>
      </c>
      <c r="AA76" s="98">
        <v>0</v>
      </c>
      <c r="AB76" s="99">
        <v>0</v>
      </c>
      <c r="AC76" s="98">
        <v>0</v>
      </c>
      <c r="AD76" s="99">
        <v>0</v>
      </c>
      <c r="AE76" s="97">
        <v>0</v>
      </c>
    </row>
    <row r="77" spans="2:31" s="74" customFormat="1" ht="15.75" customHeight="1">
      <c r="B77" s="96"/>
      <c r="C77" s="86"/>
      <c r="D77" s="85"/>
      <c r="E77" s="86" t="s">
        <v>142</v>
      </c>
      <c r="F77" s="97">
        <v>0</v>
      </c>
      <c r="G77" s="98">
        <v>0</v>
      </c>
      <c r="H77" s="99">
        <v>0</v>
      </c>
      <c r="I77" s="98">
        <v>0</v>
      </c>
      <c r="J77" s="101">
        <v>0</v>
      </c>
      <c r="K77" s="97">
        <v>0</v>
      </c>
      <c r="L77" s="98">
        <v>0</v>
      </c>
      <c r="M77" s="99">
        <v>0</v>
      </c>
      <c r="N77" s="98">
        <v>0</v>
      </c>
      <c r="O77" s="101">
        <v>0</v>
      </c>
      <c r="P77" s="97">
        <v>0</v>
      </c>
      <c r="Q77" s="98">
        <v>0</v>
      </c>
      <c r="R77" s="99">
        <v>0</v>
      </c>
      <c r="S77" s="98">
        <v>0</v>
      </c>
      <c r="T77" s="101">
        <v>0</v>
      </c>
      <c r="U77" s="100">
        <v>0</v>
      </c>
      <c r="V77" s="98">
        <v>0</v>
      </c>
      <c r="W77" s="99">
        <v>0</v>
      </c>
      <c r="X77" s="98">
        <v>0</v>
      </c>
      <c r="Y77" s="99">
        <v>0</v>
      </c>
      <c r="Z77" s="97">
        <v>0</v>
      </c>
      <c r="AA77" s="98">
        <v>0</v>
      </c>
      <c r="AB77" s="99">
        <v>0</v>
      </c>
      <c r="AC77" s="98">
        <v>0</v>
      </c>
      <c r="AD77" s="99">
        <v>0</v>
      </c>
      <c r="AE77" s="97">
        <v>0</v>
      </c>
    </row>
    <row r="78" spans="2:31" s="74" customFormat="1" ht="15.75" customHeight="1">
      <c r="B78" s="96"/>
      <c r="C78" s="86"/>
      <c r="D78" s="85"/>
      <c r="E78" s="86"/>
      <c r="F78" s="102"/>
      <c r="G78" s="103"/>
      <c r="H78" s="104"/>
      <c r="I78" s="103"/>
      <c r="J78" s="105"/>
      <c r="K78" s="102"/>
      <c r="L78" s="103"/>
      <c r="M78" s="104"/>
      <c r="N78" s="103"/>
      <c r="O78" s="105"/>
      <c r="P78" s="102"/>
      <c r="Q78" s="103"/>
      <c r="R78" s="104"/>
      <c r="S78" s="103"/>
      <c r="T78" s="105"/>
      <c r="U78" s="106"/>
      <c r="V78" s="103"/>
      <c r="W78" s="104"/>
      <c r="X78" s="103"/>
      <c r="Y78" s="104"/>
      <c r="Z78" s="102"/>
      <c r="AA78" s="103"/>
      <c r="AB78" s="104"/>
      <c r="AC78" s="103"/>
      <c r="AD78" s="104"/>
      <c r="AE78" s="102"/>
    </row>
    <row r="79" spans="2:31" s="74" customFormat="1" ht="15.75" customHeight="1">
      <c r="B79" s="96"/>
      <c r="C79" s="86"/>
      <c r="D79" s="85" t="s">
        <v>93</v>
      </c>
      <c r="E79" s="86"/>
      <c r="F79" s="102"/>
      <c r="G79" s="103"/>
      <c r="H79" s="104"/>
      <c r="I79" s="103"/>
      <c r="J79" s="105"/>
      <c r="K79" s="102"/>
      <c r="L79" s="103"/>
      <c r="M79" s="104"/>
      <c r="N79" s="103"/>
      <c r="O79" s="105"/>
      <c r="P79" s="102"/>
      <c r="Q79" s="103"/>
      <c r="R79" s="104"/>
      <c r="S79" s="103"/>
      <c r="T79" s="105"/>
      <c r="U79" s="106"/>
      <c r="V79" s="103"/>
      <c r="W79" s="104"/>
      <c r="X79" s="103"/>
      <c r="Y79" s="104"/>
      <c r="Z79" s="102"/>
      <c r="AA79" s="103"/>
      <c r="AB79" s="104"/>
      <c r="AC79" s="103"/>
      <c r="AD79" s="104"/>
      <c r="AE79" s="102"/>
    </row>
    <row r="80" spans="2:31" s="74" customFormat="1" ht="15.75" customHeight="1">
      <c r="B80" s="96"/>
      <c r="C80" s="86"/>
      <c r="D80" s="86"/>
      <c r="E80" s="86" t="s">
        <v>143</v>
      </c>
      <c r="F80" s="97">
        <v>28943</v>
      </c>
      <c r="G80" s="98">
        <v>1</v>
      </c>
      <c r="H80" s="99">
        <v>36</v>
      </c>
      <c r="I80" s="98">
        <v>1</v>
      </c>
      <c r="J80" s="101">
        <v>36</v>
      </c>
      <c r="K80" s="97">
        <v>28943</v>
      </c>
      <c r="L80" s="98">
        <v>276</v>
      </c>
      <c r="M80" s="99">
        <v>0</v>
      </c>
      <c r="N80" s="98">
        <v>6</v>
      </c>
      <c r="O80" s="101">
        <v>0</v>
      </c>
      <c r="P80" s="97">
        <v>28673</v>
      </c>
      <c r="Q80" s="98">
        <v>483</v>
      </c>
      <c r="R80" s="99">
        <v>144</v>
      </c>
      <c r="S80" s="98">
        <v>83</v>
      </c>
      <c r="T80" s="101">
        <v>144</v>
      </c>
      <c r="U80" s="100">
        <v>28273</v>
      </c>
      <c r="V80" s="98">
        <v>50</v>
      </c>
      <c r="W80" s="99">
        <v>32</v>
      </c>
      <c r="X80" s="98">
        <v>43</v>
      </c>
      <c r="Y80" s="99">
        <v>20</v>
      </c>
      <c r="Z80" s="97">
        <v>28254</v>
      </c>
      <c r="AA80" s="98">
        <v>6</v>
      </c>
      <c r="AB80" s="99">
        <v>232</v>
      </c>
      <c r="AC80" s="98">
        <v>7</v>
      </c>
      <c r="AD80" s="99">
        <v>102</v>
      </c>
      <c r="AE80" s="97">
        <v>28125</v>
      </c>
    </row>
    <row r="81" spans="2:31" s="74" customFormat="1" ht="15.75" customHeight="1">
      <c r="B81" s="96"/>
      <c r="C81" s="86"/>
      <c r="D81" s="86"/>
      <c r="E81" s="86" t="s">
        <v>144</v>
      </c>
      <c r="F81" s="97">
        <v>1326</v>
      </c>
      <c r="G81" s="98">
        <v>30</v>
      </c>
      <c r="H81" s="99">
        <v>0</v>
      </c>
      <c r="I81" s="98">
        <v>0</v>
      </c>
      <c r="J81" s="101">
        <v>0</v>
      </c>
      <c r="K81" s="97">
        <v>1296</v>
      </c>
      <c r="L81" s="98">
        <v>0</v>
      </c>
      <c r="M81" s="99">
        <v>0</v>
      </c>
      <c r="N81" s="98">
        <v>10</v>
      </c>
      <c r="O81" s="101">
        <v>7</v>
      </c>
      <c r="P81" s="97">
        <v>1313</v>
      </c>
      <c r="Q81" s="98">
        <v>63</v>
      </c>
      <c r="R81" s="99">
        <v>0</v>
      </c>
      <c r="S81" s="98">
        <v>37</v>
      </c>
      <c r="T81" s="101">
        <v>0</v>
      </c>
      <c r="U81" s="100">
        <v>1287</v>
      </c>
      <c r="V81" s="98">
        <v>0</v>
      </c>
      <c r="W81" s="99">
        <v>0</v>
      </c>
      <c r="X81" s="98">
        <v>0</v>
      </c>
      <c r="Y81" s="99">
        <v>0</v>
      </c>
      <c r="Z81" s="97">
        <v>1287</v>
      </c>
      <c r="AA81" s="98">
        <v>0</v>
      </c>
      <c r="AB81" s="99">
        <v>0</v>
      </c>
      <c r="AC81" s="98">
        <v>0</v>
      </c>
      <c r="AD81" s="99">
        <v>0</v>
      </c>
      <c r="AE81" s="97">
        <v>1287</v>
      </c>
    </row>
    <row r="82" spans="2:31" s="74" customFormat="1" ht="15.75" customHeight="1">
      <c r="B82" s="96"/>
      <c r="C82" s="86"/>
      <c r="D82" s="85"/>
      <c r="E82" s="86" t="s">
        <v>145</v>
      </c>
      <c r="F82" s="97">
        <v>0</v>
      </c>
      <c r="G82" s="98">
        <v>0</v>
      </c>
      <c r="H82" s="99">
        <v>0</v>
      </c>
      <c r="I82" s="98">
        <v>0</v>
      </c>
      <c r="J82" s="101">
        <v>0</v>
      </c>
      <c r="K82" s="97">
        <v>0</v>
      </c>
      <c r="L82" s="98">
        <v>0</v>
      </c>
      <c r="M82" s="99">
        <v>0</v>
      </c>
      <c r="N82" s="98">
        <v>0</v>
      </c>
      <c r="O82" s="101">
        <v>0</v>
      </c>
      <c r="P82" s="97">
        <v>0</v>
      </c>
      <c r="Q82" s="98">
        <v>0</v>
      </c>
      <c r="R82" s="99">
        <v>0</v>
      </c>
      <c r="S82" s="98">
        <v>0</v>
      </c>
      <c r="T82" s="101">
        <v>0</v>
      </c>
      <c r="U82" s="100">
        <v>0</v>
      </c>
      <c r="V82" s="98">
        <v>0</v>
      </c>
      <c r="W82" s="99">
        <v>0</v>
      </c>
      <c r="X82" s="98">
        <v>0</v>
      </c>
      <c r="Y82" s="99">
        <v>0</v>
      </c>
      <c r="Z82" s="97">
        <v>0</v>
      </c>
      <c r="AA82" s="98">
        <v>0</v>
      </c>
      <c r="AB82" s="99">
        <v>0</v>
      </c>
      <c r="AC82" s="98">
        <v>0</v>
      </c>
      <c r="AD82" s="99">
        <v>0</v>
      </c>
      <c r="AE82" s="97">
        <v>0</v>
      </c>
    </row>
    <row r="83" spans="2:31" s="74" customFormat="1" ht="15.75" customHeight="1">
      <c r="B83" s="96"/>
      <c r="C83" s="86"/>
      <c r="D83" s="85"/>
      <c r="E83" s="86" t="s">
        <v>146</v>
      </c>
      <c r="F83" s="97">
        <v>0</v>
      </c>
      <c r="G83" s="98">
        <v>0</v>
      </c>
      <c r="H83" s="99">
        <v>0</v>
      </c>
      <c r="I83" s="98">
        <v>0</v>
      </c>
      <c r="J83" s="101">
        <v>0</v>
      </c>
      <c r="K83" s="97">
        <v>0</v>
      </c>
      <c r="L83" s="98">
        <v>0</v>
      </c>
      <c r="M83" s="99">
        <v>0</v>
      </c>
      <c r="N83" s="98">
        <v>0</v>
      </c>
      <c r="O83" s="101">
        <v>0</v>
      </c>
      <c r="P83" s="97">
        <v>0</v>
      </c>
      <c r="Q83" s="98">
        <v>0</v>
      </c>
      <c r="R83" s="99">
        <v>0</v>
      </c>
      <c r="S83" s="98">
        <v>0</v>
      </c>
      <c r="T83" s="101">
        <v>0</v>
      </c>
      <c r="U83" s="100">
        <v>0</v>
      </c>
      <c r="V83" s="98">
        <v>0</v>
      </c>
      <c r="W83" s="99">
        <v>0</v>
      </c>
      <c r="X83" s="98">
        <v>0</v>
      </c>
      <c r="Y83" s="99">
        <v>0</v>
      </c>
      <c r="Z83" s="97">
        <v>0</v>
      </c>
      <c r="AA83" s="98">
        <v>0</v>
      </c>
      <c r="AB83" s="99">
        <v>0</v>
      </c>
      <c r="AC83" s="98">
        <v>0</v>
      </c>
      <c r="AD83" s="99">
        <v>0</v>
      </c>
      <c r="AE83" s="97">
        <v>0</v>
      </c>
    </row>
    <row r="84" spans="2:31" s="74" customFormat="1" ht="15.75" customHeight="1">
      <c r="B84" s="96"/>
      <c r="C84" s="86"/>
      <c r="D84" s="86"/>
      <c r="E84" s="86"/>
      <c r="F84" s="102"/>
      <c r="G84" s="103"/>
      <c r="H84" s="104"/>
      <c r="I84" s="103"/>
      <c r="J84" s="105"/>
      <c r="K84" s="102"/>
      <c r="L84" s="103"/>
      <c r="M84" s="104"/>
      <c r="N84" s="103"/>
      <c r="O84" s="105"/>
      <c r="P84" s="102"/>
      <c r="Q84" s="103"/>
      <c r="R84" s="104"/>
      <c r="S84" s="103"/>
      <c r="T84" s="105"/>
      <c r="U84" s="106"/>
      <c r="V84" s="103"/>
      <c r="W84" s="104"/>
      <c r="X84" s="103"/>
      <c r="Y84" s="104"/>
      <c r="Z84" s="102"/>
      <c r="AA84" s="103"/>
      <c r="AB84" s="104"/>
      <c r="AC84" s="103"/>
      <c r="AD84" s="104"/>
      <c r="AE84" s="102"/>
    </row>
    <row r="85" spans="2:31" s="74" customFormat="1" ht="15.75" customHeight="1">
      <c r="B85" s="84"/>
      <c r="C85" s="86"/>
      <c r="D85" s="85" t="s">
        <v>114</v>
      </c>
      <c r="E85" s="86"/>
      <c r="F85" s="102"/>
      <c r="G85" s="103"/>
      <c r="H85" s="104"/>
      <c r="I85" s="103"/>
      <c r="J85" s="105"/>
      <c r="K85" s="102"/>
      <c r="L85" s="103"/>
      <c r="M85" s="104"/>
      <c r="N85" s="103"/>
      <c r="O85" s="105"/>
      <c r="P85" s="102"/>
      <c r="Q85" s="103"/>
      <c r="R85" s="104"/>
      <c r="S85" s="103"/>
      <c r="T85" s="105"/>
      <c r="U85" s="106"/>
      <c r="V85" s="103"/>
      <c r="W85" s="104"/>
      <c r="X85" s="103"/>
      <c r="Y85" s="104"/>
      <c r="Z85" s="102"/>
      <c r="AA85" s="103"/>
      <c r="AB85" s="104"/>
      <c r="AC85" s="103"/>
      <c r="AD85" s="104"/>
      <c r="AE85" s="102"/>
    </row>
    <row r="86" spans="2:31" s="74" customFormat="1" ht="15.75" customHeight="1">
      <c r="B86" s="84"/>
      <c r="C86" s="86"/>
      <c r="D86" s="85"/>
      <c r="E86" s="86" t="s">
        <v>147</v>
      </c>
      <c r="F86" s="97">
        <v>1381</v>
      </c>
      <c r="G86" s="98">
        <v>0</v>
      </c>
      <c r="H86" s="99">
        <v>0</v>
      </c>
      <c r="I86" s="98">
        <v>67</v>
      </c>
      <c r="J86" s="101">
        <v>25</v>
      </c>
      <c r="K86" s="97">
        <v>1473</v>
      </c>
      <c r="L86" s="98">
        <v>2</v>
      </c>
      <c r="M86" s="99">
        <v>8</v>
      </c>
      <c r="N86" s="98">
        <v>55</v>
      </c>
      <c r="O86" s="101">
        <v>8</v>
      </c>
      <c r="P86" s="97">
        <v>1526</v>
      </c>
      <c r="Q86" s="98">
        <v>0</v>
      </c>
      <c r="R86" s="99">
        <v>0</v>
      </c>
      <c r="S86" s="98">
        <v>23</v>
      </c>
      <c r="T86" s="101">
        <v>16</v>
      </c>
      <c r="U86" s="100">
        <v>1565</v>
      </c>
      <c r="V86" s="98">
        <v>1.9</v>
      </c>
      <c r="W86" s="99">
        <v>19.2</v>
      </c>
      <c r="X86" s="98">
        <v>11.9</v>
      </c>
      <c r="Y86" s="99">
        <v>4.2</v>
      </c>
      <c r="Z86" s="97">
        <v>1560</v>
      </c>
      <c r="AA86" s="98">
        <v>1.1000000000000001</v>
      </c>
      <c r="AB86" s="99">
        <v>12.4</v>
      </c>
      <c r="AC86" s="98">
        <v>4.4000000000000004</v>
      </c>
      <c r="AD86" s="99">
        <v>11.7</v>
      </c>
      <c r="AE86" s="97">
        <v>1562.6</v>
      </c>
    </row>
    <row r="87" spans="2:31" s="74" customFormat="1" ht="15.75" customHeight="1">
      <c r="B87" s="84"/>
      <c r="C87" s="86"/>
      <c r="D87" s="85"/>
      <c r="E87" s="86" t="s">
        <v>148</v>
      </c>
      <c r="F87" s="97">
        <v>157</v>
      </c>
      <c r="G87" s="98">
        <v>1</v>
      </c>
      <c r="H87" s="99">
        <v>0</v>
      </c>
      <c r="I87" s="98">
        <v>0</v>
      </c>
      <c r="J87" s="101">
        <v>0</v>
      </c>
      <c r="K87" s="97">
        <v>156</v>
      </c>
      <c r="L87" s="98">
        <v>0</v>
      </c>
      <c r="M87" s="99">
        <v>0</v>
      </c>
      <c r="N87" s="98">
        <v>0</v>
      </c>
      <c r="O87" s="101">
        <v>0</v>
      </c>
      <c r="P87" s="97">
        <v>156</v>
      </c>
      <c r="Q87" s="98">
        <v>0</v>
      </c>
      <c r="R87" s="99">
        <v>0</v>
      </c>
      <c r="S87" s="98">
        <v>0</v>
      </c>
      <c r="T87" s="101">
        <v>0</v>
      </c>
      <c r="U87" s="100">
        <v>156</v>
      </c>
      <c r="V87" s="98">
        <v>0</v>
      </c>
      <c r="W87" s="99">
        <v>0</v>
      </c>
      <c r="X87" s="98">
        <v>0</v>
      </c>
      <c r="Y87" s="99">
        <v>0</v>
      </c>
      <c r="Z87" s="97">
        <v>156</v>
      </c>
      <c r="AA87" s="98">
        <v>0</v>
      </c>
      <c r="AB87" s="99">
        <v>0</v>
      </c>
      <c r="AC87" s="98">
        <v>0</v>
      </c>
      <c r="AD87" s="99">
        <v>0</v>
      </c>
      <c r="AE87" s="97">
        <v>156</v>
      </c>
    </row>
    <row r="88" spans="2:31" s="74" customFormat="1" ht="15.75" customHeight="1">
      <c r="B88" s="84"/>
      <c r="C88" s="86"/>
      <c r="D88" s="85"/>
      <c r="E88" s="86" t="s">
        <v>149</v>
      </c>
      <c r="F88" s="97">
        <v>0</v>
      </c>
      <c r="G88" s="98">
        <v>0</v>
      </c>
      <c r="H88" s="99">
        <v>0</v>
      </c>
      <c r="I88" s="98">
        <v>0</v>
      </c>
      <c r="J88" s="101">
        <v>0</v>
      </c>
      <c r="K88" s="97">
        <v>0</v>
      </c>
      <c r="L88" s="98">
        <v>0</v>
      </c>
      <c r="M88" s="99">
        <v>0</v>
      </c>
      <c r="N88" s="98">
        <v>0</v>
      </c>
      <c r="O88" s="101">
        <v>0</v>
      </c>
      <c r="P88" s="97">
        <v>0</v>
      </c>
      <c r="Q88" s="98">
        <v>0</v>
      </c>
      <c r="R88" s="99">
        <v>0</v>
      </c>
      <c r="S88" s="98">
        <v>0</v>
      </c>
      <c r="T88" s="101">
        <v>0</v>
      </c>
      <c r="U88" s="100">
        <v>0</v>
      </c>
      <c r="V88" s="98">
        <v>0</v>
      </c>
      <c r="W88" s="99">
        <v>0</v>
      </c>
      <c r="X88" s="98">
        <v>0</v>
      </c>
      <c r="Y88" s="99">
        <v>0</v>
      </c>
      <c r="Z88" s="97">
        <v>0</v>
      </c>
      <c r="AA88" s="98">
        <v>0</v>
      </c>
      <c r="AB88" s="99">
        <v>0</v>
      </c>
      <c r="AC88" s="98">
        <v>0</v>
      </c>
      <c r="AD88" s="99">
        <v>0</v>
      </c>
      <c r="AE88" s="97">
        <v>0</v>
      </c>
    </row>
    <row r="89" spans="2:31" s="74" customFormat="1" ht="15.75" customHeight="1">
      <c r="B89" s="84"/>
      <c r="C89" s="86"/>
      <c r="D89" s="85"/>
      <c r="E89" s="86" t="s">
        <v>150</v>
      </c>
      <c r="F89" s="97">
        <v>0</v>
      </c>
      <c r="G89" s="98">
        <v>0</v>
      </c>
      <c r="H89" s="99">
        <v>0</v>
      </c>
      <c r="I89" s="98">
        <v>0</v>
      </c>
      <c r="J89" s="101">
        <v>0</v>
      </c>
      <c r="K89" s="97">
        <v>0</v>
      </c>
      <c r="L89" s="98">
        <v>0</v>
      </c>
      <c r="M89" s="99">
        <v>0</v>
      </c>
      <c r="N89" s="98">
        <v>0</v>
      </c>
      <c r="O89" s="101">
        <v>0</v>
      </c>
      <c r="P89" s="97">
        <v>0</v>
      </c>
      <c r="Q89" s="98">
        <v>0</v>
      </c>
      <c r="R89" s="99">
        <v>0</v>
      </c>
      <c r="S89" s="98">
        <v>0</v>
      </c>
      <c r="T89" s="101">
        <v>0</v>
      </c>
      <c r="U89" s="100">
        <v>0</v>
      </c>
      <c r="V89" s="98">
        <v>0</v>
      </c>
      <c r="W89" s="99">
        <v>0</v>
      </c>
      <c r="X89" s="98">
        <v>0</v>
      </c>
      <c r="Y89" s="99">
        <v>0</v>
      </c>
      <c r="Z89" s="97">
        <v>0</v>
      </c>
      <c r="AA89" s="98">
        <v>0</v>
      </c>
      <c r="AB89" s="99">
        <v>0</v>
      </c>
      <c r="AC89" s="98">
        <v>0</v>
      </c>
      <c r="AD89" s="99">
        <v>0</v>
      </c>
      <c r="AE89" s="97">
        <v>0</v>
      </c>
    </row>
    <row r="90" spans="2:31" s="74" customFormat="1" ht="15.75" customHeight="1">
      <c r="B90" s="84"/>
      <c r="C90" s="86"/>
      <c r="D90" s="85"/>
      <c r="E90" s="86" t="s">
        <v>151</v>
      </c>
      <c r="F90" s="97">
        <v>0</v>
      </c>
      <c r="G90" s="98">
        <v>0</v>
      </c>
      <c r="H90" s="99">
        <v>0</v>
      </c>
      <c r="I90" s="98">
        <v>0</v>
      </c>
      <c r="J90" s="101">
        <v>0</v>
      </c>
      <c r="K90" s="97">
        <v>0</v>
      </c>
      <c r="L90" s="98">
        <v>0</v>
      </c>
      <c r="M90" s="99">
        <v>0</v>
      </c>
      <c r="N90" s="98">
        <v>0</v>
      </c>
      <c r="O90" s="101">
        <v>0</v>
      </c>
      <c r="P90" s="97">
        <v>0</v>
      </c>
      <c r="Q90" s="98">
        <v>0</v>
      </c>
      <c r="R90" s="99">
        <v>0</v>
      </c>
      <c r="S90" s="98">
        <v>0</v>
      </c>
      <c r="T90" s="101">
        <v>0</v>
      </c>
      <c r="U90" s="100">
        <v>0</v>
      </c>
      <c r="V90" s="98">
        <v>0</v>
      </c>
      <c r="W90" s="99">
        <v>0</v>
      </c>
      <c r="X90" s="98">
        <v>0</v>
      </c>
      <c r="Y90" s="99">
        <v>0</v>
      </c>
      <c r="Z90" s="97">
        <v>0</v>
      </c>
      <c r="AA90" s="98">
        <v>0</v>
      </c>
      <c r="AB90" s="99">
        <v>0</v>
      </c>
      <c r="AC90" s="98">
        <v>0</v>
      </c>
      <c r="AD90" s="99">
        <v>0</v>
      </c>
      <c r="AE90" s="97">
        <v>0</v>
      </c>
    </row>
    <row r="91" spans="2:31" s="74" customFormat="1" ht="15.75" customHeight="1">
      <c r="B91" s="84"/>
      <c r="C91" s="86"/>
      <c r="D91" s="85"/>
      <c r="E91" s="86" t="s">
        <v>152</v>
      </c>
      <c r="F91" s="97">
        <v>0</v>
      </c>
      <c r="G91" s="98">
        <v>0</v>
      </c>
      <c r="H91" s="99">
        <v>0</v>
      </c>
      <c r="I91" s="98">
        <v>0</v>
      </c>
      <c r="J91" s="101">
        <v>0</v>
      </c>
      <c r="K91" s="97">
        <v>0</v>
      </c>
      <c r="L91" s="98">
        <v>0</v>
      </c>
      <c r="M91" s="99">
        <v>0</v>
      </c>
      <c r="N91" s="98">
        <v>0</v>
      </c>
      <c r="O91" s="101">
        <v>0</v>
      </c>
      <c r="P91" s="97">
        <v>0</v>
      </c>
      <c r="Q91" s="98">
        <v>0</v>
      </c>
      <c r="R91" s="99">
        <v>0</v>
      </c>
      <c r="S91" s="98">
        <v>0</v>
      </c>
      <c r="T91" s="101">
        <v>0</v>
      </c>
      <c r="U91" s="100">
        <v>0</v>
      </c>
      <c r="V91" s="98">
        <v>0</v>
      </c>
      <c r="W91" s="99">
        <v>0</v>
      </c>
      <c r="X91" s="98">
        <v>0</v>
      </c>
      <c r="Y91" s="99">
        <v>0</v>
      </c>
      <c r="Z91" s="97">
        <v>0</v>
      </c>
      <c r="AA91" s="98">
        <v>0</v>
      </c>
      <c r="AB91" s="99">
        <v>0</v>
      </c>
      <c r="AC91" s="98">
        <v>0</v>
      </c>
      <c r="AD91" s="99">
        <v>0</v>
      </c>
      <c r="AE91" s="97">
        <v>0</v>
      </c>
    </row>
    <row r="92" spans="2:31" s="74" customFormat="1" ht="15.75" customHeight="1">
      <c r="B92" s="84"/>
      <c r="C92" s="86"/>
      <c r="D92" s="86"/>
      <c r="E92" s="86"/>
      <c r="F92" s="102"/>
      <c r="G92" s="103"/>
      <c r="H92" s="104"/>
      <c r="I92" s="103"/>
      <c r="J92" s="105"/>
      <c r="K92" s="102"/>
      <c r="L92" s="103"/>
      <c r="M92" s="104"/>
      <c r="N92" s="103"/>
      <c r="O92" s="105"/>
      <c r="P92" s="102"/>
      <c r="Q92" s="103"/>
      <c r="R92" s="104"/>
      <c r="S92" s="103"/>
      <c r="T92" s="105"/>
      <c r="U92" s="106"/>
      <c r="V92" s="103"/>
      <c r="W92" s="104"/>
      <c r="X92" s="103"/>
      <c r="Y92" s="104"/>
      <c r="Z92" s="102"/>
      <c r="AA92" s="103"/>
      <c r="AB92" s="104"/>
      <c r="AC92" s="103"/>
      <c r="AD92" s="104"/>
      <c r="AE92" s="102"/>
    </row>
    <row r="93" spans="2:31" s="74" customFormat="1" ht="15.75" customHeight="1">
      <c r="B93" s="84"/>
      <c r="C93" s="86"/>
      <c r="D93" s="85" t="s">
        <v>117</v>
      </c>
      <c r="E93" s="86"/>
      <c r="F93" s="102"/>
      <c r="G93" s="103"/>
      <c r="H93" s="104"/>
      <c r="I93" s="103"/>
      <c r="J93" s="105"/>
      <c r="K93" s="102"/>
      <c r="L93" s="103"/>
      <c r="M93" s="104"/>
      <c r="N93" s="103"/>
      <c r="O93" s="105"/>
      <c r="P93" s="102"/>
      <c r="Q93" s="103"/>
      <c r="R93" s="104"/>
      <c r="S93" s="103"/>
      <c r="T93" s="105"/>
      <c r="U93" s="106"/>
      <c r="V93" s="103"/>
      <c r="W93" s="104"/>
      <c r="X93" s="103"/>
      <c r="Y93" s="104"/>
      <c r="Z93" s="102"/>
      <c r="AA93" s="103"/>
      <c r="AB93" s="104"/>
      <c r="AC93" s="103"/>
      <c r="AD93" s="104"/>
      <c r="AE93" s="102"/>
    </row>
    <row r="94" spans="2:31" s="74" customFormat="1" ht="15.75" customHeight="1">
      <c r="B94" s="84"/>
      <c r="C94" s="86"/>
      <c r="D94" s="86"/>
      <c r="E94" s="86" t="s">
        <v>153</v>
      </c>
      <c r="F94" s="97">
        <v>0</v>
      </c>
      <c r="G94" s="98">
        <v>0</v>
      </c>
      <c r="H94" s="99">
        <v>0</v>
      </c>
      <c r="I94" s="98">
        <v>0</v>
      </c>
      <c r="J94" s="101">
        <v>0</v>
      </c>
      <c r="K94" s="97">
        <v>0</v>
      </c>
      <c r="L94" s="98">
        <v>0</v>
      </c>
      <c r="M94" s="99">
        <v>0</v>
      </c>
      <c r="N94" s="98">
        <v>0</v>
      </c>
      <c r="O94" s="101">
        <v>0</v>
      </c>
      <c r="P94" s="97">
        <v>0</v>
      </c>
      <c r="Q94" s="98">
        <v>0</v>
      </c>
      <c r="R94" s="99">
        <v>0</v>
      </c>
      <c r="S94" s="98">
        <v>0</v>
      </c>
      <c r="T94" s="101">
        <v>0</v>
      </c>
      <c r="U94" s="100">
        <v>0</v>
      </c>
      <c r="V94" s="98" t="s">
        <v>986</v>
      </c>
      <c r="W94" s="99">
        <v>0</v>
      </c>
      <c r="X94" s="98" t="s">
        <v>986</v>
      </c>
      <c r="Y94" s="99">
        <v>0</v>
      </c>
      <c r="Z94" s="97">
        <v>0</v>
      </c>
      <c r="AA94" s="98" t="s">
        <v>986</v>
      </c>
      <c r="AB94" s="99">
        <v>0</v>
      </c>
      <c r="AC94" s="98" t="s">
        <v>986</v>
      </c>
      <c r="AD94" s="99">
        <v>0</v>
      </c>
      <c r="AE94" s="97">
        <v>0</v>
      </c>
    </row>
    <row r="95" spans="2:31" s="74" customFormat="1" ht="15.75" customHeight="1">
      <c r="B95" s="84"/>
      <c r="C95" s="86"/>
      <c r="D95" s="85"/>
      <c r="E95" s="86"/>
      <c r="F95" s="102"/>
      <c r="G95" s="103"/>
      <c r="H95" s="104"/>
      <c r="I95" s="103"/>
      <c r="J95" s="105"/>
      <c r="K95" s="102"/>
      <c r="L95" s="103"/>
      <c r="M95" s="104"/>
      <c r="N95" s="103"/>
      <c r="O95" s="105"/>
      <c r="P95" s="102"/>
      <c r="Q95" s="103"/>
      <c r="R95" s="104"/>
      <c r="S95" s="103"/>
      <c r="T95" s="105"/>
      <c r="U95" s="106"/>
      <c r="V95" s="103"/>
      <c r="W95" s="104"/>
      <c r="X95" s="103"/>
      <c r="Y95" s="104"/>
      <c r="Z95" s="102"/>
      <c r="AA95" s="103"/>
      <c r="AB95" s="104"/>
      <c r="AC95" s="103"/>
      <c r="AD95" s="104"/>
      <c r="AE95" s="102"/>
    </row>
    <row r="96" spans="2:31" s="74" customFormat="1" ht="15.75" customHeight="1">
      <c r="B96" s="84"/>
      <c r="C96" s="86"/>
      <c r="D96" s="85" t="s">
        <v>100</v>
      </c>
      <c r="E96" s="86"/>
      <c r="F96" s="102"/>
      <c r="G96" s="103"/>
      <c r="H96" s="104"/>
      <c r="I96" s="103"/>
      <c r="J96" s="105"/>
      <c r="K96" s="102"/>
      <c r="L96" s="103"/>
      <c r="M96" s="104"/>
      <c r="N96" s="103"/>
      <c r="O96" s="105"/>
      <c r="P96" s="102"/>
      <c r="Q96" s="103"/>
      <c r="R96" s="104"/>
      <c r="S96" s="103"/>
      <c r="T96" s="105"/>
      <c r="U96" s="106"/>
      <c r="V96" s="103"/>
      <c r="W96" s="104"/>
      <c r="X96" s="103"/>
      <c r="Y96" s="104"/>
      <c r="Z96" s="102"/>
      <c r="AA96" s="103"/>
      <c r="AB96" s="104"/>
      <c r="AC96" s="103"/>
      <c r="AD96" s="104"/>
      <c r="AE96" s="102"/>
    </row>
    <row r="97" spans="2:31" s="74" customFormat="1" ht="15.75" customHeight="1">
      <c r="B97" s="84"/>
      <c r="C97" s="86"/>
      <c r="D97" s="85"/>
      <c r="E97" s="117" t="s">
        <v>154</v>
      </c>
      <c r="F97" s="97">
        <v>365</v>
      </c>
      <c r="G97" s="98">
        <v>0</v>
      </c>
      <c r="H97" s="99">
        <v>0</v>
      </c>
      <c r="I97" s="98">
        <v>5</v>
      </c>
      <c r="J97" s="101">
        <v>0</v>
      </c>
      <c r="K97" s="97">
        <v>370</v>
      </c>
      <c r="L97" s="98">
        <v>1</v>
      </c>
      <c r="M97" s="99">
        <v>0</v>
      </c>
      <c r="N97" s="98">
        <v>12</v>
      </c>
      <c r="O97" s="101">
        <v>0</v>
      </c>
      <c r="P97" s="97">
        <v>381</v>
      </c>
      <c r="Q97" s="98">
        <v>0</v>
      </c>
      <c r="R97" s="99">
        <v>0</v>
      </c>
      <c r="S97" s="98">
        <v>15</v>
      </c>
      <c r="T97" s="101">
        <v>15</v>
      </c>
      <c r="U97" s="100">
        <v>411</v>
      </c>
      <c r="V97" s="98">
        <v>0</v>
      </c>
      <c r="W97" s="99">
        <v>6</v>
      </c>
      <c r="X97" s="98">
        <v>0</v>
      </c>
      <c r="Y97" s="99">
        <v>6</v>
      </c>
      <c r="Z97" s="97">
        <v>411</v>
      </c>
      <c r="AA97" s="98">
        <v>0</v>
      </c>
      <c r="AB97" s="99">
        <v>7</v>
      </c>
      <c r="AC97" s="98">
        <v>3</v>
      </c>
      <c r="AD97" s="99">
        <v>7</v>
      </c>
      <c r="AE97" s="97">
        <v>414</v>
      </c>
    </row>
    <row r="98" spans="2:31" s="74" customFormat="1" ht="15.75" customHeight="1">
      <c r="B98" s="84"/>
      <c r="C98" s="86"/>
      <c r="D98" s="85"/>
      <c r="E98" s="117" t="s">
        <v>155</v>
      </c>
      <c r="F98" s="97">
        <v>569</v>
      </c>
      <c r="G98" s="98">
        <v>0</v>
      </c>
      <c r="H98" s="99">
        <v>0</v>
      </c>
      <c r="I98" s="98">
        <v>17</v>
      </c>
      <c r="J98" s="101">
        <v>1</v>
      </c>
      <c r="K98" s="97">
        <v>587</v>
      </c>
      <c r="L98" s="98">
        <v>0</v>
      </c>
      <c r="M98" s="99">
        <v>0</v>
      </c>
      <c r="N98" s="98">
        <v>0</v>
      </c>
      <c r="O98" s="101">
        <v>0</v>
      </c>
      <c r="P98" s="97">
        <v>587</v>
      </c>
      <c r="Q98" s="98">
        <v>12</v>
      </c>
      <c r="R98" s="99">
        <v>12</v>
      </c>
      <c r="S98" s="98">
        <v>1</v>
      </c>
      <c r="T98" s="101">
        <v>12</v>
      </c>
      <c r="U98" s="100">
        <v>576</v>
      </c>
      <c r="V98" s="98">
        <v>0</v>
      </c>
      <c r="W98" s="99">
        <v>9</v>
      </c>
      <c r="X98" s="98">
        <v>0</v>
      </c>
      <c r="Y98" s="99">
        <v>8</v>
      </c>
      <c r="Z98" s="97">
        <v>575</v>
      </c>
      <c r="AA98" s="98">
        <v>0</v>
      </c>
      <c r="AB98" s="99">
        <v>9</v>
      </c>
      <c r="AC98" s="98">
        <v>0</v>
      </c>
      <c r="AD98" s="99">
        <v>9</v>
      </c>
      <c r="AE98" s="97">
        <v>575</v>
      </c>
    </row>
    <row r="99" spans="2:31" s="74" customFormat="1" ht="15.75" customHeight="1">
      <c r="B99" s="84"/>
      <c r="C99" s="86"/>
      <c r="D99" s="85"/>
      <c r="E99" s="117" t="s">
        <v>156</v>
      </c>
      <c r="F99" s="97">
        <v>0</v>
      </c>
      <c r="G99" s="98">
        <v>0</v>
      </c>
      <c r="H99" s="99">
        <v>0</v>
      </c>
      <c r="I99" s="98">
        <v>0</v>
      </c>
      <c r="J99" s="101">
        <v>0</v>
      </c>
      <c r="K99" s="97">
        <v>0</v>
      </c>
      <c r="L99" s="98">
        <v>0</v>
      </c>
      <c r="M99" s="99">
        <v>0</v>
      </c>
      <c r="N99" s="98">
        <v>0</v>
      </c>
      <c r="O99" s="101">
        <v>0</v>
      </c>
      <c r="P99" s="97">
        <v>0</v>
      </c>
      <c r="Q99" s="98">
        <v>0</v>
      </c>
      <c r="R99" s="99">
        <v>0</v>
      </c>
      <c r="S99" s="98">
        <v>0</v>
      </c>
      <c r="T99" s="101">
        <v>0</v>
      </c>
      <c r="U99" s="100">
        <v>0</v>
      </c>
      <c r="V99" s="98">
        <v>0</v>
      </c>
      <c r="W99" s="99">
        <v>0</v>
      </c>
      <c r="X99" s="98">
        <v>0</v>
      </c>
      <c r="Y99" s="99">
        <v>0</v>
      </c>
      <c r="Z99" s="97">
        <v>0</v>
      </c>
      <c r="AA99" s="98">
        <v>0</v>
      </c>
      <c r="AB99" s="99">
        <v>0</v>
      </c>
      <c r="AC99" s="98">
        <v>0</v>
      </c>
      <c r="AD99" s="99">
        <v>0</v>
      </c>
      <c r="AE99" s="97">
        <v>0</v>
      </c>
    </row>
    <row r="100" spans="2:31" s="74" customFormat="1" ht="15.75" customHeight="1">
      <c r="B100" s="84"/>
      <c r="C100" s="86"/>
      <c r="D100" s="85"/>
      <c r="E100" s="117" t="s">
        <v>157</v>
      </c>
      <c r="F100" s="97">
        <v>0</v>
      </c>
      <c r="G100" s="98">
        <v>0</v>
      </c>
      <c r="H100" s="99">
        <v>0</v>
      </c>
      <c r="I100" s="98">
        <v>0</v>
      </c>
      <c r="J100" s="101">
        <v>0</v>
      </c>
      <c r="K100" s="97">
        <v>0</v>
      </c>
      <c r="L100" s="98">
        <v>0</v>
      </c>
      <c r="M100" s="99">
        <v>0</v>
      </c>
      <c r="N100" s="98">
        <v>0</v>
      </c>
      <c r="O100" s="101">
        <v>0</v>
      </c>
      <c r="P100" s="97">
        <v>0</v>
      </c>
      <c r="Q100" s="98">
        <v>0</v>
      </c>
      <c r="R100" s="99">
        <v>0</v>
      </c>
      <c r="S100" s="98">
        <v>0</v>
      </c>
      <c r="T100" s="101">
        <v>0</v>
      </c>
      <c r="U100" s="100">
        <v>0</v>
      </c>
      <c r="V100" s="98">
        <v>0</v>
      </c>
      <c r="W100" s="99">
        <v>0</v>
      </c>
      <c r="X100" s="98">
        <v>0</v>
      </c>
      <c r="Y100" s="99">
        <v>0</v>
      </c>
      <c r="Z100" s="97">
        <v>0</v>
      </c>
      <c r="AA100" s="98">
        <v>0</v>
      </c>
      <c r="AB100" s="99">
        <v>0</v>
      </c>
      <c r="AC100" s="98">
        <v>0</v>
      </c>
      <c r="AD100" s="99">
        <v>0</v>
      </c>
      <c r="AE100" s="97">
        <v>0</v>
      </c>
    </row>
    <row r="101" spans="2:31" s="74" customFormat="1" ht="15.75" customHeight="1">
      <c r="B101" s="84"/>
      <c r="C101" s="86"/>
      <c r="D101" s="85"/>
      <c r="E101" s="117" t="s">
        <v>158</v>
      </c>
      <c r="F101" s="97">
        <v>51</v>
      </c>
      <c r="G101" s="98">
        <v>0</v>
      </c>
      <c r="H101" s="99">
        <v>0</v>
      </c>
      <c r="I101" s="98">
        <v>0</v>
      </c>
      <c r="J101" s="101">
        <v>0</v>
      </c>
      <c r="K101" s="97">
        <v>51</v>
      </c>
      <c r="L101" s="98">
        <v>1</v>
      </c>
      <c r="M101" s="99">
        <v>0</v>
      </c>
      <c r="N101" s="98">
        <v>5</v>
      </c>
      <c r="O101" s="101">
        <v>0</v>
      </c>
      <c r="P101" s="97">
        <v>55</v>
      </c>
      <c r="Q101" s="98">
        <v>2</v>
      </c>
      <c r="R101" s="99">
        <v>0</v>
      </c>
      <c r="S101" s="98">
        <v>1</v>
      </c>
      <c r="T101" s="101">
        <v>0</v>
      </c>
      <c r="U101" s="100">
        <v>54</v>
      </c>
      <c r="V101" s="98">
        <v>0</v>
      </c>
      <c r="W101" s="99">
        <v>0</v>
      </c>
      <c r="X101" s="98">
        <v>0</v>
      </c>
      <c r="Y101" s="99">
        <v>0</v>
      </c>
      <c r="Z101" s="97">
        <v>54</v>
      </c>
      <c r="AA101" s="98">
        <v>0</v>
      </c>
      <c r="AB101" s="99">
        <v>0</v>
      </c>
      <c r="AC101" s="98">
        <v>0</v>
      </c>
      <c r="AD101" s="99">
        <v>0</v>
      </c>
      <c r="AE101" s="97">
        <v>54</v>
      </c>
    </row>
    <row r="102" spans="2:31" s="74" customFormat="1" ht="15.75" customHeight="1">
      <c r="B102" s="84"/>
      <c r="C102" s="86"/>
      <c r="D102" s="85"/>
      <c r="E102" s="117" t="s">
        <v>159</v>
      </c>
      <c r="F102" s="97">
        <v>2013</v>
      </c>
      <c r="G102" s="98">
        <v>0</v>
      </c>
      <c r="H102" s="99">
        <v>0</v>
      </c>
      <c r="I102" s="98">
        <v>2</v>
      </c>
      <c r="J102" s="101">
        <v>0</v>
      </c>
      <c r="K102" s="97">
        <v>2015</v>
      </c>
      <c r="L102" s="98">
        <v>0</v>
      </c>
      <c r="M102" s="99">
        <v>0</v>
      </c>
      <c r="N102" s="98">
        <v>2</v>
      </c>
      <c r="O102" s="101">
        <v>0</v>
      </c>
      <c r="P102" s="97">
        <v>2017</v>
      </c>
      <c r="Q102" s="98">
        <v>0</v>
      </c>
      <c r="R102" s="99">
        <v>17</v>
      </c>
      <c r="S102" s="98">
        <v>2</v>
      </c>
      <c r="T102" s="101">
        <v>42</v>
      </c>
      <c r="U102" s="100">
        <v>2044</v>
      </c>
      <c r="V102" s="98">
        <v>0</v>
      </c>
      <c r="W102" s="99">
        <v>0</v>
      </c>
      <c r="X102" s="98">
        <v>0</v>
      </c>
      <c r="Y102" s="99">
        <v>0</v>
      </c>
      <c r="Z102" s="97">
        <v>2044</v>
      </c>
      <c r="AA102" s="98">
        <v>0</v>
      </c>
      <c r="AB102" s="99">
        <v>0</v>
      </c>
      <c r="AC102" s="98">
        <v>0</v>
      </c>
      <c r="AD102" s="99">
        <v>0</v>
      </c>
      <c r="AE102" s="97">
        <v>2044</v>
      </c>
    </row>
    <row r="103" spans="2:31" s="74" customFormat="1" ht="15.75" customHeight="1">
      <c r="B103" s="84"/>
      <c r="C103" s="86"/>
      <c r="D103" s="85"/>
      <c r="E103" s="117" t="s">
        <v>160</v>
      </c>
      <c r="F103" s="97">
        <v>0</v>
      </c>
      <c r="G103" s="98">
        <v>0</v>
      </c>
      <c r="H103" s="99">
        <v>0</v>
      </c>
      <c r="I103" s="98">
        <v>0</v>
      </c>
      <c r="J103" s="101">
        <v>0</v>
      </c>
      <c r="K103" s="97">
        <v>0</v>
      </c>
      <c r="L103" s="98">
        <v>0</v>
      </c>
      <c r="M103" s="99">
        <v>0</v>
      </c>
      <c r="N103" s="98">
        <v>0</v>
      </c>
      <c r="O103" s="101">
        <v>0</v>
      </c>
      <c r="P103" s="97">
        <v>0</v>
      </c>
      <c r="Q103" s="98">
        <v>0</v>
      </c>
      <c r="R103" s="99">
        <v>0</v>
      </c>
      <c r="S103" s="98">
        <v>0</v>
      </c>
      <c r="T103" s="101">
        <v>0</v>
      </c>
      <c r="U103" s="100">
        <v>0</v>
      </c>
      <c r="V103" s="98">
        <v>0</v>
      </c>
      <c r="W103" s="99">
        <v>0</v>
      </c>
      <c r="X103" s="98">
        <v>0</v>
      </c>
      <c r="Y103" s="99">
        <v>0</v>
      </c>
      <c r="Z103" s="97">
        <v>0</v>
      </c>
      <c r="AA103" s="98">
        <v>0</v>
      </c>
      <c r="AB103" s="99">
        <v>0</v>
      </c>
      <c r="AC103" s="98">
        <v>0</v>
      </c>
      <c r="AD103" s="99">
        <v>0</v>
      </c>
      <c r="AE103" s="97">
        <v>0</v>
      </c>
    </row>
    <row r="104" spans="2:31" s="74" customFormat="1" ht="15.75" customHeight="1">
      <c r="B104" s="84"/>
      <c r="C104" s="86"/>
      <c r="D104" s="85"/>
      <c r="E104" s="117" t="s">
        <v>161</v>
      </c>
      <c r="F104" s="97">
        <v>0</v>
      </c>
      <c r="G104" s="98">
        <v>0</v>
      </c>
      <c r="H104" s="99">
        <v>0</v>
      </c>
      <c r="I104" s="98">
        <v>0</v>
      </c>
      <c r="J104" s="101">
        <v>0</v>
      </c>
      <c r="K104" s="97">
        <v>0</v>
      </c>
      <c r="L104" s="98">
        <v>0</v>
      </c>
      <c r="M104" s="99">
        <v>0</v>
      </c>
      <c r="N104" s="98">
        <v>0</v>
      </c>
      <c r="O104" s="101">
        <v>0</v>
      </c>
      <c r="P104" s="97">
        <v>0</v>
      </c>
      <c r="Q104" s="98">
        <v>0</v>
      </c>
      <c r="R104" s="99">
        <v>0</v>
      </c>
      <c r="S104" s="98">
        <v>0</v>
      </c>
      <c r="T104" s="101">
        <v>0</v>
      </c>
      <c r="U104" s="100">
        <v>0</v>
      </c>
      <c r="V104" s="98">
        <v>0</v>
      </c>
      <c r="W104" s="99">
        <v>0</v>
      </c>
      <c r="X104" s="98">
        <v>0</v>
      </c>
      <c r="Y104" s="99">
        <v>0</v>
      </c>
      <c r="Z104" s="97">
        <v>0</v>
      </c>
      <c r="AA104" s="98">
        <v>0</v>
      </c>
      <c r="AB104" s="99">
        <v>0</v>
      </c>
      <c r="AC104" s="98">
        <v>0</v>
      </c>
      <c r="AD104" s="99">
        <v>0</v>
      </c>
      <c r="AE104" s="97">
        <v>0</v>
      </c>
    </row>
    <row r="105" spans="2:31" s="74" customFormat="1" ht="15.75" customHeight="1">
      <c r="B105" s="84"/>
      <c r="C105" s="86"/>
      <c r="D105" s="85"/>
      <c r="E105" s="86"/>
      <c r="F105" s="102"/>
      <c r="G105" s="103"/>
      <c r="H105" s="104"/>
      <c r="I105" s="103"/>
      <c r="J105" s="105"/>
      <c r="K105" s="102"/>
      <c r="L105" s="103"/>
      <c r="M105" s="104"/>
      <c r="N105" s="103"/>
      <c r="O105" s="105"/>
      <c r="P105" s="102"/>
      <c r="Q105" s="103"/>
      <c r="R105" s="104"/>
      <c r="S105" s="103"/>
      <c r="T105" s="105"/>
      <c r="U105" s="106"/>
      <c r="V105" s="103"/>
      <c r="W105" s="104"/>
      <c r="X105" s="103"/>
      <c r="Y105" s="104"/>
      <c r="Z105" s="102"/>
      <c r="AA105" s="103"/>
      <c r="AB105" s="104"/>
      <c r="AC105" s="103"/>
      <c r="AD105" s="104"/>
      <c r="AE105" s="102"/>
    </row>
    <row r="106" spans="2:31" s="74" customFormat="1" ht="15.75" customHeight="1">
      <c r="B106" s="84"/>
      <c r="C106" s="86"/>
      <c r="D106" s="85" t="s">
        <v>133</v>
      </c>
      <c r="E106" s="86"/>
      <c r="F106" s="102"/>
      <c r="G106" s="103"/>
      <c r="H106" s="104"/>
      <c r="I106" s="103"/>
      <c r="J106" s="105"/>
      <c r="K106" s="102"/>
      <c r="L106" s="103"/>
      <c r="M106" s="104"/>
      <c r="N106" s="103"/>
      <c r="O106" s="105"/>
      <c r="P106" s="102"/>
      <c r="Q106" s="103"/>
      <c r="R106" s="104"/>
      <c r="S106" s="103"/>
      <c r="T106" s="105"/>
      <c r="U106" s="106"/>
      <c r="V106" s="103"/>
      <c r="W106" s="104"/>
      <c r="X106" s="103"/>
      <c r="Y106" s="104"/>
      <c r="Z106" s="102"/>
      <c r="AA106" s="103"/>
      <c r="AB106" s="104"/>
      <c r="AC106" s="103"/>
      <c r="AD106" s="104"/>
      <c r="AE106" s="102"/>
    </row>
    <row r="107" spans="2:31" s="74" customFormat="1" ht="15.75" customHeight="1">
      <c r="B107" s="84"/>
      <c r="C107" s="86"/>
      <c r="D107" s="86"/>
      <c r="E107" s="117" t="s">
        <v>162</v>
      </c>
      <c r="F107" s="97">
        <v>0</v>
      </c>
      <c r="G107" s="98">
        <v>0</v>
      </c>
      <c r="H107" s="99">
        <v>0</v>
      </c>
      <c r="I107" s="98">
        <v>0</v>
      </c>
      <c r="J107" s="101">
        <v>0</v>
      </c>
      <c r="K107" s="97">
        <v>0</v>
      </c>
      <c r="L107" s="98">
        <v>0</v>
      </c>
      <c r="M107" s="99">
        <v>0</v>
      </c>
      <c r="N107" s="98">
        <v>0</v>
      </c>
      <c r="O107" s="101">
        <v>0</v>
      </c>
      <c r="P107" s="97">
        <v>0</v>
      </c>
      <c r="Q107" s="98">
        <v>0</v>
      </c>
      <c r="R107" s="99">
        <v>0</v>
      </c>
      <c r="S107" s="98">
        <v>0</v>
      </c>
      <c r="T107" s="101">
        <v>0</v>
      </c>
      <c r="U107" s="100">
        <v>0</v>
      </c>
      <c r="V107" s="98">
        <v>0</v>
      </c>
      <c r="W107" s="99">
        <v>0</v>
      </c>
      <c r="X107" s="98">
        <v>0</v>
      </c>
      <c r="Y107" s="99">
        <v>0</v>
      </c>
      <c r="Z107" s="97">
        <v>0</v>
      </c>
      <c r="AA107" s="98">
        <v>0</v>
      </c>
      <c r="AB107" s="99">
        <v>0</v>
      </c>
      <c r="AC107" s="98">
        <v>0</v>
      </c>
      <c r="AD107" s="99">
        <v>0</v>
      </c>
      <c r="AE107" s="97">
        <v>0</v>
      </c>
    </row>
    <row r="108" spans="2:31" s="74" customFormat="1" ht="15.75" customHeight="1">
      <c r="B108" s="84"/>
      <c r="C108" s="86"/>
      <c r="D108" s="86"/>
      <c r="E108" s="117" t="s">
        <v>163</v>
      </c>
      <c r="F108" s="97">
        <v>702</v>
      </c>
      <c r="G108" s="98">
        <v>0</v>
      </c>
      <c r="H108" s="99">
        <v>0</v>
      </c>
      <c r="I108" s="98">
        <v>11</v>
      </c>
      <c r="J108" s="101">
        <v>0</v>
      </c>
      <c r="K108" s="97">
        <v>713</v>
      </c>
      <c r="L108" s="98">
        <v>3</v>
      </c>
      <c r="M108" s="99">
        <v>3</v>
      </c>
      <c r="N108" s="98">
        <v>6</v>
      </c>
      <c r="O108" s="101">
        <v>3</v>
      </c>
      <c r="P108" s="97">
        <v>716</v>
      </c>
      <c r="Q108" s="98">
        <v>0</v>
      </c>
      <c r="R108" s="99">
        <v>0</v>
      </c>
      <c r="S108" s="98">
        <v>0</v>
      </c>
      <c r="T108" s="101">
        <v>1</v>
      </c>
      <c r="U108" s="100">
        <v>717</v>
      </c>
      <c r="V108" s="98">
        <v>0</v>
      </c>
      <c r="W108" s="99">
        <v>5</v>
      </c>
      <c r="X108" s="98">
        <v>0</v>
      </c>
      <c r="Y108" s="99">
        <v>5</v>
      </c>
      <c r="Z108" s="97">
        <v>717</v>
      </c>
      <c r="AA108" s="98">
        <v>2</v>
      </c>
      <c r="AB108" s="99">
        <v>0</v>
      </c>
      <c r="AC108" s="98">
        <v>2</v>
      </c>
      <c r="AD108" s="99">
        <v>0</v>
      </c>
      <c r="AE108" s="97">
        <v>717</v>
      </c>
    </row>
    <row r="109" spans="2:31" s="74" customFormat="1" ht="15.75" customHeight="1">
      <c r="B109" s="84"/>
      <c r="C109" s="86"/>
      <c r="D109" s="86"/>
      <c r="E109" s="86" t="s">
        <v>164</v>
      </c>
      <c r="F109" s="97">
        <v>645</v>
      </c>
      <c r="G109" s="98">
        <v>0</v>
      </c>
      <c r="H109" s="99">
        <v>0</v>
      </c>
      <c r="I109" s="98">
        <v>5</v>
      </c>
      <c r="J109" s="101">
        <v>0</v>
      </c>
      <c r="K109" s="97">
        <v>650</v>
      </c>
      <c r="L109" s="98">
        <v>2</v>
      </c>
      <c r="M109" s="99">
        <v>0</v>
      </c>
      <c r="N109" s="98">
        <v>0</v>
      </c>
      <c r="O109" s="101">
        <v>0</v>
      </c>
      <c r="P109" s="97">
        <v>648</v>
      </c>
      <c r="Q109" s="98">
        <v>0</v>
      </c>
      <c r="R109" s="99">
        <v>13</v>
      </c>
      <c r="S109" s="98">
        <v>0</v>
      </c>
      <c r="T109" s="101">
        <v>16</v>
      </c>
      <c r="U109" s="100">
        <v>651</v>
      </c>
      <c r="V109" s="98">
        <v>0</v>
      </c>
      <c r="W109" s="99">
        <v>0</v>
      </c>
      <c r="X109" s="98">
        <v>0</v>
      </c>
      <c r="Y109" s="99">
        <v>0</v>
      </c>
      <c r="Z109" s="97">
        <v>651</v>
      </c>
      <c r="AA109" s="98">
        <v>0</v>
      </c>
      <c r="AB109" s="99">
        <v>0</v>
      </c>
      <c r="AC109" s="98">
        <v>0</v>
      </c>
      <c r="AD109" s="99">
        <v>0</v>
      </c>
      <c r="AE109" s="97">
        <v>651</v>
      </c>
    </row>
    <row r="110" spans="2:31" s="74" customFormat="1" ht="15.75" customHeight="1">
      <c r="B110" s="84"/>
      <c r="C110" s="86"/>
      <c r="D110" s="86"/>
      <c r="E110" s="117" t="s">
        <v>165</v>
      </c>
      <c r="F110" s="97">
        <v>0</v>
      </c>
      <c r="G110" s="98">
        <v>0</v>
      </c>
      <c r="H110" s="99">
        <v>0</v>
      </c>
      <c r="I110" s="98">
        <v>0</v>
      </c>
      <c r="J110" s="101">
        <v>0</v>
      </c>
      <c r="K110" s="97">
        <v>0</v>
      </c>
      <c r="L110" s="98">
        <v>0</v>
      </c>
      <c r="M110" s="99">
        <v>0</v>
      </c>
      <c r="N110" s="98">
        <v>0</v>
      </c>
      <c r="O110" s="101">
        <v>0</v>
      </c>
      <c r="P110" s="97">
        <v>0</v>
      </c>
      <c r="Q110" s="98">
        <v>0</v>
      </c>
      <c r="R110" s="99">
        <v>0</v>
      </c>
      <c r="S110" s="98">
        <v>0</v>
      </c>
      <c r="T110" s="101">
        <v>0</v>
      </c>
      <c r="U110" s="100">
        <v>0</v>
      </c>
      <c r="V110" s="98">
        <v>0</v>
      </c>
      <c r="W110" s="99">
        <v>0</v>
      </c>
      <c r="X110" s="98">
        <v>0</v>
      </c>
      <c r="Y110" s="99">
        <v>0</v>
      </c>
      <c r="Z110" s="97">
        <v>0</v>
      </c>
      <c r="AA110" s="98">
        <v>0</v>
      </c>
      <c r="AB110" s="99">
        <v>0</v>
      </c>
      <c r="AC110" s="98">
        <v>0</v>
      </c>
      <c r="AD110" s="99">
        <v>0</v>
      </c>
      <c r="AE110" s="97">
        <v>0</v>
      </c>
    </row>
    <row r="111" spans="2:31" s="74" customFormat="1" ht="15.75" customHeight="1">
      <c r="B111" s="84"/>
      <c r="C111" s="86"/>
      <c r="D111" s="85"/>
      <c r="E111" s="86" t="s">
        <v>166</v>
      </c>
      <c r="F111" s="97">
        <v>0</v>
      </c>
      <c r="G111" s="98">
        <v>0</v>
      </c>
      <c r="H111" s="99">
        <v>0</v>
      </c>
      <c r="I111" s="98">
        <v>0</v>
      </c>
      <c r="J111" s="101">
        <v>0</v>
      </c>
      <c r="K111" s="97">
        <v>0</v>
      </c>
      <c r="L111" s="98">
        <v>0</v>
      </c>
      <c r="M111" s="99">
        <v>0</v>
      </c>
      <c r="N111" s="98">
        <v>0</v>
      </c>
      <c r="O111" s="101">
        <v>0</v>
      </c>
      <c r="P111" s="97">
        <v>0</v>
      </c>
      <c r="Q111" s="98">
        <v>0</v>
      </c>
      <c r="R111" s="99">
        <v>0</v>
      </c>
      <c r="S111" s="98">
        <v>0</v>
      </c>
      <c r="T111" s="101">
        <v>0</v>
      </c>
      <c r="U111" s="100">
        <v>0</v>
      </c>
      <c r="V111" s="98">
        <v>0</v>
      </c>
      <c r="W111" s="99">
        <v>0</v>
      </c>
      <c r="X111" s="98">
        <v>0</v>
      </c>
      <c r="Y111" s="99">
        <v>0</v>
      </c>
      <c r="Z111" s="97">
        <v>0</v>
      </c>
      <c r="AA111" s="98">
        <v>0</v>
      </c>
      <c r="AB111" s="99">
        <v>0</v>
      </c>
      <c r="AC111" s="98">
        <v>0</v>
      </c>
      <c r="AD111" s="99">
        <v>0</v>
      </c>
      <c r="AE111" s="97">
        <v>0</v>
      </c>
    </row>
    <row r="112" spans="2:31" s="74" customFormat="1" ht="15.75" customHeight="1" thickBot="1">
      <c r="B112" s="107"/>
      <c r="C112" s="108"/>
      <c r="D112" s="108"/>
      <c r="E112" s="108"/>
      <c r="F112" s="109"/>
      <c r="G112" s="110"/>
      <c r="H112" s="111"/>
      <c r="I112" s="110"/>
      <c r="J112" s="112"/>
      <c r="K112" s="113"/>
      <c r="L112" s="110"/>
      <c r="M112" s="111"/>
      <c r="N112" s="110"/>
      <c r="O112" s="112"/>
      <c r="P112" s="113"/>
      <c r="Q112" s="110"/>
      <c r="R112" s="111"/>
      <c r="S112" s="110"/>
      <c r="T112" s="112"/>
      <c r="U112" s="114"/>
      <c r="V112" s="110"/>
      <c r="W112" s="111"/>
      <c r="X112" s="110"/>
      <c r="Y112" s="111"/>
      <c r="Z112" s="113"/>
      <c r="AA112" s="110"/>
      <c r="AB112" s="111"/>
      <c r="AC112" s="110"/>
      <c r="AD112" s="111"/>
      <c r="AE112" s="113"/>
    </row>
    <row r="113" spans="2:31" s="74" customFormat="1" ht="15.75" customHeight="1">
      <c r="B113" s="115"/>
      <c r="C113" s="116" t="s">
        <v>167</v>
      </c>
      <c r="D113" s="116"/>
      <c r="E113" s="117"/>
      <c r="F113" s="102"/>
      <c r="G113" s="103"/>
      <c r="H113" s="104"/>
      <c r="I113" s="103"/>
      <c r="J113" s="105"/>
      <c r="K113" s="102"/>
      <c r="L113" s="103"/>
      <c r="M113" s="104"/>
      <c r="N113" s="103"/>
      <c r="O113" s="105"/>
      <c r="P113" s="102"/>
      <c r="Q113" s="103"/>
      <c r="R113" s="104"/>
      <c r="S113" s="103"/>
      <c r="T113" s="105"/>
      <c r="U113" s="106"/>
      <c r="V113" s="103"/>
      <c r="W113" s="104"/>
      <c r="X113" s="103"/>
      <c r="Y113" s="104"/>
      <c r="Z113" s="102"/>
      <c r="AA113" s="103"/>
      <c r="AB113" s="104"/>
      <c r="AC113" s="103"/>
      <c r="AD113" s="104"/>
      <c r="AE113" s="102"/>
    </row>
    <row r="114" spans="2:31" s="74" customFormat="1" ht="15.75" customHeight="1">
      <c r="B114" s="84"/>
      <c r="C114" s="86"/>
      <c r="D114" s="85" t="s">
        <v>90</v>
      </c>
      <c r="E114" s="86"/>
      <c r="F114" s="102"/>
      <c r="G114" s="103"/>
      <c r="H114" s="104"/>
      <c r="I114" s="103"/>
      <c r="J114" s="105"/>
      <c r="K114" s="102"/>
      <c r="L114" s="103"/>
      <c r="M114" s="104"/>
      <c r="N114" s="103"/>
      <c r="O114" s="105"/>
      <c r="P114" s="102"/>
      <c r="Q114" s="103"/>
      <c r="R114" s="104"/>
      <c r="S114" s="103"/>
      <c r="T114" s="105"/>
      <c r="U114" s="106"/>
      <c r="V114" s="103"/>
      <c r="W114" s="104"/>
      <c r="X114" s="103"/>
      <c r="Y114" s="104"/>
      <c r="Z114" s="102"/>
      <c r="AA114" s="103"/>
      <c r="AB114" s="104"/>
      <c r="AC114" s="103"/>
      <c r="AD114" s="104"/>
      <c r="AE114" s="102"/>
    </row>
    <row r="115" spans="2:31" s="74" customFormat="1" ht="15.75" customHeight="1">
      <c r="B115" s="84"/>
      <c r="C115" s="86"/>
      <c r="D115" s="85"/>
      <c r="E115" s="86" t="s">
        <v>168</v>
      </c>
      <c r="F115" s="97">
        <v>143</v>
      </c>
      <c r="G115" s="98">
        <v>0</v>
      </c>
      <c r="H115" s="99">
        <v>1</v>
      </c>
      <c r="I115" s="98">
        <v>0</v>
      </c>
      <c r="J115" s="101">
        <v>1</v>
      </c>
      <c r="K115" s="97">
        <v>143</v>
      </c>
      <c r="L115" s="98">
        <v>5</v>
      </c>
      <c r="M115" s="99">
        <v>0</v>
      </c>
      <c r="N115" s="98">
        <v>0</v>
      </c>
      <c r="O115" s="101">
        <v>0</v>
      </c>
      <c r="P115" s="97">
        <v>138</v>
      </c>
      <c r="Q115" s="98">
        <v>0</v>
      </c>
      <c r="R115" s="99">
        <v>0</v>
      </c>
      <c r="S115" s="98">
        <v>0</v>
      </c>
      <c r="T115" s="101">
        <v>0</v>
      </c>
      <c r="U115" s="100">
        <v>138</v>
      </c>
      <c r="V115" s="98">
        <v>0</v>
      </c>
      <c r="W115" s="99">
        <v>0</v>
      </c>
      <c r="X115" s="98">
        <v>0</v>
      </c>
      <c r="Y115" s="99">
        <v>0</v>
      </c>
      <c r="Z115" s="97">
        <v>138</v>
      </c>
      <c r="AA115" s="98">
        <v>0</v>
      </c>
      <c r="AB115" s="99">
        <v>0</v>
      </c>
      <c r="AC115" s="98">
        <v>0</v>
      </c>
      <c r="AD115" s="99">
        <v>0</v>
      </c>
      <c r="AE115" s="97">
        <v>138</v>
      </c>
    </row>
    <row r="116" spans="2:31" s="74" customFormat="1" ht="15.75" customHeight="1">
      <c r="B116" s="84"/>
      <c r="C116" s="86"/>
      <c r="D116" s="85"/>
      <c r="E116" s="86" t="s">
        <v>169</v>
      </c>
      <c r="F116" s="97">
        <v>2233</v>
      </c>
      <c r="G116" s="98">
        <v>0</v>
      </c>
      <c r="H116" s="99">
        <v>0</v>
      </c>
      <c r="I116" s="98">
        <v>0</v>
      </c>
      <c r="J116" s="101">
        <v>0</v>
      </c>
      <c r="K116" s="97">
        <v>2233</v>
      </c>
      <c r="L116" s="98">
        <v>0</v>
      </c>
      <c r="M116" s="99">
        <v>0</v>
      </c>
      <c r="N116" s="98">
        <v>13</v>
      </c>
      <c r="O116" s="101">
        <v>0</v>
      </c>
      <c r="P116" s="97">
        <v>2246</v>
      </c>
      <c r="Q116" s="98">
        <v>4</v>
      </c>
      <c r="R116" s="99">
        <v>8</v>
      </c>
      <c r="S116" s="98">
        <v>4</v>
      </c>
      <c r="T116" s="101">
        <v>8</v>
      </c>
      <c r="U116" s="100">
        <v>2246</v>
      </c>
      <c r="V116" s="98">
        <v>0</v>
      </c>
      <c r="W116" s="99">
        <v>130</v>
      </c>
      <c r="X116" s="98">
        <v>0</v>
      </c>
      <c r="Y116" s="99">
        <v>130</v>
      </c>
      <c r="Z116" s="97">
        <v>2246</v>
      </c>
      <c r="AA116" s="98">
        <v>0</v>
      </c>
      <c r="AB116" s="99">
        <v>130</v>
      </c>
      <c r="AC116" s="98">
        <v>0</v>
      </c>
      <c r="AD116" s="99">
        <v>130</v>
      </c>
      <c r="AE116" s="97">
        <v>2246</v>
      </c>
    </row>
    <row r="117" spans="2:31" s="74" customFormat="1" ht="15.75" customHeight="1">
      <c r="B117" s="84"/>
      <c r="C117" s="86"/>
      <c r="D117" s="85"/>
      <c r="E117" s="117"/>
      <c r="F117" s="102"/>
      <c r="G117" s="103"/>
      <c r="H117" s="104"/>
      <c r="I117" s="103"/>
      <c r="J117" s="105"/>
      <c r="K117" s="102"/>
      <c r="L117" s="103"/>
      <c r="M117" s="104"/>
      <c r="N117" s="103"/>
      <c r="O117" s="105"/>
      <c r="P117" s="102"/>
      <c r="Q117" s="103"/>
      <c r="R117" s="104"/>
      <c r="S117" s="103"/>
      <c r="T117" s="105"/>
      <c r="U117" s="106"/>
      <c r="V117" s="103"/>
      <c r="W117" s="104"/>
      <c r="X117" s="103"/>
      <c r="Y117" s="104"/>
      <c r="Z117" s="102"/>
      <c r="AA117" s="103"/>
      <c r="AB117" s="104"/>
      <c r="AC117" s="103"/>
      <c r="AD117" s="104"/>
      <c r="AE117" s="102"/>
    </row>
    <row r="118" spans="2:31" s="74" customFormat="1" ht="15.75" customHeight="1">
      <c r="B118" s="84"/>
      <c r="C118" s="86"/>
      <c r="D118" s="85" t="s">
        <v>93</v>
      </c>
      <c r="E118" s="86"/>
      <c r="F118" s="102"/>
      <c r="G118" s="103"/>
      <c r="H118" s="104"/>
      <c r="I118" s="103"/>
      <c r="J118" s="105"/>
      <c r="K118" s="102"/>
      <c r="L118" s="103"/>
      <c r="M118" s="104"/>
      <c r="N118" s="103"/>
      <c r="O118" s="105"/>
      <c r="P118" s="102"/>
      <c r="Q118" s="103"/>
      <c r="R118" s="104"/>
      <c r="S118" s="103"/>
      <c r="T118" s="105"/>
      <c r="U118" s="106"/>
      <c r="V118" s="103"/>
      <c r="W118" s="104"/>
      <c r="X118" s="103"/>
      <c r="Y118" s="104"/>
      <c r="Z118" s="102"/>
      <c r="AA118" s="103"/>
      <c r="AB118" s="104"/>
      <c r="AC118" s="103"/>
      <c r="AD118" s="104"/>
      <c r="AE118" s="102"/>
    </row>
    <row r="119" spans="2:31" s="74" customFormat="1" ht="15.75" customHeight="1">
      <c r="B119" s="84"/>
      <c r="C119" s="86"/>
      <c r="D119" s="85"/>
      <c r="E119" s="86" t="s">
        <v>170</v>
      </c>
      <c r="F119" s="97">
        <v>56</v>
      </c>
      <c r="G119" s="98">
        <v>0</v>
      </c>
      <c r="H119" s="99">
        <v>0</v>
      </c>
      <c r="I119" s="98">
        <v>0</v>
      </c>
      <c r="J119" s="101">
        <v>0</v>
      </c>
      <c r="K119" s="97">
        <v>56</v>
      </c>
      <c r="L119" s="98">
        <v>0</v>
      </c>
      <c r="M119" s="99">
        <v>0</v>
      </c>
      <c r="N119" s="98">
        <v>0</v>
      </c>
      <c r="O119" s="101">
        <v>0</v>
      </c>
      <c r="P119" s="97">
        <v>56</v>
      </c>
      <c r="Q119" s="98">
        <v>0</v>
      </c>
      <c r="R119" s="99">
        <v>0</v>
      </c>
      <c r="S119" s="98">
        <v>0</v>
      </c>
      <c r="T119" s="101">
        <v>0</v>
      </c>
      <c r="U119" s="100">
        <v>56</v>
      </c>
      <c r="V119" s="98">
        <v>0</v>
      </c>
      <c r="W119" s="99">
        <v>0</v>
      </c>
      <c r="X119" s="98">
        <v>0</v>
      </c>
      <c r="Y119" s="99">
        <v>0</v>
      </c>
      <c r="Z119" s="97">
        <v>56</v>
      </c>
      <c r="AA119" s="98">
        <v>0</v>
      </c>
      <c r="AB119" s="99">
        <v>0</v>
      </c>
      <c r="AC119" s="98">
        <v>0</v>
      </c>
      <c r="AD119" s="99">
        <v>0</v>
      </c>
      <c r="AE119" s="97">
        <v>56</v>
      </c>
    </row>
    <row r="120" spans="2:31" s="74" customFormat="1" ht="15.75" customHeight="1">
      <c r="B120" s="84"/>
      <c r="C120" s="86"/>
      <c r="D120" s="85"/>
      <c r="E120" s="86" t="s">
        <v>171</v>
      </c>
      <c r="F120" s="97">
        <v>4569</v>
      </c>
      <c r="G120" s="98">
        <v>0</v>
      </c>
      <c r="H120" s="99">
        <v>7</v>
      </c>
      <c r="I120" s="98">
        <v>0</v>
      </c>
      <c r="J120" s="101">
        <v>7</v>
      </c>
      <c r="K120" s="97">
        <v>4569</v>
      </c>
      <c r="L120" s="98">
        <v>7</v>
      </c>
      <c r="M120" s="99">
        <v>0</v>
      </c>
      <c r="N120" s="98">
        <v>0</v>
      </c>
      <c r="O120" s="101">
        <v>0</v>
      </c>
      <c r="P120" s="97">
        <v>4562</v>
      </c>
      <c r="Q120" s="98">
        <v>0</v>
      </c>
      <c r="R120" s="99">
        <v>0</v>
      </c>
      <c r="S120" s="98">
        <v>0</v>
      </c>
      <c r="T120" s="101">
        <v>0</v>
      </c>
      <c r="U120" s="100">
        <v>4562</v>
      </c>
      <c r="V120" s="98">
        <v>0</v>
      </c>
      <c r="W120" s="99">
        <v>5</v>
      </c>
      <c r="X120" s="98">
        <v>0</v>
      </c>
      <c r="Y120" s="99">
        <v>5</v>
      </c>
      <c r="Z120" s="97">
        <v>4562</v>
      </c>
      <c r="AA120" s="98">
        <v>0</v>
      </c>
      <c r="AB120" s="99">
        <v>4</v>
      </c>
      <c r="AC120" s="98">
        <v>0</v>
      </c>
      <c r="AD120" s="99">
        <v>4</v>
      </c>
      <c r="AE120" s="97">
        <v>4562</v>
      </c>
    </row>
    <row r="121" spans="2:31" s="74" customFormat="1" ht="15.75" customHeight="1">
      <c r="B121" s="84"/>
      <c r="C121" s="86"/>
      <c r="D121" s="85"/>
      <c r="E121" s="117" t="s">
        <v>172</v>
      </c>
      <c r="F121" s="97">
        <v>9138</v>
      </c>
      <c r="G121" s="98">
        <v>0</v>
      </c>
      <c r="H121" s="99">
        <v>0</v>
      </c>
      <c r="I121" s="98">
        <v>0</v>
      </c>
      <c r="J121" s="101">
        <v>0</v>
      </c>
      <c r="K121" s="97">
        <v>9138</v>
      </c>
      <c r="L121" s="98">
        <v>14</v>
      </c>
      <c r="M121" s="99">
        <v>0</v>
      </c>
      <c r="N121" s="98">
        <v>0</v>
      </c>
      <c r="O121" s="101">
        <v>0</v>
      </c>
      <c r="P121" s="97">
        <v>9124</v>
      </c>
      <c r="Q121" s="98">
        <v>0</v>
      </c>
      <c r="R121" s="99">
        <v>0</v>
      </c>
      <c r="S121" s="98">
        <v>0</v>
      </c>
      <c r="T121" s="101">
        <v>0</v>
      </c>
      <c r="U121" s="100">
        <v>9124</v>
      </c>
      <c r="V121" s="98">
        <v>0</v>
      </c>
      <c r="W121" s="99">
        <v>49</v>
      </c>
      <c r="X121" s="98">
        <v>0</v>
      </c>
      <c r="Y121" s="99">
        <v>49</v>
      </c>
      <c r="Z121" s="97">
        <v>9124</v>
      </c>
      <c r="AA121" s="98">
        <v>0</v>
      </c>
      <c r="AB121" s="99">
        <v>45</v>
      </c>
      <c r="AC121" s="98">
        <v>0</v>
      </c>
      <c r="AD121" s="99">
        <v>45</v>
      </c>
      <c r="AE121" s="97">
        <v>9124</v>
      </c>
    </row>
    <row r="122" spans="2:31" s="74" customFormat="1" ht="15.75" customHeight="1">
      <c r="B122" s="84"/>
      <c r="C122" s="86"/>
      <c r="D122" s="86"/>
      <c r="E122" s="86"/>
      <c r="F122" s="102"/>
      <c r="G122" s="103"/>
      <c r="H122" s="104"/>
      <c r="I122" s="103"/>
      <c r="J122" s="105"/>
      <c r="K122" s="102"/>
      <c r="L122" s="103"/>
      <c r="M122" s="104"/>
      <c r="N122" s="103"/>
      <c r="O122" s="105"/>
      <c r="P122" s="102"/>
      <c r="Q122" s="103"/>
      <c r="R122" s="104"/>
      <c r="S122" s="103"/>
      <c r="T122" s="105"/>
      <c r="U122" s="106"/>
      <c r="V122" s="103"/>
      <c r="W122" s="104"/>
      <c r="X122" s="103"/>
      <c r="Y122" s="104"/>
      <c r="Z122" s="102"/>
      <c r="AA122" s="103"/>
      <c r="AB122" s="104"/>
      <c r="AC122" s="103"/>
      <c r="AD122" s="104"/>
      <c r="AE122" s="102"/>
    </row>
    <row r="123" spans="2:31" s="74" customFormat="1" ht="15.75" customHeight="1">
      <c r="B123" s="84"/>
      <c r="C123" s="86"/>
      <c r="D123" s="85" t="s">
        <v>114</v>
      </c>
      <c r="E123" s="86"/>
      <c r="F123" s="102"/>
      <c r="G123" s="103"/>
      <c r="H123" s="104"/>
      <c r="I123" s="103"/>
      <c r="J123" s="105"/>
      <c r="K123" s="102"/>
      <c r="L123" s="103"/>
      <c r="M123" s="104"/>
      <c r="N123" s="103"/>
      <c r="O123" s="105"/>
      <c r="P123" s="102"/>
      <c r="Q123" s="103"/>
      <c r="R123" s="104"/>
      <c r="S123" s="103"/>
      <c r="T123" s="105"/>
      <c r="U123" s="106"/>
      <c r="V123" s="103"/>
      <c r="W123" s="104"/>
      <c r="X123" s="103"/>
      <c r="Y123" s="104"/>
      <c r="Z123" s="102"/>
      <c r="AA123" s="103"/>
      <c r="AB123" s="104"/>
      <c r="AC123" s="103"/>
      <c r="AD123" s="104"/>
      <c r="AE123" s="102"/>
    </row>
    <row r="124" spans="2:31" s="74" customFormat="1" ht="15.75" customHeight="1">
      <c r="B124" s="84"/>
      <c r="C124" s="86"/>
      <c r="D124" s="86"/>
      <c r="E124" s="86" t="s">
        <v>173</v>
      </c>
      <c r="F124" s="97">
        <v>34</v>
      </c>
      <c r="G124" s="98">
        <v>0</v>
      </c>
      <c r="H124" s="99">
        <v>0</v>
      </c>
      <c r="I124" s="98">
        <v>0</v>
      </c>
      <c r="J124" s="101">
        <v>0</v>
      </c>
      <c r="K124" s="97">
        <v>34</v>
      </c>
      <c r="L124" s="98">
        <v>0</v>
      </c>
      <c r="M124" s="99">
        <v>0</v>
      </c>
      <c r="N124" s="98">
        <v>1</v>
      </c>
      <c r="O124" s="101">
        <v>0</v>
      </c>
      <c r="P124" s="97">
        <v>35</v>
      </c>
      <c r="Q124" s="98">
        <v>0</v>
      </c>
      <c r="R124" s="99">
        <v>0</v>
      </c>
      <c r="S124" s="98">
        <v>0</v>
      </c>
      <c r="T124" s="101">
        <v>0</v>
      </c>
      <c r="U124" s="100">
        <v>35</v>
      </c>
      <c r="V124" s="98">
        <v>0</v>
      </c>
      <c r="W124" s="99">
        <v>0</v>
      </c>
      <c r="X124" s="98">
        <v>7</v>
      </c>
      <c r="Y124" s="99">
        <v>0</v>
      </c>
      <c r="Z124" s="97">
        <v>42</v>
      </c>
      <c r="AA124" s="98">
        <v>0</v>
      </c>
      <c r="AB124" s="99">
        <v>0</v>
      </c>
      <c r="AC124" s="98">
        <v>0</v>
      </c>
      <c r="AD124" s="99">
        <v>0</v>
      </c>
      <c r="AE124" s="97">
        <v>42</v>
      </c>
    </row>
    <row r="125" spans="2:31" s="74" customFormat="1" ht="15.75" customHeight="1">
      <c r="B125" s="84"/>
      <c r="C125" s="86"/>
      <c r="D125" s="86"/>
      <c r="E125" s="86" t="s">
        <v>174</v>
      </c>
      <c r="F125" s="97">
        <v>164</v>
      </c>
      <c r="G125" s="98">
        <v>0</v>
      </c>
      <c r="H125" s="99">
        <v>0</v>
      </c>
      <c r="I125" s="98">
        <v>0</v>
      </c>
      <c r="J125" s="101">
        <v>0</v>
      </c>
      <c r="K125" s="97">
        <v>164</v>
      </c>
      <c r="L125" s="98">
        <v>0</v>
      </c>
      <c r="M125" s="99">
        <v>0</v>
      </c>
      <c r="N125" s="98">
        <v>0</v>
      </c>
      <c r="O125" s="101">
        <v>0</v>
      </c>
      <c r="P125" s="97">
        <v>164</v>
      </c>
      <c r="Q125" s="98">
        <v>0</v>
      </c>
      <c r="R125" s="99">
        <v>0</v>
      </c>
      <c r="S125" s="98">
        <v>0</v>
      </c>
      <c r="T125" s="101">
        <v>0</v>
      </c>
      <c r="U125" s="100">
        <v>164</v>
      </c>
      <c r="V125" s="98">
        <v>0</v>
      </c>
      <c r="W125" s="99">
        <v>0</v>
      </c>
      <c r="X125" s="98">
        <v>0</v>
      </c>
      <c r="Y125" s="99">
        <v>0</v>
      </c>
      <c r="Z125" s="97">
        <v>164</v>
      </c>
      <c r="AA125" s="98">
        <v>0</v>
      </c>
      <c r="AB125" s="99">
        <v>0</v>
      </c>
      <c r="AC125" s="98">
        <v>0</v>
      </c>
      <c r="AD125" s="99">
        <v>0</v>
      </c>
      <c r="AE125" s="97">
        <v>164</v>
      </c>
    </row>
    <row r="126" spans="2:31" s="74" customFormat="1" ht="15.75" customHeight="1">
      <c r="B126" s="84"/>
      <c r="C126" s="86"/>
      <c r="D126" s="86"/>
      <c r="E126" s="86" t="s">
        <v>175</v>
      </c>
      <c r="F126" s="97">
        <v>0</v>
      </c>
      <c r="G126" s="98">
        <v>0</v>
      </c>
      <c r="H126" s="99">
        <v>0</v>
      </c>
      <c r="I126" s="98">
        <v>0</v>
      </c>
      <c r="J126" s="101">
        <v>0</v>
      </c>
      <c r="K126" s="97">
        <v>0</v>
      </c>
      <c r="L126" s="98">
        <v>0</v>
      </c>
      <c r="M126" s="99">
        <v>0</v>
      </c>
      <c r="N126" s="98">
        <v>0</v>
      </c>
      <c r="O126" s="101">
        <v>0</v>
      </c>
      <c r="P126" s="97">
        <v>0</v>
      </c>
      <c r="Q126" s="98">
        <v>0</v>
      </c>
      <c r="R126" s="99">
        <v>0</v>
      </c>
      <c r="S126" s="98">
        <v>0</v>
      </c>
      <c r="T126" s="101">
        <v>0</v>
      </c>
      <c r="U126" s="100">
        <v>0</v>
      </c>
      <c r="V126" s="98">
        <v>0</v>
      </c>
      <c r="W126" s="99">
        <v>0</v>
      </c>
      <c r="X126" s="98">
        <v>0</v>
      </c>
      <c r="Y126" s="99">
        <v>0</v>
      </c>
      <c r="Z126" s="97">
        <v>0</v>
      </c>
      <c r="AA126" s="98">
        <v>0</v>
      </c>
      <c r="AB126" s="99">
        <v>0</v>
      </c>
      <c r="AC126" s="98">
        <v>0</v>
      </c>
      <c r="AD126" s="99">
        <v>0</v>
      </c>
      <c r="AE126" s="97">
        <v>0</v>
      </c>
    </row>
    <row r="127" spans="2:31" s="74" customFormat="1" ht="15.75" customHeight="1">
      <c r="B127" s="84"/>
      <c r="C127" s="86"/>
      <c r="D127" s="86"/>
      <c r="E127" s="86"/>
      <c r="F127" s="102"/>
      <c r="G127" s="103"/>
      <c r="H127" s="104"/>
      <c r="I127" s="103"/>
      <c r="J127" s="105"/>
      <c r="K127" s="102"/>
      <c r="L127" s="103"/>
      <c r="M127" s="104"/>
      <c r="N127" s="103"/>
      <c r="O127" s="105"/>
      <c r="P127" s="102"/>
      <c r="Q127" s="103"/>
      <c r="R127" s="104"/>
      <c r="S127" s="103"/>
      <c r="T127" s="105"/>
      <c r="U127" s="106"/>
      <c r="V127" s="103"/>
      <c r="W127" s="104"/>
      <c r="X127" s="103"/>
      <c r="Y127" s="104"/>
      <c r="Z127" s="102"/>
      <c r="AA127" s="103"/>
      <c r="AB127" s="104"/>
      <c r="AC127" s="103"/>
      <c r="AD127" s="104"/>
      <c r="AE127" s="102"/>
    </row>
    <row r="128" spans="2:31" s="74" customFormat="1" ht="15.75" customHeight="1">
      <c r="B128" s="84"/>
      <c r="C128" s="86"/>
      <c r="D128" s="85" t="s">
        <v>117</v>
      </c>
      <c r="E128" s="86"/>
      <c r="F128" s="102"/>
      <c r="G128" s="103"/>
      <c r="H128" s="104"/>
      <c r="I128" s="103"/>
      <c r="J128" s="105"/>
      <c r="K128" s="102"/>
      <c r="L128" s="103"/>
      <c r="M128" s="104"/>
      <c r="N128" s="103"/>
      <c r="O128" s="105"/>
      <c r="P128" s="102"/>
      <c r="Q128" s="103"/>
      <c r="R128" s="104"/>
      <c r="S128" s="103"/>
      <c r="T128" s="105"/>
      <c r="U128" s="106"/>
      <c r="V128" s="103"/>
      <c r="W128" s="104"/>
      <c r="X128" s="103"/>
      <c r="Y128" s="104"/>
      <c r="Z128" s="102"/>
      <c r="AA128" s="103"/>
      <c r="AB128" s="104"/>
      <c r="AC128" s="103"/>
      <c r="AD128" s="104"/>
      <c r="AE128" s="102"/>
    </row>
    <row r="129" spans="2:31" s="74" customFormat="1" ht="15.75" customHeight="1">
      <c r="B129" s="84"/>
      <c r="C129" s="86"/>
      <c r="D129" s="86"/>
      <c r="E129" s="117" t="s">
        <v>176</v>
      </c>
      <c r="F129" s="97">
        <v>0</v>
      </c>
      <c r="G129" s="98">
        <v>0</v>
      </c>
      <c r="H129" s="99">
        <v>0</v>
      </c>
      <c r="I129" s="98">
        <v>0</v>
      </c>
      <c r="J129" s="101">
        <v>0</v>
      </c>
      <c r="K129" s="97">
        <v>0</v>
      </c>
      <c r="L129" s="98">
        <v>0</v>
      </c>
      <c r="M129" s="99">
        <v>0</v>
      </c>
      <c r="N129" s="98">
        <v>0</v>
      </c>
      <c r="O129" s="101">
        <v>0</v>
      </c>
      <c r="P129" s="97">
        <v>0</v>
      </c>
      <c r="Q129" s="98">
        <v>0</v>
      </c>
      <c r="R129" s="99">
        <v>0</v>
      </c>
      <c r="S129" s="98">
        <v>0</v>
      </c>
      <c r="T129" s="101">
        <v>0</v>
      </c>
      <c r="U129" s="100">
        <v>0</v>
      </c>
      <c r="V129" s="98">
        <v>0</v>
      </c>
      <c r="W129" s="99">
        <v>0</v>
      </c>
      <c r="X129" s="98">
        <v>0</v>
      </c>
      <c r="Y129" s="99">
        <v>0</v>
      </c>
      <c r="Z129" s="97">
        <v>0</v>
      </c>
      <c r="AA129" s="98">
        <v>0</v>
      </c>
      <c r="AB129" s="99">
        <v>0</v>
      </c>
      <c r="AC129" s="98">
        <v>0</v>
      </c>
      <c r="AD129" s="99">
        <v>0</v>
      </c>
      <c r="AE129" s="97">
        <v>0</v>
      </c>
    </row>
    <row r="130" spans="2:31" s="74" customFormat="1" ht="15.75" customHeight="1">
      <c r="B130" s="84"/>
      <c r="C130" s="86"/>
      <c r="D130" s="86"/>
      <c r="E130" s="86"/>
      <c r="F130" s="102"/>
      <c r="G130" s="103"/>
      <c r="H130" s="104"/>
      <c r="I130" s="103"/>
      <c r="J130" s="105"/>
      <c r="K130" s="102"/>
      <c r="L130" s="103"/>
      <c r="M130" s="104"/>
      <c r="N130" s="103"/>
      <c r="O130" s="105"/>
      <c r="P130" s="102"/>
      <c r="Q130" s="103"/>
      <c r="R130" s="104"/>
      <c r="S130" s="103"/>
      <c r="T130" s="105"/>
      <c r="U130" s="106"/>
      <c r="V130" s="103"/>
      <c r="W130" s="104"/>
      <c r="X130" s="103"/>
      <c r="Y130" s="104"/>
      <c r="Z130" s="102"/>
      <c r="AA130" s="103"/>
      <c r="AB130" s="104"/>
      <c r="AC130" s="103"/>
      <c r="AD130" s="104"/>
      <c r="AE130" s="102"/>
    </row>
    <row r="131" spans="2:31" s="74" customFormat="1" ht="15.75" customHeight="1">
      <c r="B131" s="84"/>
      <c r="C131" s="86"/>
      <c r="D131" s="85" t="s">
        <v>100</v>
      </c>
      <c r="E131" s="86"/>
      <c r="F131" s="102"/>
      <c r="G131" s="103"/>
      <c r="H131" s="104"/>
      <c r="I131" s="103"/>
      <c r="J131" s="105"/>
      <c r="K131" s="102"/>
      <c r="L131" s="103"/>
      <c r="M131" s="104"/>
      <c r="N131" s="103"/>
      <c r="O131" s="105"/>
      <c r="P131" s="102"/>
      <c r="Q131" s="103"/>
      <c r="R131" s="104"/>
      <c r="S131" s="103"/>
      <c r="T131" s="105"/>
      <c r="U131" s="106"/>
      <c r="V131" s="103"/>
      <c r="W131" s="104"/>
      <c r="X131" s="103"/>
      <c r="Y131" s="104"/>
      <c r="Z131" s="102"/>
      <c r="AA131" s="103"/>
      <c r="AB131" s="104"/>
      <c r="AC131" s="103"/>
      <c r="AD131" s="104"/>
      <c r="AE131" s="102"/>
    </row>
    <row r="132" spans="2:31" s="74" customFormat="1" ht="15.75" customHeight="1">
      <c r="B132" s="84"/>
      <c r="C132" s="86"/>
      <c r="D132" s="86"/>
      <c r="E132" s="86" t="s">
        <v>177</v>
      </c>
      <c r="F132" s="97">
        <v>264</v>
      </c>
      <c r="G132" s="98">
        <v>44</v>
      </c>
      <c r="H132" s="99">
        <v>0</v>
      </c>
      <c r="I132" s="98">
        <v>4</v>
      </c>
      <c r="J132" s="101">
        <v>0</v>
      </c>
      <c r="K132" s="97">
        <v>224</v>
      </c>
      <c r="L132" s="98">
        <v>0</v>
      </c>
      <c r="M132" s="99">
        <v>0</v>
      </c>
      <c r="N132" s="98">
        <v>12</v>
      </c>
      <c r="O132" s="101">
        <v>0</v>
      </c>
      <c r="P132" s="97">
        <v>236</v>
      </c>
      <c r="Q132" s="98">
        <v>0</v>
      </c>
      <c r="R132" s="99">
        <v>3</v>
      </c>
      <c r="S132" s="98">
        <v>0</v>
      </c>
      <c r="T132" s="101">
        <v>12</v>
      </c>
      <c r="U132" s="100">
        <v>245</v>
      </c>
      <c r="V132" s="98">
        <v>0</v>
      </c>
      <c r="W132" s="99">
        <v>0</v>
      </c>
      <c r="X132" s="98">
        <v>0</v>
      </c>
      <c r="Y132" s="99">
        <v>0</v>
      </c>
      <c r="Z132" s="97">
        <v>245</v>
      </c>
      <c r="AA132" s="98">
        <v>0</v>
      </c>
      <c r="AB132" s="99">
        <v>10</v>
      </c>
      <c r="AC132" s="98">
        <v>0</v>
      </c>
      <c r="AD132" s="99">
        <v>10</v>
      </c>
      <c r="AE132" s="97">
        <v>245</v>
      </c>
    </row>
    <row r="133" spans="2:31" s="74" customFormat="1" ht="15.75" customHeight="1">
      <c r="B133" s="84"/>
      <c r="C133" s="86"/>
      <c r="D133" s="86"/>
      <c r="E133" s="86" t="s">
        <v>178</v>
      </c>
      <c r="F133" s="97">
        <v>1618</v>
      </c>
      <c r="G133" s="98">
        <v>0</v>
      </c>
      <c r="H133" s="99">
        <v>0</v>
      </c>
      <c r="I133" s="98">
        <v>0</v>
      </c>
      <c r="J133" s="101">
        <v>0</v>
      </c>
      <c r="K133" s="97">
        <v>1618</v>
      </c>
      <c r="L133" s="98">
        <v>0</v>
      </c>
      <c r="M133" s="99">
        <v>0</v>
      </c>
      <c r="N133" s="98">
        <v>0</v>
      </c>
      <c r="O133" s="101">
        <v>0</v>
      </c>
      <c r="P133" s="97">
        <v>1618</v>
      </c>
      <c r="Q133" s="98">
        <v>0</v>
      </c>
      <c r="R133" s="99">
        <v>36</v>
      </c>
      <c r="S133" s="98">
        <v>0</v>
      </c>
      <c r="T133" s="101">
        <v>80</v>
      </c>
      <c r="U133" s="100">
        <v>1662</v>
      </c>
      <c r="V133" s="98">
        <v>0</v>
      </c>
      <c r="W133" s="99">
        <v>0</v>
      </c>
      <c r="X133" s="98">
        <v>0</v>
      </c>
      <c r="Y133" s="99">
        <v>0</v>
      </c>
      <c r="Z133" s="97">
        <v>1662</v>
      </c>
      <c r="AA133" s="98">
        <v>0</v>
      </c>
      <c r="AB133" s="99">
        <v>0</v>
      </c>
      <c r="AC133" s="98">
        <v>0</v>
      </c>
      <c r="AD133" s="99">
        <v>0</v>
      </c>
      <c r="AE133" s="97">
        <v>1662</v>
      </c>
    </row>
    <row r="134" spans="2:31" s="74" customFormat="1" ht="15.75" customHeight="1">
      <c r="B134" s="84"/>
      <c r="C134" s="86"/>
      <c r="D134" s="86"/>
      <c r="E134" s="86"/>
      <c r="F134" s="102"/>
      <c r="G134" s="103"/>
      <c r="H134" s="104"/>
      <c r="I134" s="103"/>
      <c r="J134" s="105"/>
      <c r="K134" s="102"/>
      <c r="L134" s="103"/>
      <c r="M134" s="104"/>
      <c r="N134" s="103"/>
      <c r="O134" s="105"/>
      <c r="P134" s="102"/>
      <c r="Q134" s="103"/>
      <c r="R134" s="104"/>
      <c r="S134" s="103"/>
      <c r="T134" s="105"/>
      <c r="U134" s="106"/>
      <c r="V134" s="103"/>
      <c r="W134" s="104"/>
      <c r="X134" s="103"/>
      <c r="Y134" s="104"/>
      <c r="Z134" s="102"/>
      <c r="AA134" s="103"/>
      <c r="AB134" s="104"/>
      <c r="AC134" s="103"/>
      <c r="AD134" s="104"/>
      <c r="AE134" s="102"/>
    </row>
    <row r="135" spans="2:31" s="74" customFormat="1" ht="15.75" customHeight="1">
      <c r="B135" s="84"/>
      <c r="C135" s="86"/>
      <c r="D135" s="85" t="s">
        <v>133</v>
      </c>
      <c r="E135" s="86"/>
      <c r="F135" s="102"/>
      <c r="G135" s="103"/>
      <c r="H135" s="104"/>
      <c r="I135" s="103"/>
      <c r="J135" s="105"/>
      <c r="K135" s="102"/>
      <c r="L135" s="103"/>
      <c r="M135" s="104"/>
      <c r="N135" s="103"/>
      <c r="O135" s="105"/>
      <c r="P135" s="102"/>
      <c r="Q135" s="103"/>
      <c r="R135" s="104"/>
      <c r="S135" s="103"/>
      <c r="T135" s="105"/>
      <c r="U135" s="106"/>
      <c r="V135" s="103"/>
      <c r="W135" s="104"/>
      <c r="X135" s="103"/>
      <c r="Y135" s="104"/>
      <c r="Z135" s="102"/>
      <c r="AA135" s="103"/>
      <c r="AB135" s="104"/>
      <c r="AC135" s="103"/>
      <c r="AD135" s="104"/>
      <c r="AE135" s="102"/>
    </row>
    <row r="136" spans="2:31" s="74" customFormat="1" ht="15.75" customHeight="1">
      <c r="B136" s="84"/>
      <c r="C136" s="86"/>
      <c r="D136" s="86"/>
      <c r="E136" s="117" t="s">
        <v>179</v>
      </c>
      <c r="F136" s="97">
        <v>189</v>
      </c>
      <c r="G136" s="98">
        <v>0</v>
      </c>
      <c r="H136" s="99">
        <v>0</v>
      </c>
      <c r="I136" s="98">
        <v>2</v>
      </c>
      <c r="J136" s="101">
        <v>0</v>
      </c>
      <c r="K136" s="97">
        <v>191</v>
      </c>
      <c r="L136" s="98">
        <v>1</v>
      </c>
      <c r="M136" s="99">
        <v>0</v>
      </c>
      <c r="N136" s="98">
        <v>0</v>
      </c>
      <c r="O136" s="101">
        <v>0</v>
      </c>
      <c r="P136" s="97">
        <v>190</v>
      </c>
      <c r="Q136" s="98">
        <v>9</v>
      </c>
      <c r="R136" s="99">
        <v>0</v>
      </c>
      <c r="S136" s="98">
        <v>7</v>
      </c>
      <c r="T136" s="101">
        <v>0</v>
      </c>
      <c r="U136" s="100">
        <v>188</v>
      </c>
      <c r="V136" s="98">
        <v>4</v>
      </c>
      <c r="W136" s="99">
        <v>0</v>
      </c>
      <c r="X136" s="98">
        <v>7</v>
      </c>
      <c r="Y136" s="99">
        <v>0</v>
      </c>
      <c r="Z136" s="97">
        <v>191</v>
      </c>
      <c r="AA136" s="98">
        <v>0</v>
      </c>
      <c r="AB136" s="99">
        <v>2</v>
      </c>
      <c r="AC136" s="98">
        <v>0</v>
      </c>
      <c r="AD136" s="99">
        <v>2</v>
      </c>
      <c r="AE136" s="97">
        <v>191</v>
      </c>
    </row>
    <row r="137" spans="2:31" s="74" customFormat="1" ht="15.75" customHeight="1">
      <c r="B137" s="84"/>
      <c r="C137" s="86"/>
      <c r="D137" s="86"/>
      <c r="E137" s="117" t="s">
        <v>180</v>
      </c>
      <c r="F137" s="97">
        <v>327</v>
      </c>
      <c r="G137" s="98">
        <v>0</v>
      </c>
      <c r="H137" s="99">
        <v>0</v>
      </c>
      <c r="I137" s="98">
        <v>0</v>
      </c>
      <c r="J137" s="101">
        <v>0</v>
      </c>
      <c r="K137" s="97">
        <v>327</v>
      </c>
      <c r="L137" s="98">
        <v>0</v>
      </c>
      <c r="M137" s="99">
        <v>0</v>
      </c>
      <c r="N137" s="98">
        <v>0</v>
      </c>
      <c r="O137" s="101">
        <v>0</v>
      </c>
      <c r="P137" s="97">
        <v>327</v>
      </c>
      <c r="Q137" s="98">
        <v>0</v>
      </c>
      <c r="R137" s="99">
        <v>8</v>
      </c>
      <c r="S137" s="98">
        <v>0</v>
      </c>
      <c r="T137" s="101">
        <v>17</v>
      </c>
      <c r="U137" s="100">
        <v>336</v>
      </c>
      <c r="V137" s="98">
        <v>2</v>
      </c>
      <c r="W137" s="99">
        <v>0</v>
      </c>
      <c r="X137" s="98">
        <v>2</v>
      </c>
      <c r="Y137" s="99">
        <v>0</v>
      </c>
      <c r="Z137" s="97">
        <v>336</v>
      </c>
      <c r="AA137" s="98">
        <v>0</v>
      </c>
      <c r="AB137" s="99">
        <v>0</v>
      </c>
      <c r="AC137" s="98">
        <v>0</v>
      </c>
      <c r="AD137" s="99">
        <v>0</v>
      </c>
      <c r="AE137" s="97">
        <v>336</v>
      </c>
    </row>
    <row r="138" spans="2:31" s="74" customFormat="1" ht="15.75" customHeight="1" thickBot="1">
      <c r="B138" s="107"/>
      <c r="C138" s="108"/>
      <c r="D138" s="108"/>
      <c r="E138" s="108"/>
      <c r="F138" s="109"/>
      <c r="G138" s="110"/>
      <c r="H138" s="111"/>
      <c r="I138" s="110"/>
      <c r="J138" s="112"/>
      <c r="K138" s="113"/>
      <c r="L138" s="110"/>
      <c r="M138" s="111"/>
      <c r="N138" s="110"/>
      <c r="O138" s="112"/>
      <c r="P138" s="113"/>
      <c r="Q138" s="110"/>
      <c r="R138" s="111"/>
      <c r="S138" s="110"/>
      <c r="T138" s="112"/>
      <c r="U138" s="114"/>
      <c r="V138" s="110"/>
      <c r="W138" s="111"/>
      <c r="X138" s="110"/>
      <c r="Y138" s="111"/>
      <c r="Z138" s="113"/>
      <c r="AA138" s="110"/>
      <c r="AB138" s="111"/>
      <c r="AC138" s="110"/>
      <c r="AD138" s="111"/>
      <c r="AE138" s="113"/>
    </row>
    <row r="139" spans="2:31" s="74" customFormat="1" ht="15.75" customHeight="1">
      <c r="B139" s="115"/>
      <c r="C139" s="116" t="s">
        <v>181</v>
      </c>
      <c r="D139" s="116"/>
      <c r="E139" s="117"/>
      <c r="F139" s="102"/>
      <c r="G139" s="103"/>
      <c r="H139" s="104"/>
      <c r="I139" s="103"/>
      <c r="J139" s="105"/>
      <c r="K139" s="102"/>
      <c r="L139" s="103"/>
      <c r="M139" s="104"/>
      <c r="N139" s="103"/>
      <c r="O139" s="105"/>
      <c r="P139" s="102"/>
      <c r="Q139" s="103"/>
      <c r="R139" s="104"/>
      <c r="S139" s="103"/>
      <c r="T139" s="105"/>
      <c r="U139" s="106"/>
      <c r="V139" s="103"/>
      <c r="W139" s="104"/>
      <c r="X139" s="103"/>
      <c r="Y139" s="104"/>
      <c r="Z139" s="102"/>
      <c r="AA139" s="103"/>
      <c r="AB139" s="104"/>
      <c r="AC139" s="103"/>
      <c r="AD139" s="104"/>
      <c r="AE139" s="102"/>
    </row>
    <row r="140" spans="2:31" s="74" customFormat="1" ht="15.75" customHeight="1">
      <c r="B140" s="84"/>
      <c r="C140" s="86"/>
      <c r="D140" s="85" t="s">
        <v>182</v>
      </c>
      <c r="E140" s="86"/>
      <c r="F140" s="102"/>
      <c r="G140" s="103"/>
      <c r="H140" s="104"/>
      <c r="I140" s="103"/>
      <c r="J140" s="105"/>
      <c r="K140" s="102"/>
      <c r="L140" s="103"/>
      <c r="M140" s="104"/>
      <c r="N140" s="103"/>
      <c r="O140" s="105"/>
      <c r="P140" s="102"/>
      <c r="Q140" s="103"/>
      <c r="R140" s="104"/>
      <c r="S140" s="103"/>
      <c r="T140" s="105"/>
      <c r="U140" s="106"/>
      <c r="V140" s="103"/>
      <c r="W140" s="104"/>
      <c r="X140" s="103"/>
      <c r="Y140" s="104"/>
      <c r="Z140" s="102"/>
      <c r="AA140" s="103"/>
      <c r="AB140" s="104"/>
      <c r="AC140" s="103"/>
      <c r="AD140" s="104"/>
      <c r="AE140" s="102"/>
    </row>
    <row r="141" spans="2:31" s="74" customFormat="1" ht="15.75" customHeight="1">
      <c r="B141" s="84"/>
      <c r="C141" s="86"/>
      <c r="D141" s="86"/>
      <c r="E141" s="117" t="s">
        <v>183</v>
      </c>
      <c r="F141" s="97">
        <v>0</v>
      </c>
      <c r="G141" s="98">
        <v>0</v>
      </c>
      <c r="H141" s="99">
        <v>0</v>
      </c>
      <c r="I141" s="98">
        <v>0</v>
      </c>
      <c r="J141" s="101">
        <v>0</v>
      </c>
      <c r="K141" s="97">
        <v>0</v>
      </c>
      <c r="L141" s="98">
        <v>0</v>
      </c>
      <c r="M141" s="99">
        <v>0</v>
      </c>
      <c r="N141" s="98">
        <v>0</v>
      </c>
      <c r="O141" s="101">
        <v>0</v>
      </c>
      <c r="P141" s="97">
        <v>0</v>
      </c>
      <c r="Q141" s="98">
        <v>0</v>
      </c>
      <c r="R141" s="99">
        <v>0</v>
      </c>
      <c r="S141" s="98">
        <v>0</v>
      </c>
      <c r="T141" s="101">
        <v>2</v>
      </c>
      <c r="U141" s="100">
        <v>2</v>
      </c>
      <c r="V141" s="98">
        <v>0</v>
      </c>
      <c r="W141" s="99">
        <v>0</v>
      </c>
      <c r="X141" s="98">
        <v>0</v>
      </c>
      <c r="Y141" s="99">
        <v>0</v>
      </c>
      <c r="Z141" s="97">
        <v>2</v>
      </c>
      <c r="AA141" s="98">
        <v>0</v>
      </c>
      <c r="AB141" s="99">
        <v>0</v>
      </c>
      <c r="AC141" s="98">
        <v>0</v>
      </c>
      <c r="AD141" s="99">
        <v>0</v>
      </c>
      <c r="AE141" s="97">
        <v>2</v>
      </c>
    </row>
    <row r="142" spans="2:31" s="74" customFormat="1" ht="15.75" customHeight="1">
      <c r="B142" s="84"/>
      <c r="C142" s="86"/>
      <c r="D142" s="86"/>
      <c r="E142" s="117" t="s">
        <v>184</v>
      </c>
      <c r="F142" s="97">
        <v>462</v>
      </c>
      <c r="G142" s="98">
        <v>0</v>
      </c>
      <c r="H142" s="99">
        <v>0</v>
      </c>
      <c r="I142" s="98">
        <v>0</v>
      </c>
      <c r="J142" s="101">
        <v>0</v>
      </c>
      <c r="K142" s="97">
        <v>462</v>
      </c>
      <c r="L142" s="98">
        <v>0</v>
      </c>
      <c r="M142" s="99">
        <v>0</v>
      </c>
      <c r="N142" s="98">
        <v>0</v>
      </c>
      <c r="O142" s="101">
        <v>5</v>
      </c>
      <c r="P142" s="97">
        <v>467</v>
      </c>
      <c r="Q142" s="98">
        <v>0</v>
      </c>
      <c r="R142" s="99">
        <v>0</v>
      </c>
      <c r="S142" s="98">
        <v>0</v>
      </c>
      <c r="T142" s="101">
        <v>17</v>
      </c>
      <c r="U142" s="100">
        <v>484</v>
      </c>
      <c r="V142" s="98">
        <v>0</v>
      </c>
      <c r="W142" s="99">
        <v>0</v>
      </c>
      <c r="X142" s="98">
        <v>0</v>
      </c>
      <c r="Y142" s="99">
        <v>0</v>
      </c>
      <c r="Z142" s="97">
        <v>484</v>
      </c>
      <c r="AA142" s="98">
        <v>0</v>
      </c>
      <c r="AB142" s="99">
        <v>0</v>
      </c>
      <c r="AC142" s="98">
        <v>0</v>
      </c>
      <c r="AD142" s="99">
        <v>0</v>
      </c>
      <c r="AE142" s="97">
        <v>484</v>
      </c>
    </row>
    <row r="143" spans="2:31" s="74" customFormat="1" ht="15.75" customHeight="1">
      <c r="B143" s="84"/>
      <c r="C143" s="117"/>
      <c r="D143" s="85"/>
      <c r="E143" s="86"/>
      <c r="F143" s="102"/>
      <c r="G143" s="103"/>
      <c r="H143" s="104"/>
      <c r="I143" s="103"/>
      <c r="J143" s="105"/>
      <c r="K143" s="102"/>
      <c r="L143" s="103"/>
      <c r="M143" s="104"/>
      <c r="N143" s="103"/>
      <c r="O143" s="105"/>
      <c r="P143" s="102"/>
      <c r="Q143" s="103"/>
      <c r="R143" s="104"/>
      <c r="S143" s="103"/>
      <c r="T143" s="105"/>
      <c r="U143" s="106"/>
      <c r="V143" s="103"/>
      <c r="W143" s="104"/>
      <c r="X143" s="103"/>
      <c r="Y143" s="104"/>
      <c r="Z143" s="102"/>
      <c r="AA143" s="103"/>
      <c r="AB143" s="104"/>
      <c r="AC143" s="103"/>
      <c r="AD143" s="104"/>
      <c r="AE143" s="102"/>
    </row>
    <row r="144" spans="2:31" s="74" customFormat="1" ht="15.75" customHeight="1">
      <c r="B144" s="84"/>
      <c r="C144" s="86"/>
      <c r="D144" s="85" t="s">
        <v>185</v>
      </c>
      <c r="E144" s="86"/>
      <c r="F144" s="102"/>
      <c r="G144" s="103"/>
      <c r="H144" s="104"/>
      <c r="I144" s="103"/>
      <c r="J144" s="105"/>
      <c r="K144" s="102"/>
      <c r="L144" s="103"/>
      <c r="M144" s="104"/>
      <c r="N144" s="103"/>
      <c r="O144" s="105"/>
      <c r="P144" s="102"/>
      <c r="Q144" s="103"/>
      <c r="R144" s="104"/>
      <c r="S144" s="103"/>
      <c r="T144" s="105"/>
      <c r="U144" s="106"/>
      <c r="V144" s="103"/>
      <c r="W144" s="104"/>
      <c r="X144" s="103"/>
      <c r="Y144" s="104"/>
      <c r="Z144" s="102"/>
      <c r="AA144" s="103"/>
      <c r="AB144" s="104"/>
      <c r="AC144" s="103"/>
      <c r="AD144" s="104"/>
      <c r="AE144" s="102"/>
    </row>
    <row r="145" spans="2:31" s="74" customFormat="1" ht="15.75" customHeight="1">
      <c r="B145" s="84"/>
      <c r="C145" s="86"/>
      <c r="D145" s="86"/>
      <c r="E145" s="117" t="s">
        <v>186</v>
      </c>
      <c r="F145" s="97">
        <v>829</v>
      </c>
      <c r="G145" s="98">
        <v>0</v>
      </c>
      <c r="H145" s="99">
        <v>0</v>
      </c>
      <c r="I145" s="98">
        <v>0</v>
      </c>
      <c r="J145" s="101">
        <v>0</v>
      </c>
      <c r="K145" s="97">
        <v>829</v>
      </c>
      <c r="L145" s="98">
        <v>0</v>
      </c>
      <c r="M145" s="99">
        <v>0</v>
      </c>
      <c r="N145" s="98">
        <v>0</v>
      </c>
      <c r="O145" s="101">
        <v>335</v>
      </c>
      <c r="P145" s="97">
        <v>1164</v>
      </c>
      <c r="Q145" s="98">
        <v>0</v>
      </c>
      <c r="R145" s="99">
        <v>0</v>
      </c>
      <c r="S145" s="98">
        <v>0</v>
      </c>
      <c r="T145" s="101">
        <v>327</v>
      </c>
      <c r="U145" s="100">
        <v>1491</v>
      </c>
      <c r="V145" s="98">
        <v>0</v>
      </c>
      <c r="W145" s="99">
        <v>0</v>
      </c>
      <c r="X145" s="98">
        <v>0</v>
      </c>
      <c r="Y145" s="99">
        <v>0</v>
      </c>
      <c r="Z145" s="97">
        <v>1491</v>
      </c>
      <c r="AA145" s="98">
        <v>0</v>
      </c>
      <c r="AB145" s="99">
        <v>0</v>
      </c>
      <c r="AC145" s="98">
        <v>0</v>
      </c>
      <c r="AD145" s="99">
        <v>0</v>
      </c>
      <c r="AE145" s="97">
        <v>1491</v>
      </c>
    </row>
    <row r="146" spans="2:31" s="74" customFormat="1" ht="15.75" customHeight="1">
      <c r="B146" s="84"/>
      <c r="C146" s="86"/>
      <c r="D146" s="86"/>
      <c r="E146" s="117" t="s">
        <v>187</v>
      </c>
      <c r="F146" s="97">
        <v>224</v>
      </c>
      <c r="G146" s="98">
        <v>0</v>
      </c>
      <c r="H146" s="99">
        <v>0</v>
      </c>
      <c r="I146" s="98">
        <v>0</v>
      </c>
      <c r="J146" s="101">
        <v>0</v>
      </c>
      <c r="K146" s="97">
        <v>224</v>
      </c>
      <c r="L146" s="98">
        <v>0</v>
      </c>
      <c r="M146" s="99">
        <v>0</v>
      </c>
      <c r="N146" s="98">
        <v>0</v>
      </c>
      <c r="O146" s="101">
        <v>32</v>
      </c>
      <c r="P146" s="97">
        <v>256</v>
      </c>
      <c r="Q146" s="98">
        <v>0</v>
      </c>
      <c r="R146" s="99">
        <v>0</v>
      </c>
      <c r="S146" s="98">
        <v>0</v>
      </c>
      <c r="T146" s="101">
        <v>495</v>
      </c>
      <c r="U146" s="100">
        <v>751</v>
      </c>
      <c r="V146" s="98">
        <v>0</v>
      </c>
      <c r="W146" s="99">
        <v>0</v>
      </c>
      <c r="X146" s="98">
        <v>0</v>
      </c>
      <c r="Y146" s="99">
        <v>0</v>
      </c>
      <c r="Z146" s="97">
        <v>751</v>
      </c>
      <c r="AA146" s="98">
        <v>0</v>
      </c>
      <c r="AB146" s="99">
        <v>0</v>
      </c>
      <c r="AC146" s="98">
        <v>0</v>
      </c>
      <c r="AD146" s="99">
        <v>0</v>
      </c>
      <c r="AE146" s="97">
        <v>751</v>
      </c>
    </row>
    <row r="147" spans="2:31" s="74" customFormat="1" ht="15.75" customHeight="1" thickBot="1">
      <c r="B147" s="107"/>
      <c r="C147" s="108"/>
      <c r="D147" s="108"/>
      <c r="E147" s="108"/>
      <c r="F147" s="109"/>
      <c r="G147" s="110"/>
      <c r="H147" s="111"/>
      <c r="I147" s="110"/>
      <c r="J147" s="112"/>
      <c r="K147" s="113"/>
      <c r="L147" s="110"/>
      <c r="M147" s="111"/>
      <c r="N147" s="110"/>
      <c r="O147" s="112"/>
      <c r="P147" s="113"/>
      <c r="Q147" s="110"/>
      <c r="R147" s="111"/>
      <c r="S147" s="110"/>
      <c r="T147" s="112"/>
      <c r="U147" s="123"/>
      <c r="V147" s="110"/>
      <c r="W147" s="111"/>
      <c r="X147" s="110"/>
      <c r="Y147" s="111"/>
      <c r="Z147" s="113"/>
      <c r="AA147" s="110"/>
      <c r="AB147" s="111"/>
      <c r="AC147" s="110"/>
      <c r="AD147" s="111"/>
      <c r="AE147" s="113"/>
    </row>
  </sheetData>
  <mergeCells count="17">
    <mergeCell ref="B7:E9"/>
    <mergeCell ref="F7:F9"/>
    <mergeCell ref="G7:K7"/>
    <mergeCell ref="L7:P7"/>
    <mergeCell ref="Q7:U7"/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workbookViewId="0">
      <selection sqref="A1:XFD1048576"/>
    </sheetView>
  </sheetViews>
  <sheetFormatPr defaultColWidth="8.85546875" defaultRowHeight="12.75"/>
  <cols>
    <col min="1" max="1" width="8.85546875" style="74" customWidth="1"/>
    <col min="2" max="2" width="41.140625" style="74" customWidth="1"/>
    <col min="3" max="14" width="8.85546875" style="74"/>
    <col min="15" max="17" width="10.5703125" style="74" customWidth="1"/>
    <col min="18" max="18" width="8.85546875" style="74"/>
    <col min="19" max="20" width="10.42578125" style="74" customWidth="1"/>
    <col min="21" max="16384" width="8.85546875" style="74"/>
  </cols>
  <sheetData>
    <row r="1" spans="1:20" ht="15">
      <c r="A1" s="124" t="s">
        <v>74</v>
      </c>
      <c r="F1" s="125" t="s">
        <v>985</v>
      </c>
    </row>
    <row r="3" spans="1:20" s="126" customFormat="1" ht="15">
      <c r="A3" s="124" t="s">
        <v>188</v>
      </c>
    </row>
    <row r="4" spans="1:20" s="126" customFormat="1" ht="14.25"/>
    <row r="5" spans="1:20" s="126" customFormat="1" ht="14.25"/>
    <row r="6" spans="1:20" s="126" customFormat="1" ht="15">
      <c r="A6" s="127"/>
      <c r="B6" s="128" t="s">
        <v>189</v>
      </c>
      <c r="C6" s="129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30"/>
      <c r="S6" s="127"/>
      <c r="T6" s="127"/>
    </row>
    <row r="7" spans="1:20" s="126" customFormat="1" ht="15" thickBot="1">
      <c r="A7" s="127"/>
      <c r="B7" s="127"/>
      <c r="C7" s="129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30"/>
      <c r="S7" s="127"/>
      <c r="T7" s="127"/>
    </row>
    <row r="8" spans="1:20" s="126" customFormat="1" ht="15">
      <c r="A8" s="127"/>
      <c r="B8" s="1501"/>
      <c r="C8" s="1503" t="s">
        <v>190</v>
      </c>
      <c r="D8" s="131" t="s">
        <v>191</v>
      </c>
      <c r="E8" s="132"/>
      <c r="F8" s="132"/>
      <c r="G8" s="132"/>
      <c r="H8" s="133"/>
      <c r="I8" s="132" t="s">
        <v>192</v>
      </c>
      <c r="J8" s="134"/>
      <c r="K8" s="134"/>
      <c r="L8" s="134"/>
      <c r="M8" s="133"/>
      <c r="N8" s="127"/>
      <c r="O8" s="135" t="s">
        <v>191</v>
      </c>
      <c r="P8" s="136"/>
      <c r="Q8" s="137"/>
      <c r="R8" s="130"/>
      <c r="S8" s="135" t="s">
        <v>192</v>
      </c>
      <c r="T8" s="137"/>
    </row>
    <row r="9" spans="1:20" s="126" customFormat="1" ht="30">
      <c r="A9" s="127"/>
      <c r="B9" s="1502"/>
      <c r="C9" s="1504"/>
      <c r="D9" s="138" t="s">
        <v>79</v>
      </c>
      <c r="E9" s="139" t="s">
        <v>80</v>
      </c>
      <c r="F9" s="139" t="s">
        <v>81</v>
      </c>
      <c r="G9" s="139" t="s">
        <v>82</v>
      </c>
      <c r="H9" s="140" t="s">
        <v>44</v>
      </c>
      <c r="I9" s="141" t="s">
        <v>193</v>
      </c>
      <c r="J9" s="139" t="s">
        <v>194</v>
      </c>
      <c r="K9" s="139" t="s">
        <v>195</v>
      </c>
      <c r="L9" s="139" t="s">
        <v>196</v>
      </c>
      <c r="M9" s="140" t="s">
        <v>197</v>
      </c>
      <c r="N9" s="127"/>
      <c r="O9" s="142" t="s">
        <v>198</v>
      </c>
      <c r="P9" s="143" t="s">
        <v>199</v>
      </c>
      <c r="Q9" s="144" t="s">
        <v>200</v>
      </c>
      <c r="R9" s="130"/>
      <c r="S9" s="142" t="s">
        <v>199</v>
      </c>
      <c r="T9" s="144" t="s">
        <v>201</v>
      </c>
    </row>
    <row r="10" spans="1:20" s="126" customFormat="1" ht="14.25">
      <c r="A10" s="127"/>
      <c r="B10" s="145" t="s">
        <v>202</v>
      </c>
      <c r="C10" s="146" t="s">
        <v>203</v>
      </c>
      <c r="D10" s="147">
        <v>54.23058330661577</v>
      </c>
      <c r="E10" s="148">
        <v>38.837901397590365</v>
      </c>
      <c r="F10" s="148">
        <v>91.674549507870751</v>
      </c>
      <c r="G10" s="148">
        <v>60.626197243589743</v>
      </c>
      <c r="H10" s="149">
        <v>65.682752663900402</v>
      </c>
      <c r="I10" s="148">
        <v>67.834798536622969</v>
      </c>
      <c r="J10" s="150">
        <v>68.956879235521228</v>
      </c>
      <c r="K10" s="150">
        <v>73.553938336271187</v>
      </c>
      <c r="L10" s="150">
        <v>77.272654105263157</v>
      </c>
      <c r="M10" s="149">
        <v>81.348229883553415</v>
      </c>
      <c r="N10" s="127"/>
      <c r="O10" s="151">
        <v>184.74303421207688</v>
      </c>
      <c r="P10" s="152">
        <v>126.30894990749015</v>
      </c>
      <c r="Q10" s="153">
        <v>311.05198411956701</v>
      </c>
      <c r="R10" s="154"/>
      <c r="S10" s="151">
        <v>368.96650009723197</v>
      </c>
      <c r="T10" s="155">
        <v>0.18618918680616059</v>
      </c>
    </row>
    <row r="11" spans="1:20" s="126" customFormat="1" ht="14.25">
      <c r="A11" s="127"/>
      <c r="B11" s="145" t="s">
        <v>204</v>
      </c>
      <c r="C11" s="146" t="s">
        <v>203</v>
      </c>
      <c r="D11" s="156">
        <v>47.9</v>
      </c>
      <c r="E11" s="157">
        <v>34.199999999999996</v>
      </c>
      <c r="F11" s="157">
        <v>74.400000000000006</v>
      </c>
      <c r="G11" s="157">
        <v>47.7</v>
      </c>
      <c r="H11" s="158">
        <v>49.6</v>
      </c>
      <c r="I11" s="157">
        <v>50.599999999999994</v>
      </c>
      <c r="J11" s="159">
        <v>53</v>
      </c>
      <c r="K11" s="159">
        <v>56.9</v>
      </c>
      <c r="L11" s="159">
        <v>60.2</v>
      </c>
      <c r="M11" s="158">
        <v>63.6</v>
      </c>
      <c r="N11" s="127"/>
      <c r="O11" s="151">
        <v>156.5</v>
      </c>
      <c r="P11" s="152">
        <v>97.300000000000011</v>
      </c>
      <c r="Q11" s="153">
        <v>253.79999999999998</v>
      </c>
      <c r="R11" s="154"/>
      <c r="S11" s="151">
        <v>284.3</v>
      </c>
      <c r="T11" s="155">
        <v>0.12017336485421604</v>
      </c>
    </row>
    <row r="12" spans="1:20" s="126" customFormat="1" ht="28.5">
      <c r="A12" s="127"/>
      <c r="B12" s="160" t="s">
        <v>205</v>
      </c>
      <c r="C12" s="146" t="s">
        <v>203</v>
      </c>
      <c r="D12" s="161">
        <v>6.3305833066157717</v>
      </c>
      <c r="E12" s="162">
        <v>4.6379013975903689</v>
      </c>
      <c r="F12" s="162">
        <v>17.274549507870745</v>
      </c>
      <c r="G12" s="162">
        <v>12.926197243589741</v>
      </c>
      <c r="H12" s="163">
        <v>16.082752663900401</v>
      </c>
      <c r="I12" s="164">
        <v>17.234798536622975</v>
      </c>
      <c r="J12" s="162">
        <v>15.956879235521228</v>
      </c>
      <c r="K12" s="162">
        <v>16.653938336271189</v>
      </c>
      <c r="L12" s="162">
        <v>17.072654105263155</v>
      </c>
      <c r="M12" s="163">
        <v>17.748229883553414</v>
      </c>
      <c r="N12" s="127"/>
      <c r="O12" s="151">
        <v>28.243034212076886</v>
      </c>
      <c r="P12" s="152">
        <v>29.008949907490141</v>
      </c>
      <c r="Q12" s="153">
        <v>57.251984119567027</v>
      </c>
      <c r="R12" s="154"/>
      <c r="S12" s="151">
        <v>84.66650009723196</v>
      </c>
      <c r="T12" s="155">
        <v>0.47883957908622887</v>
      </c>
    </row>
    <row r="13" spans="1:20" s="126" customFormat="1" ht="14.25">
      <c r="A13" s="127"/>
      <c r="B13" s="145" t="s">
        <v>206</v>
      </c>
      <c r="C13" s="146" t="s">
        <v>203</v>
      </c>
      <c r="D13" s="156">
        <v>12.7</v>
      </c>
      <c r="E13" s="157">
        <v>16.3</v>
      </c>
      <c r="F13" s="157">
        <v>7.4</v>
      </c>
      <c r="G13" s="157">
        <v>2.6</v>
      </c>
      <c r="H13" s="158">
        <v>4.5</v>
      </c>
      <c r="I13" s="157">
        <v>5.7</v>
      </c>
      <c r="J13" s="159">
        <v>5.9</v>
      </c>
      <c r="K13" s="159">
        <v>6.3</v>
      </c>
      <c r="L13" s="159">
        <v>6.7</v>
      </c>
      <c r="M13" s="158">
        <v>7</v>
      </c>
      <c r="N13" s="127"/>
      <c r="O13" s="151">
        <v>36.4</v>
      </c>
      <c r="P13" s="152">
        <v>7.1</v>
      </c>
      <c r="Q13" s="153">
        <v>43.5</v>
      </c>
      <c r="R13" s="154"/>
      <c r="S13" s="151">
        <v>31.6</v>
      </c>
      <c r="T13" s="155">
        <v>-0.27356321839080455</v>
      </c>
    </row>
    <row r="14" spans="1:20" s="126" customFormat="1" ht="29.25" thickBot="1">
      <c r="A14" s="127"/>
      <c r="B14" s="165" t="s">
        <v>207</v>
      </c>
      <c r="C14" s="166" t="s">
        <v>203</v>
      </c>
      <c r="D14" s="167">
        <v>-6.3694166933842276</v>
      </c>
      <c r="E14" s="168">
        <v>-11.662098602409632</v>
      </c>
      <c r="F14" s="168">
        <v>9.8745495078707446</v>
      </c>
      <c r="G14" s="168">
        <v>10.326197243589741</v>
      </c>
      <c r="H14" s="169">
        <v>11.582752663900401</v>
      </c>
      <c r="I14" s="170">
        <v>11.534798536622976</v>
      </c>
      <c r="J14" s="168">
        <v>10.056879235521228</v>
      </c>
      <c r="K14" s="168">
        <v>10.353938336271188</v>
      </c>
      <c r="L14" s="168">
        <v>10.372654105263155</v>
      </c>
      <c r="M14" s="169">
        <v>10.748229883553414</v>
      </c>
      <c r="N14" s="127"/>
      <c r="O14" s="171">
        <v>-8.1569657879231148</v>
      </c>
      <c r="P14" s="172">
        <v>21.90894990749014</v>
      </c>
      <c r="Q14" s="173">
        <v>13.751984119567027</v>
      </c>
      <c r="R14" s="154"/>
      <c r="S14" s="171">
        <v>53.066500097231959</v>
      </c>
      <c r="T14" s="174">
        <v>2.8588249983306939</v>
      </c>
    </row>
    <row r="15" spans="1:20" s="126" customFormat="1" ht="14.25">
      <c r="A15" s="127"/>
      <c r="B15" s="127"/>
      <c r="C15" s="129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30"/>
      <c r="S15" s="127"/>
      <c r="T15" s="127"/>
    </row>
    <row r="16" spans="1:20" s="126" customFormat="1" ht="15">
      <c r="A16" s="127"/>
      <c r="B16" s="128" t="s">
        <v>208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7"/>
      <c r="P16" s="127"/>
      <c r="Q16" s="127"/>
      <c r="R16" s="130"/>
      <c r="S16" s="129"/>
      <c r="T16" s="129"/>
    </row>
    <row r="17" spans="1:20" s="126" customFormat="1" ht="15.75" thickBot="1">
      <c r="A17" s="127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0"/>
      <c r="P17" s="130"/>
      <c r="Q17" s="130"/>
      <c r="R17" s="130"/>
      <c r="S17" s="130"/>
      <c r="T17" s="130"/>
    </row>
    <row r="18" spans="1:20" s="126" customFormat="1" ht="15">
      <c r="A18" s="127"/>
      <c r="B18" s="1501"/>
      <c r="C18" s="1503" t="s">
        <v>190</v>
      </c>
      <c r="D18" s="131" t="s">
        <v>191</v>
      </c>
      <c r="E18" s="132"/>
      <c r="F18" s="132"/>
      <c r="G18" s="132"/>
      <c r="H18" s="133"/>
      <c r="I18" s="132" t="s">
        <v>192</v>
      </c>
      <c r="J18" s="134"/>
      <c r="K18" s="134"/>
      <c r="L18" s="134"/>
      <c r="M18" s="133"/>
      <c r="N18" s="130"/>
      <c r="O18" s="130"/>
      <c r="P18" s="130"/>
      <c r="Q18" s="130"/>
      <c r="R18" s="130"/>
      <c r="S18" s="130"/>
      <c r="T18" s="130"/>
    </row>
    <row r="19" spans="1:20" s="126" customFormat="1" ht="15">
      <c r="A19" s="127"/>
      <c r="B19" s="1502"/>
      <c r="C19" s="1504"/>
      <c r="D19" s="138" t="s">
        <v>79</v>
      </c>
      <c r="E19" s="139" t="s">
        <v>80</v>
      </c>
      <c r="F19" s="139" t="s">
        <v>81</v>
      </c>
      <c r="G19" s="139" t="s">
        <v>82</v>
      </c>
      <c r="H19" s="140" t="s">
        <v>44</v>
      </c>
      <c r="I19" s="141" t="s">
        <v>193</v>
      </c>
      <c r="J19" s="139" t="s">
        <v>194</v>
      </c>
      <c r="K19" s="139" t="s">
        <v>195</v>
      </c>
      <c r="L19" s="139" t="s">
        <v>196</v>
      </c>
      <c r="M19" s="140" t="s">
        <v>197</v>
      </c>
      <c r="N19" s="130"/>
      <c r="O19" s="130"/>
      <c r="P19" s="130"/>
      <c r="Q19" s="130"/>
      <c r="R19" s="130"/>
      <c r="S19" s="130"/>
      <c r="T19" s="130"/>
    </row>
    <row r="20" spans="1:20" s="126" customFormat="1" ht="15">
      <c r="A20" s="127"/>
      <c r="B20" s="175"/>
      <c r="C20" s="176"/>
      <c r="D20" s="177"/>
      <c r="E20" s="178"/>
      <c r="F20" s="178"/>
      <c r="G20" s="178"/>
      <c r="H20" s="179"/>
      <c r="I20" s="178"/>
      <c r="J20" s="178"/>
      <c r="K20" s="178"/>
      <c r="L20" s="178"/>
      <c r="M20" s="179"/>
      <c r="N20" s="130"/>
      <c r="O20" s="130"/>
      <c r="P20" s="130"/>
      <c r="Q20" s="130"/>
      <c r="R20" s="130"/>
      <c r="S20" s="130"/>
      <c r="T20" s="130"/>
    </row>
    <row r="21" spans="1:20" s="126" customFormat="1" ht="15">
      <c r="A21" s="127"/>
      <c r="B21" s="180" t="s">
        <v>209</v>
      </c>
      <c r="C21" s="146" t="s">
        <v>210</v>
      </c>
      <c r="D21" s="181">
        <v>5142</v>
      </c>
      <c r="E21" s="157">
        <v>5071.9969813739526</v>
      </c>
      <c r="F21" s="157">
        <v>5165.0399372894481</v>
      </c>
      <c r="G21" s="157">
        <v>5268.9998729061226</v>
      </c>
      <c r="H21" s="158">
        <v>5307.952969828777</v>
      </c>
      <c r="I21" s="157">
        <v>5347.0146139487642</v>
      </c>
      <c r="J21" s="159">
        <v>5386.0263758444116</v>
      </c>
      <c r="K21" s="159">
        <v>5424.9980447425833</v>
      </c>
      <c r="L21" s="159">
        <v>5464.0472450535744</v>
      </c>
      <c r="M21" s="158">
        <v>5503.044901736067</v>
      </c>
      <c r="N21" s="130"/>
      <c r="O21" s="130"/>
      <c r="P21" s="130"/>
      <c r="Q21" s="130"/>
      <c r="R21" s="130"/>
      <c r="S21" s="130"/>
      <c r="T21" s="130"/>
    </row>
    <row r="22" spans="1:20" s="126" customFormat="1" ht="15">
      <c r="A22" s="127"/>
      <c r="B22" s="180" t="s">
        <v>987</v>
      </c>
      <c r="C22" s="146" t="s">
        <v>210</v>
      </c>
      <c r="D22" s="156">
        <v>29.88360892237084</v>
      </c>
      <c r="E22" s="157">
        <v>-70.003018626047691</v>
      </c>
      <c r="F22" s="157">
        <v>93.042955915494986</v>
      </c>
      <c r="G22" s="157">
        <v>103.95993561667426</v>
      </c>
      <c r="H22" s="158">
        <v>38.953096922654105</v>
      </c>
      <c r="I22" s="157">
        <v>39.061644119987612</v>
      </c>
      <c r="J22" s="159">
        <v>39.011761895647439</v>
      </c>
      <c r="K22" s="159">
        <v>38.971668898171487</v>
      </c>
      <c r="L22" s="159">
        <v>39.049200310991523</v>
      </c>
      <c r="M22" s="158">
        <v>38.997656682492938</v>
      </c>
      <c r="N22" s="130"/>
      <c r="O22" s="130"/>
      <c r="P22" s="130"/>
      <c r="Q22" s="130"/>
      <c r="R22" s="130"/>
      <c r="S22" s="130"/>
      <c r="T22" s="130"/>
    </row>
    <row r="23" spans="1:20" s="126" customFormat="1" ht="28.5">
      <c r="A23" s="127"/>
      <c r="B23" s="182" t="s">
        <v>211</v>
      </c>
      <c r="C23" s="146" t="s">
        <v>210</v>
      </c>
      <c r="D23" s="183">
        <v>61.223229983654413</v>
      </c>
      <c r="E23" s="184">
        <v>86.57903988436783</v>
      </c>
      <c r="F23" s="184">
        <v>67.934097110053727</v>
      </c>
      <c r="G23" s="184">
        <v>50.460195454410112</v>
      </c>
      <c r="H23" s="185">
        <v>45.683369752276747</v>
      </c>
      <c r="I23" s="184">
        <v>47.180403308129122</v>
      </c>
      <c r="J23" s="186">
        <v>51.4786451649748</v>
      </c>
      <c r="K23" s="186">
        <v>56.838552167498847</v>
      </c>
      <c r="L23" s="186">
        <v>63.016083580318885</v>
      </c>
      <c r="M23" s="185">
        <v>70.064539951820294</v>
      </c>
      <c r="N23" s="130"/>
      <c r="O23" s="130"/>
      <c r="P23" s="130"/>
      <c r="Q23" s="130"/>
      <c r="R23" s="130"/>
      <c r="S23" s="130"/>
      <c r="T23" s="130"/>
    </row>
    <row r="24" spans="1:20" s="126" customFormat="1" ht="28.5">
      <c r="A24" s="127"/>
      <c r="B24" s="182" t="s">
        <v>212</v>
      </c>
      <c r="C24" s="146" t="s">
        <v>210</v>
      </c>
      <c r="D24" s="183">
        <v>-31.339621061283573</v>
      </c>
      <c r="E24" s="184">
        <v>-35.582058510415521</v>
      </c>
      <c r="F24" s="184">
        <v>-23.691141194558739</v>
      </c>
      <c r="G24" s="184">
        <v>-32.600259837735848</v>
      </c>
      <c r="H24" s="185">
        <v>-34.230272829622642</v>
      </c>
      <c r="I24" s="184">
        <v>-32.518759188141509</v>
      </c>
      <c r="J24" s="186">
        <v>-29.266883269327359</v>
      </c>
      <c r="K24" s="186">
        <v>-29.266883269327359</v>
      </c>
      <c r="L24" s="186">
        <v>-29.266883269327359</v>
      </c>
      <c r="M24" s="185">
        <v>-29.266883269327359</v>
      </c>
      <c r="N24" s="130"/>
      <c r="O24" s="130"/>
      <c r="P24" s="130"/>
      <c r="Q24" s="130"/>
      <c r="R24" s="130"/>
      <c r="S24" s="130"/>
      <c r="T24" s="130"/>
    </row>
    <row r="25" spans="1:20" s="126" customFormat="1" ht="28.5">
      <c r="A25" s="127"/>
      <c r="B25" s="182" t="s">
        <v>213</v>
      </c>
      <c r="C25" s="146" t="s">
        <v>210</v>
      </c>
      <c r="D25" s="183">
        <v>0</v>
      </c>
      <c r="E25" s="184">
        <v>-121</v>
      </c>
      <c r="F25" s="184">
        <v>48.8</v>
      </c>
      <c r="G25" s="184">
        <v>86.1</v>
      </c>
      <c r="H25" s="185">
        <v>27.5</v>
      </c>
      <c r="I25" s="184">
        <v>24.4</v>
      </c>
      <c r="J25" s="186">
        <v>16.8</v>
      </c>
      <c r="K25" s="186">
        <v>11.4</v>
      </c>
      <c r="L25" s="186">
        <v>5.3</v>
      </c>
      <c r="M25" s="185">
        <v>-1.8</v>
      </c>
      <c r="N25" s="130"/>
      <c r="O25" s="130"/>
      <c r="P25" s="130"/>
      <c r="Q25" s="130"/>
      <c r="R25" s="130"/>
      <c r="S25" s="130"/>
      <c r="T25" s="130"/>
    </row>
    <row r="26" spans="1:20" s="126" customFormat="1" ht="15">
      <c r="A26" s="127"/>
      <c r="B26" s="175"/>
      <c r="C26" s="187"/>
      <c r="D26" s="188"/>
      <c r="E26" s="189"/>
      <c r="F26" s="189"/>
      <c r="G26" s="189"/>
      <c r="H26" s="190"/>
      <c r="I26" s="189"/>
      <c r="J26" s="189"/>
      <c r="K26" s="189"/>
      <c r="L26" s="189"/>
      <c r="M26" s="190"/>
      <c r="N26" s="130"/>
      <c r="O26" s="130"/>
      <c r="P26" s="130"/>
      <c r="Q26" s="130"/>
      <c r="R26" s="130"/>
      <c r="S26" s="130"/>
      <c r="T26" s="130"/>
    </row>
    <row r="27" spans="1:20" s="126" customFormat="1" ht="15">
      <c r="A27" s="127"/>
      <c r="B27" s="180" t="s">
        <v>214</v>
      </c>
      <c r="C27" s="146" t="s">
        <v>215</v>
      </c>
      <c r="D27" s="181">
        <v>30104.9</v>
      </c>
      <c r="E27" s="157">
        <v>29508.87294690101</v>
      </c>
      <c r="F27" s="157">
        <v>29665.403522061137</v>
      </c>
      <c r="G27" s="157">
        <v>29133.779123498996</v>
      </c>
      <c r="H27" s="158">
        <v>27786.10373262026</v>
      </c>
      <c r="I27" s="157">
        <v>27637.566456374068</v>
      </c>
      <c r="J27" s="159">
        <v>28143.049712027703</v>
      </c>
      <c r="K27" s="159">
        <v>28347.761310734062</v>
      </c>
      <c r="L27" s="159">
        <v>28504.659507964814</v>
      </c>
      <c r="M27" s="158">
        <v>28539.062081679618</v>
      </c>
      <c r="N27" s="130"/>
      <c r="O27" s="130"/>
      <c r="P27" s="130"/>
      <c r="Q27" s="130"/>
      <c r="R27" s="130"/>
      <c r="S27" s="130"/>
      <c r="T27" s="130"/>
    </row>
    <row r="28" spans="1:20" s="126" customFormat="1" ht="30">
      <c r="A28" s="127"/>
      <c r="B28" s="191" t="s">
        <v>988</v>
      </c>
      <c r="C28" s="146" t="s">
        <v>215</v>
      </c>
      <c r="D28" s="156">
        <v>0</v>
      </c>
      <c r="E28" s="157">
        <v>-596.02705309899238</v>
      </c>
      <c r="F28" s="157">
        <v>156.53057516012572</v>
      </c>
      <c r="G28" s="157">
        <v>-531.62439856214178</v>
      </c>
      <c r="H28" s="158">
        <v>-1347.6753908787359</v>
      </c>
      <c r="I28" s="157">
        <v>-148.53727624619205</v>
      </c>
      <c r="J28" s="159">
        <v>505.48325565363473</v>
      </c>
      <c r="K28" s="159">
        <v>204.71159870635893</v>
      </c>
      <c r="L28" s="159">
        <v>156.89819723075198</v>
      </c>
      <c r="M28" s="158">
        <v>34.402573714804021</v>
      </c>
      <c r="N28" s="130"/>
      <c r="O28" s="130"/>
      <c r="P28" s="130"/>
      <c r="Q28" s="130"/>
      <c r="R28" s="130"/>
      <c r="S28" s="130"/>
      <c r="T28" s="130"/>
    </row>
    <row r="29" spans="1:20" s="126" customFormat="1" ht="28.5">
      <c r="A29" s="127"/>
      <c r="B29" s="192" t="s">
        <v>216</v>
      </c>
      <c r="C29" s="146" t="s">
        <v>215</v>
      </c>
      <c r="D29" s="183">
        <v>0</v>
      </c>
      <c r="E29" s="184">
        <v>-383.7</v>
      </c>
      <c r="F29" s="184">
        <v>204.4</v>
      </c>
      <c r="G29" s="184">
        <v>603.29999999999995</v>
      </c>
      <c r="H29" s="185">
        <v>-364.49012888832817</v>
      </c>
      <c r="I29" s="184">
        <v>-76.965111835070687</v>
      </c>
      <c r="J29" s="186">
        <v>595.75834551226376</v>
      </c>
      <c r="K29" s="186">
        <v>321.99765507629519</v>
      </c>
      <c r="L29" s="186">
        <v>311.59367679810094</v>
      </c>
      <c r="M29" s="185">
        <v>227.41184967661448</v>
      </c>
      <c r="N29" s="130"/>
      <c r="O29" s="130"/>
      <c r="P29" s="130"/>
      <c r="Q29" s="130"/>
      <c r="R29" s="130"/>
      <c r="S29" s="130"/>
      <c r="T29" s="130"/>
    </row>
    <row r="30" spans="1:20" s="126" customFormat="1" ht="28.5">
      <c r="A30" s="127"/>
      <c r="B30" s="192" t="s">
        <v>217</v>
      </c>
      <c r="C30" s="146" t="s">
        <v>215</v>
      </c>
      <c r="D30" s="183">
        <v>0</v>
      </c>
      <c r="E30" s="184">
        <v>-60.209720749855599</v>
      </c>
      <c r="F30" s="184">
        <v>-59.017893965620345</v>
      </c>
      <c r="G30" s="184">
        <v>-59.33072492490443</v>
      </c>
      <c r="H30" s="185">
        <v>-58.267515192878832</v>
      </c>
      <c r="I30" s="184">
        <v>-55.572164411121364</v>
      </c>
      <c r="J30" s="186">
        <v>-55.275089858628981</v>
      </c>
      <c r="K30" s="186">
        <v>-56.286056369936247</v>
      </c>
      <c r="L30" s="186">
        <v>-56.695479567348968</v>
      </c>
      <c r="M30" s="185">
        <v>-57.009275961810467</v>
      </c>
      <c r="N30" s="130"/>
      <c r="O30" s="130"/>
      <c r="P30" s="130"/>
      <c r="Q30" s="130"/>
      <c r="R30" s="130"/>
      <c r="S30" s="130"/>
      <c r="T30" s="130"/>
    </row>
    <row r="31" spans="1:20" s="126" customFormat="1" ht="14.25">
      <c r="A31" s="127"/>
      <c r="B31" s="192" t="s">
        <v>218</v>
      </c>
      <c r="C31" s="146" t="s">
        <v>215</v>
      </c>
      <c r="D31" s="183">
        <v>0</v>
      </c>
      <c r="E31" s="184">
        <v>0</v>
      </c>
      <c r="F31" s="184">
        <v>0</v>
      </c>
      <c r="G31" s="184">
        <v>0</v>
      </c>
      <c r="H31" s="185">
        <v>-1</v>
      </c>
      <c r="I31" s="184">
        <v>-16</v>
      </c>
      <c r="J31" s="186">
        <v>-35</v>
      </c>
      <c r="K31" s="186">
        <v>-61</v>
      </c>
      <c r="L31" s="186">
        <v>-98</v>
      </c>
      <c r="M31" s="185">
        <v>-136</v>
      </c>
      <c r="N31" s="130"/>
      <c r="O31" s="130"/>
      <c r="P31" s="130"/>
      <c r="Q31" s="130"/>
      <c r="R31" s="130"/>
      <c r="S31" s="130"/>
      <c r="T31" s="130"/>
    </row>
    <row r="32" spans="1:20" s="126" customFormat="1" ht="14.25">
      <c r="A32" s="127"/>
      <c r="B32" s="192" t="s">
        <v>219</v>
      </c>
      <c r="C32" s="146" t="s">
        <v>215</v>
      </c>
      <c r="D32" s="183">
        <v>0</v>
      </c>
      <c r="E32" s="184">
        <v>0</v>
      </c>
      <c r="F32" s="184">
        <v>0</v>
      </c>
      <c r="G32" s="184">
        <v>0</v>
      </c>
      <c r="H32" s="185">
        <v>0</v>
      </c>
      <c r="I32" s="184">
        <v>0</v>
      </c>
      <c r="J32" s="186">
        <v>0</v>
      </c>
      <c r="K32" s="186">
        <v>0</v>
      </c>
      <c r="L32" s="186">
        <v>0</v>
      </c>
      <c r="M32" s="185">
        <v>0</v>
      </c>
      <c r="N32" s="130"/>
      <c r="O32" s="130"/>
      <c r="P32" s="130"/>
      <c r="Q32" s="130"/>
      <c r="R32" s="130"/>
      <c r="S32" s="130"/>
      <c r="T32" s="130"/>
    </row>
    <row r="33" spans="1:20" s="126" customFormat="1" ht="14.25">
      <c r="A33" s="127"/>
      <c r="B33" s="192" t="s">
        <v>220</v>
      </c>
      <c r="C33" s="146" t="s">
        <v>215</v>
      </c>
      <c r="D33" s="183">
        <v>0</v>
      </c>
      <c r="E33" s="184">
        <v>-152.11733234913683</v>
      </c>
      <c r="F33" s="184">
        <v>11.14846912574607</v>
      </c>
      <c r="G33" s="184">
        <v>-176.78738964835989</v>
      </c>
      <c r="H33" s="185">
        <v>0</v>
      </c>
      <c r="I33" s="184">
        <v>0</v>
      </c>
      <c r="J33" s="186">
        <v>0</v>
      </c>
      <c r="K33" s="186">
        <v>0</v>
      </c>
      <c r="L33" s="186">
        <v>0</v>
      </c>
      <c r="M33" s="185">
        <v>0</v>
      </c>
      <c r="N33" s="130"/>
      <c r="O33" s="130"/>
      <c r="P33" s="130"/>
      <c r="Q33" s="130"/>
      <c r="R33" s="130"/>
      <c r="S33" s="130"/>
      <c r="T33" s="130"/>
    </row>
    <row r="34" spans="1:20" s="126" customFormat="1" ht="28.5">
      <c r="A34" s="127"/>
      <c r="B34" s="192" t="s">
        <v>221</v>
      </c>
      <c r="C34" s="146" t="s">
        <v>215</v>
      </c>
      <c r="D34" s="183">
        <v>0</v>
      </c>
      <c r="E34" s="184">
        <v>0</v>
      </c>
      <c r="F34" s="184">
        <v>0</v>
      </c>
      <c r="G34" s="184">
        <v>-898.80628398887745</v>
      </c>
      <c r="H34" s="185">
        <v>-923.91774679752893</v>
      </c>
      <c r="I34" s="184">
        <v>0</v>
      </c>
      <c r="J34" s="186">
        <v>0</v>
      </c>
      <c r="K34" s="186">
        <v>0</v>
      </c>
      <c r="L34" s="186">
        <v>0</v>
      </c>
      <c r="M34" s="185">
        <v>0</v>
      </c>
      <c r="N34" s="130"/>
      <c r="O34" s="130"/>
      <c r="P34" s="130"/>
      <c r="Q34" s="130"/>
      <c r="R34" s="130"/>
      <c r="S34" s="130"/>
      <c r="T34" s="130"/>
    </row>
    <row r="35" spans="1:20" s="126" customFormat="1" ht="15">
      <c r="A35" s="127"/>
      <c r="B35" s="175"/>
      <c r="C35" s="187"/>
      <c r="D35" s="193"/>
      <c r="E35" s="194"/>
      <c r="F35" s="194"/>
      <c r="G35" s="194"/>
      <c r="H35" s="195"/>
      <c r="I35" s="194"/>
      <c r="J35" s="194"/>
      <c r="K35" s="194"/>
      <c r="L35" s="194"/>
      <c r="M35" s="195"/>
      <c r="N35" s="130"/>
      <c r="O35" s="130"/>
      <c r="P35" s="130"/>
      <c r="Q35" s="130"/>
      <c r="R35" s="130"/>
      <c r="S35" s="130"/>
      <c r="T35" s="130"/>
    </row>
    <row r="36" spans="1:20" s="126" customFormat="1" ht="15">
      <c r="A36" s="127"/>
      <c r="B36" s="180" t="s">
        <v>214</v>
      </c>
      <c r="C36" s="146"/>
      <c r="D36" s="196"/>
      <c r="E36" s="197"/>
      <c r="F36" s="197"/>
      <c r="G36" s="197"/>
      <c r="H36" s="198"/>
      <c r="I36" s="197"/>
      <c r="J36" s="197"/>
      <c r="K36" s="197"/>
      <c r="L36" s="197"/>
      <c r="M36" s="198"/>
      <c r="N36" s="130"/>
      <c r="O36" s="130"/>
      <c r="P36" s="130"/>
      <c r="Q36" s="130"/>
      <c r="R36" s="130"/>
      <c r="S36" s="130"/>
      <c r="T36" s="130"/>
    </row>
    <row r="37" spans="1:20" s="126" customFormat="1" ht="14.25">
      <c r="A37" s="127"/>
      <c r="B37" s="182" t="s">
        <v>222</v>
      </c>
      <c r="C37" s="146" t="s">
        <v>215</v>
      </c>
      <c r="D37" s="183">
        <v>19523.266459129649</v>
      </c>
      <c r="E37" s="184">
        <v>19016.929435043203</v>
      </c>
      <c r="F37" s="184">
        <v>19286.227944554696</v>
      </c>
      <c r="G37" s="184">
        <v>19229.074695564028</v>
      </c>
      <c r="H37" s="185">
        <v>18354.625369378955</v>
      </c>
      <c r="I37" s="184">
        <v>18249.277296070482</v>
      </c>
      <c r="J37" s="186">
        <v>18625.949514491527</v>
      </c>
      <c r="K37" s="186">
        <v>18839.156840147247</v>
      </c>
      <c r="L37" s="186">
        <v>18968.934447947027</v>
      </c>
      <c r="M37" s="185">
        <v>19043.032656457795</v>
      </c>
      <c r="N37" s="130"/>
      <c r="O37" s="130"/>
      <c r="P37" s="130"/>
      <c r="Q37" s="130"/>
      <c r="R37" s="130"/>
      <c r="S37" s="130"/>
      <c r="T37" s="130"/>
    </row>
    <row r="38" spans="1:20" s="126" customFormat="1" ht="14.25">
      <c r="A38" s="127"/>
      <c r="B38" s="182" t="s">
        <v>223</v>
      </c>
      <c r="C38" s="146" t="s">
        <v>215</v>
      </c>
      <c r="D38" s="183">
        <v>9858.5454833604635</v>
      </c>
      <c r="E38" s="184">
        <v>9824.4309793401699</v>
      </c>
      <c r="F38" s="184">
        <v>9669.4932603255311</v>
      </c>
      <c r="G38" s="184">
        <v>9284.365647030776</v>
      </c>
      <c r="H38" s="185">
        <v>8814.1175596317244</v>
      </c>
      <c r="I38" s="184">
        <v>8770.9283566940048</v>
      </c>
      <c r="J38" s="186">
        <v>8899.7393939265985</v>
      </c>
      <c r="K38" s="186">
        <v>8891.2436669772342</v>
      </c>
      <c r="L38" s="186">
        <v>8918.3642564082056</v>
      </c>
      <c r="M38" s="185">
        <v>8878.6686216122453</v>
      </c>
      <c r="N38" s="130"/>
      <c r="O38" s="130"/>
      <c r="P38" s="130"/>
      <c r="Q38" s="130"/>
      <c r="R38" s="130"/>
      <c r="S38" s="130"/>
      <c r="T38" s="130"/>
    </row>
    <row r="39" spans="1:20" s="126" customFormat="1" ht="14.25">
      <c r="A39" s="127"/>
      <c r="B39" s="182" t="s">
        <v>224</v>
      </c>
      <c r="C39" s="146" t="s">
        <v>215</v>
      </c>
      <c r="D39" s="183">
        <v>723.04843243768596</v>
      </c>
      <c r="E39" s="184">
        <v>667.58656842679875</v>
      </c>
      <c r="F39" s="184">
        <v>709.64125757199179</v>
      </c>
      <c r="G39" s="184">
        <v>620.31725384461356</v>
      </c>
      <c r="H39" s="185">
        <v>617.33927655000002</v>
      </c>
      <c r="I39" s="184">
        <v>617.33927655000002</v>
      </c>
      <c r="J39" s="186">
        <v>617.33927655000002</v>
      </c>
      <c r="K39" s="186">
        <v>617.33927655000002</v>
      </c>
      <c r="L39" s="186">
        <v>617.33927655000002</v>
      </c>
      <c r="M39" s="185">
        <v>617.33927655000002</v>
      </c>
      <c r="N39" s="130"/>
      <c r="O39" s="130"/>
      <c r="P39" s="130"/>
      <c r="Q39" s="130"/>
      <c r="R39" s="130"/>
      <c r="S39" s="130"/>
      <c r="T39" s="130"/>
    </row>
    <row r="40" spans="1:20" s="126" customFormat="1" ht="15">
      <c r="A40" s="127"/>
      <c r="B40" s="180" t="s">
        <v>225</v>
      </c>
      <c r="C40" s="146" t="s">
        <v>215</v>
      </c>
      <c r="D40" s="161">
        <v>30104.860374927797</v>
      </c>
      <c r="E40" s="164">
        <v>29508.946982810172</v>
      </c>
      <c r="F40" s="164">
        <v>29665.362462452216</v>
      </c>
      <c r="G40" s="164">
        <v>29133.757596439416</v>
      </c>
      <c r="H40" s="163">
        <v>27786.08220556068</v>
      </c>
      <c r="I40" s="164">
        <v>27637.544929314488</v>
      </c>
      <c r="J40" s="162">
        <v>28143.028184968123</v>
      </c>
      <c r="K40" s="162">
        <v>28347.739783674482</v>
      </c>
      <c r="L40" s="162">
        <v>28504.637980905234</v>
      </c>
      <c r="M40" s="163">
        <v>28539.040554620038</v>
      </c>
      <c r="N40" s="130"/>
      <c r="O40" s="130"/>
      <c r="P40" s="130"/>
      <c r="Q40" s="130"/>
      <c r="R40" s="130"/>
      <c r="S40" s="130"/>
      <c r="T40" s="130"/>
    </row>
    <row r="41" spans="1:20" s="126" customFormat="1" ht="15">
      <c r="A41" s="127"/>
      <c r="B41" s="191"/>
      <c r="C41" s="146"/>
      <c r="D41" s="188"/>
      <c r="E41" s="189"/>
      <c r="F41" s="189"/>
      <c r="G41" s="189"/>
      <c r="H41" s="190"/>
      <c r="I41" s="189"/>
      <c r="J41" s="189"/>
      <c r="K41" s="189"/>
      <c r="L41" s="189"/>
      <c r="M41" s="190"/>
      <c r="N41" s="130"/>
      <c r="O41" s="130"/>
      <c r="P41" s="130"/>
      <c r="Q41" s="130"/>
      <c r="R41" s="130"/>
      <c r="S41" s="130"/>
      <c r="T41" s="130"/>
    </row>
    <row r="42" spans="1:20" s="126" customFormat="1" ht="45">
      <c r="A42" s="127"/>
      <c r="B42" s="191" t="s">
        <v>226</v>
      </c>
      <c r="C42" s="146"/>
      <c r="D42" s="196"/>
      <c r="E42" s="197"/>
      <c r="F42" s="197"/>
      <c r="G42" s="197"/>
      <c r="H42" s="198"/>
      <c r="I42" s="197"/>
      <c r="J42" s="197"/>
      <c r="K42" s="197"/>
      <c r="L42" s="197"/>
      <c r="M42" s="198"/>
      <c r="N42" s="130"/>
      <c r="O42" s="130"/>
      <c r="P42" s="130"/>
      <c r="Q42" s="130"/>
      <c r="R42" s="130"/>
      <c r="S42" s="130"/>
      <c r="T42" s="130"/>
    </row>
    <row r="43" spans="1:20" s="126" customFormat="1" ht="14.25">
      <c r="A43" s="127"/>
      <c r="B43" s="182" t="s">
        <v>222</v>
      </c>
      <c r="C43" s="146" t="s">
        <v>227</v>
      </c>
      <c r="D43" s="183">
        <v>203209.96209810363</v>
      </c>
      <c r="E43" s="184">
        <v>253590.32384568275</v>
      </c>
      <c r="F43" s="184">
        <v>247138.81248500801</v>
      </c>
      <c r="G43" s="184">
        <v>162407.16110561299</v>
      </c>
      <c r="H43" s="185">
        <v>149722.57225309103</v>
      </c>
      <c r="I43" s="184">
        <v>153294.52527383162</v>
      </c>
      <c r="J43" s="186">
        <v>166488.8696913333</v>
      </c>
      <c r="K43" s="186">
        <v>183276.66213915555</v>
      </c>
      <c r="L43" s="186">
        <v>202079.72137829248</v>
      </c>
      <c r="M43" s="185">
        <v>223108.77229215583</v>
      </c>
      <c r="N43" s="130"/>
      <c r="O43" s="130"/>
      <c r="P43" s="130"/>
      <c r="Q43" s="130"/>
      <c r="R43" s="130"/>
      <c r="S43" s="130"/>
      <c r="T43" s="130"/>
    </row>
    <row r="44" spans="1:20" s="126" customFormat="1" ht="14.25">
      <c r="A44" s="127"/>
      <c r="B44" s="182" t="s">
        <v>223</v>
      </c>
      <c r="C44" s="146" t="s">
        <v>227</v>
      </c>
      <c r="D44" s="183">
        <v>196300.37897250504</v>
      </c>
      <c r="E44" s="184">
        <v>316771.32806155022</v>
      </c>
      <c r="F44" s="184">
        <v>192019.68535005167</v>
      </c>
      <c r="G44" s="184">
        <v>167619.73170206739</v>
      </c>
      <c r="H44" s="185">
        <v>148778.564486669</v>
      </c>
      <c r="I44" s="184">
        <v>155157.10374795471</v>
      </c>
      <c r="J44" s="186">
        <v>170132.01575159584</v>
      </c>
      <c r="K44" s="186">
        <v>188455.3599958031</v>
      </c>
      <c r="L44" s="186">
        <v>210209.41272066924</v>
      </c>
      <c r="M44" s="185">
        <v>235525.00613990793</v>
      </c>
      <c r="N44" s="130"/>
      <c r="O44" s="130"/>
      <c r="P44" s="130"/>
      <c r="Q44" s="130"/>
      <c r="R44" s="130"/>
      <c r="S44" s="130"/>
      <c r="T44" s="130"/>
    </row>
    <row r="45" spans="1:20" s="126" customFormat="1" ht="14.25">
      <c r="A45" s="127"/>
      <c r="B45" s="182" t="s">
        <v>224</v>
      </c>
      <c r="C45" s="146" t="s">
        <v>227</v>
      </c>
      <c r="D45" s="183">
        <v>0</v>
      </c>
      <c r="E45" s="184">
        <v>0</v>
      </c>
      <c r="F45" s="184">
        <v>0</v>
      </c>
      <c r="G45" s="184">
        <v>0</v>
      </c>
      <c r="H45" s="185">
        <v>0</v>
      </c>
      <c r="I45" s="184">
        <v>0</v>
      </c>
      <c r="J45" s="186">
        <v>0</v>
      </c>
      <c r="K45" s="186">
        <v>0</v>
      </c>
      <c r="L45" s="186">
        <v>0</v>
      </c>
      <c r="M45" s="185">
        <v>0</v>
      </c>
      <c r="N45" s="130"/>
      <c r="O45" s="130"/>
      <c r="P45" s="130"/>
      <c r="Q45" s="130"/>
      <c r="R45" s="130"/>
      <c r="S45" s="130"/>
      <c r="T45" s="130"/>
    </row>
    <row r="46" spans="1:20" s="126" customFormat="1" ht="30.75" thickBot="1">
      <c r="A46" s="127"/>
      <c r="B46" s="199" t="s">
        <v>228</v>
      </c>
      <c r="C46" s="166" t="s">
        <v>227</v>
      </c>
      <c r="D46" s="167">
        <v>399510.3410706087</v>
      </c>
      <c r="E46" s="170">
        <v>570361.65190723294</v>
      </c>
      <c r="F46" s="170">
        <v>439158.49783505965</v>
      </c>
      <c r="G46" s="170">
        <v>330026.89280768041</v>
      </c>
      <c r="H46" s="169">
        <v>298501.13673976006</v>
      </c>
      <c r="I46" s="170">
        <v>308451.62902178633</v>
      </c>
      <c r="J46" s="168">
        <v>336620.88544292911</v>
      </c>
      <c r="K46" s="168">
        <v>371732.02213495865</v>
      </c>
      <c r="L46" s="168">
        <v>412289.13409896172</v>
      </c>
      <c r="M46" s="169">
        <v>458633.77843206376</v>
      </c>
      <c r="N46" s="200"/>
      <c r="O46" s="130"/>
      <c r="P46" s="130"/>
      <c r="Q46" s="130"/>
      <c r="R46" s="130"/>
      <c r="S46" s="130"/>
      <c r="T46" s="130"/>
    </row>
    <row r="47" spans="1:20" s="126" customFormat="1" ht="14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</row>
    <row r="48" spans="1:20" s="126" customFormat="1" ht="14.25">
      <c r="A48" s="127"/>
      <c r="B48" s="127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  <c r="O48" s="130"/>
      <c r="P48" s="130"/>
      <c r="Q48" s="130"/>
      <c r="R48" s="130"/>
      <c r="S48" s="130"/>
      <c r="T48" s="130"/>
    </row>
    <row r="49" spans="1:20" s="126" customFormat="1" ht="15">
      <c r="A49" s="127"/>
      <c r="B49" s="128" t="s">
        <v>229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30"/>
      <c r="O49" s="130"/>
      <c r="P49" s="130"/>
      <c r="Q49" s="130"/>
      <c r="R49" s="130"/>
      <c r="S49" s="130"/>
      <c r="T49" s="130"/>
    </row>
    <row r="50" spans="1:20" s="126" customFormat="1" ht="15.75" thickBot="1">
      <c r="A50" s="127"/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30"/>
      <c r="O50" s="130"/>
      <c r="P50" s="130"/>
      <c r="Q50" s="130"/>
      <c r="R50" s="130"/>
      <c r="S50" s="130"/>
      <c r="T50" s="130"/>
    </row>
    <row r="51" spans="1:20" s="126" customFormat="1" ht="15">
      <c r="A51" s="127"/>
      <c r="B51" s="1501"/>
      <c r="C51" s="1503" t="s">
        <v>190</v>
      </c>
      <c r="D51" s="131" t="s">
        <v>191</v>
      </c>
      <c r="E51" s="132"/>
      <c r="F51" s="132"/>
      <c r="G51" s="132"/>
      <c r="H51" s="133"/>
      <c r="I51" s="132" t="s">
        <v>192</v>
      </c>
      <c r="J51" s="134"/>
      <c r="K51" s="134"/>
      <c r="L51" s="134"/>
      <c r="M51" s="133"/>
      <c r="N51" s="130"/>
      <c r="O51" s="130"/>
      <c r="P51" s="130"/>
      <c r="Q51" s="130"/>
      <c r="R51" s="130"/>
      <c r="S51" s="130"/>
      <c r="T51" s="130"/>
    </row>
    <row r="52" spans="1:20" s="126" customFormat="1" ht="15">
      <c r="A52" s="127"/>
      <c r="B52" s="1502"/>
      <c r="C52" s="1504"/>
      <c r="D52" s="138" t="s">
        <v>79</v>
      </c>
      <c r="E52" s="139" t="s">
        <v>80</v>
      </c>
      <c r="F52" s="139" t="s">
        <v>81</v>
      </c>
      <c r="G52" s="139" t="s">
        <v>82</v>
      </c>
      <c r="H52" s="140" t="s">
        <v>44</v>
      </c>
      <c r="I52" s="141" t="s">
        <v>193</v>
      </c>
      <c r="J52" s="139" t="s">
        <v>194</v>
      </c>
      <c r="K52" s="139" t="s">
        <v>195</v>
      </c>
      <c r="L52" s="139" t="s">
        <v>196</v>
      </c>
      <c r="M52" s="140" t="s">
        <v>197</v>
      </c>
      <c r="N52" s="130"/>
      <c r="O52" s="130"/>
      <c r="P52" s="130"/>
      <c r="Q52" s="130"/>
      <c r="R52" s="130"/>
      <c r="S52" s="130"/>
      <c r="T52" s="130"/>
    </row>
    <row r="53" spans="1:20" s="126" customFormat="1" ht="15">
      <c r="A53" s="127"/>
      <c r="B53" s="201" t="s">
        <v>230</v>
      </c>
      <c r="C53" s="202"/>
      <c r="D53" s="203"/>
      <c r="E53" s="204"/>
      <c r="F53" s="204"/>
      <c r="G53" s="204"/>
      <c r="H53" s="205"/>
      <c r="I53" s="206"/>
      <c r="J53" s="206"/>
      <c r="K53" s="206"/>
      <c r="L53" s="206"/>
      <c r="M53" s="207"/>
      <c r="N53" s="208"/>
      <c r="O53" s="130"/>
      <c r="P53" s="130"/>
      <c r="Q53" s="130"/>
      <c r="R53" s="130"/>
      <c r="S53" s="130"/>
      <c r="T53" s="130"/>
    </row>
    <row r="54" spans="1:20" s="126" customFormat="1" ht="30">
      <c r="A54" s="127"/>
      <c r="B54" s="180" t="s">
        <v>231</v>
      </c>
      <c r="C54" s="209"/>
      <c r="D54" s="210"/>
      <c r="E54" s="211"/>
      <c r="F54" s="211"/>
      <c r="G54" s="211"/>
      <c r="H54" s="212"/>
      <c r="I54" s="213"/>
      <c r="J54" s="213"/>
      <c r="K54" s="213"/>
      <c r="L54" s="213"/>
      <c r="M54" s="214"/>
      <c r="N54" s="208"/>
      <c r="O54" s="130"/>
      <c r="P54" s="130"/>
      <c r="Q54" s="130"/>
      <c r="R54" s="130"/>
      <c r="S54" s="130"/>
      <c r="T54" s="130"/>
    </row>
    <row r="55" spans="1:20" s="126" customFormat="1" ht="14.25">
      <c r="A55" s="127"/>
      <c r="B55" s="182" t="s">
        <v>232</v>
      </c>
      <c r="C55" s="209" t="s">
        <v>233</v>
      </c>
      <c r="D55" s="215">
        <v>2</v>
      </c>
      <c r="E55" s="216">
        <v>2</v>
      </c>
      <c r="F55" s="216">
        <v>4</v>
      </c>
      <c r="G55" s="216">
        <v>3.6</v>
      </c>
      <c r="H55" s="217">
        <v>3.2</v>
      </c>
      <c r="I55" s="216">
        <v>3.4</v>
      </c>
      <c r="J55" s="218">
        <v>3.7</v>
      </c>
      <c r="K55" s="218">
        <v>4.2</v>
      </c>
      <c r="L55" s="218">
        <v>4.7</v>
      </c>
      <c r="M55" s="217">
        <v>5.3</v>
      </c>
      <c r="N55" s="130"/>
      <c r="O55" s="130"/>
      <c r="P55" s="130"/>
      <c r="Q55" s="130"/>
      <c r="R55" s="130"/>
      <c r="S55" s="130"/>
      <c r="T55" s="130"/>
    </row>
    <row r="56" spans="1:20" s="126" customFormat="1" ht="14.25">
      <c r="A56" s="127"/>
      <c r="B56" s="182" t="s">
        <v>234</v>
      </c>
      <c r="C56" s="209" t="s">
        <v>233</v>
      </c>
      <c r="D56" s="215">
        <v>34184</v>
      </c>
      <c r="E56" s="216">
        <v>34314.800000000003</v>
      </c>
      <c r="F56" s="216">
        <v>33331</v>
      </c>
      <c r="G56" s="216">
        <v>27899.8</v>
      </c>
      <c r="H56" s="217">
        <v>28372.2</v>
      </c>
      <c r="I56" s="216">
        <v>30153.7</v>
      </c>
      <c r="J56" s="218">
        <v>31706.1</v>
      </c>
      <c r="K56" s="218">
        <v>34216.199999999997</v>
      </c>
      <c r="L56" s="218">
        <v>36957.800000000003</v>
      </c>
      <c r="M56" s="217">
        <v>39945.800000000003</v>
      </c>
      <c r="N56" s="130"/>
      <c r="O56" s="130"/>
      <c r="P56" s="130"/>
      <c r="Q56" s="130"/>
      <c r="R56" s="130"/>
      <c r="S56" s="130"/>
      <c r="T56" s="130"/>
    </row>
    <row r="57" spans="1:20" s="126" customFormat="1" ht="14.25">
      <c r="A57" s="127"/>
      <c r="B57" s="182" t="s">
        <v>235</v>
      </c>
      <c r="C57" s="209" t="s">
        <v>233</v>
      </c>
      <c r="D57" s="215">
        <v>9236.7000000000007</v>
      </c>
      <c r="E57" s="216">
        <v>10487.1</v>
      </c>
      <c r="F57" s="216">
        <v>6982.5</v>
      </c>
      <c r="G57" s="216">
        <v>9608.2000000000007</v>
      </c>
      <c r="H57" s="217">
        <v>10088.700000000001</v>
      </c>
      <c r="I57" s="216">
        <v>9584.2000000000007</v>
      </c>
      <c r="J57" s="218">
        <v>8625.7999999999993</v>
      </c>
      <c r="K57" s="218">
        <v>8625.7999999999993</v>
      </c>
      <c r="L57" s="218">
        <v>8625.7999999999993</v>
      </c>
      <c r="M57" s="217">
        <v>8625.7999999999993</v>
      </c>
      <c r="N57" s="130"/>
      <c r="O57" s="130"/>
      <c r="P57" s="130"/>
      <c r="Q57" s="130"/>
      <c r="R57" s="130"/>
      <c r="S57" s="130"/>
      <c r="T57" s="130"/>
    </row>
    <row r="58" spans="1:20" s="126" customFormat="1" ht="30">
      <c r="A58" s="127"/>
      <c r="B58" s="180" t="s">
        <v>236</v>
      </c>
      <c r="C58" s="209"/>
      <c r="D58" s="219"/>
      <c r="E58" s="220"/>
      <c r="F58" s="220"/>
      <c r="G58" s="220"/>
      <c r="H58" s="221"/>
      <c r="I58" s="222"/>
      <c r="J58" s="222"/>
      <c r="K58" s="222"/>
      <c r="L58" s="222"/>
      <c r="M58" s="223"/>
      <c r="N58" s="208"/>
      <c r="O58" s="130"/>
      <c r="P58" s="130"/>
      <c r="Q58" s="130"/>
      <c r="R58" s="130"/>
      <c r="S58" s="130"/>
      <c r="T58" s="130"/>
    </row>
    <row r="59" spans="1:20" s="126" customFormat="1" ht="14.25">
      <c r="A59" s="127"/>
      <c r="B59" s="182" t="s">
        <v>232</v>
      </c>
      <c r="C59" s="209" t="s">
        <v>233</v>
      </c>
      <c r="D59" s="215">
        <v>0</v>
      </c>
      <c r="E59" s="216">
        <v>6</v>
      </c>
      <c r="F59" s="216">
        <v>10</v>
      </c>
      <c r="G59" s="216">
        <v>9</v>
      </c>
      <c r="H59" s="217">
        <v>8.1</v>
      </c>
      <c r="I59" s="216">
        <v>8.5</v>
      </c>
      <c r="J59" s="218">
        <v>9.4</v>
      </c>
      <c r="K59" s="218">
        <v>10.4</v>
      </c>
      <c r="L59" s="218">
        <v>11.6</v>
      </c>
      <c r="M59" s="217">
        <v>13.1</v>
      </c>
      <c r="N59" s="130"/>
      <c r="O59" s="130"/>
      <c r="P59" s="130"/>
      <c r="Q59" s="130"/>
      <c r="R59" s="130"/>
      <c r="S59" s="130"/>
      <c r="T59" s="130"/>
    </row>
    <row r="60" spans="1:20" s="126" customFormat="1" ht="14.25">
      <c r="A60" s="127"/>
      <c r="B60" s="182" t="s">
        <v>234</v>
      </c>
      <c r="C60" s="209" t="s">
        <v>233</v>
      </c>
      <c r="D60" s="215">
        <v>81</v>
      </c>
      <c r="E60" s="216">
        <v>396</v>
      </c>
      <c r="F60" s="216">
        <v>196</v>
      </c>
      <c r="G60" s="216">
        <v>174.7</v>
      </c>
      <c r="H60" s="217">
        <v>156.6</v>
      </c>
      <c r="I60" s="216">
        <v>164</v>
      </c>
      <c r="J60" s="218">
        <v>180.3</v>
      </c>
      <c r="K60" s="218">
        <v>200</v>
      </c>
      <c r="L60" s="218">
        <v>223.7</v>
      </c>
      <c r="M60" s="217">
        <v>252.1</v>
      </c>
      <c r="N60" s="130"/>
      <c r="O60" s="130"/>
      <c r="P60" s="130"/>
      <c r="Q60" s="130"/>
      <c r="R60" s="130"/>
      <c r="S60" s="130"/>
      <c r="T60" s="130"/>
    </row>
    <row r="61" spans="1:20" s="126" customFormat="1" ht="14.25">
      <c r="A61" s="127"/>
      <c r="B61" s="182" t="s">
        <v>235</v>
      </c>
      <c r="C61" s="209" t="s">
        <v>233</v>
      </c>
      <c r="D61" s="215">
        <v>93.3</v>
      </c>
      <c r="E61" s="216">
        <v>105.9</v>
      </c>
      <c r="F61" s="216">
        <v>70.5</v>
      </c>
      <c r="G61" s="216">
        <v>97.1</v>
      </c>
      <c r="H61" s="217">
        <v>101.9</v>
      </c>
      <c r="I61" s="216">
        <v>96.8</v>
      </c>
      <c r="J61" s="218">
        <v>87.1</v>
      </c>
      <c r="K61" s="218">
        <v>87.1</v>
      </c>
      <c r="L61" s="218">
        <v>87.1</v>
      </c>
      <c r="M61" s="217">
        <v>87.1</v>
      </c>
      <c r="N61" s="130"/>
      <c r="O61" s="130"/>
      <c r="P61" s="130"/>
      <c r="Q61" s="130"/>
      <c r="R61" s="130"/>
      <c r="S61" s="130"/>
      <c r="T61" s="130"/>
    </row>
    <row r="62" spans="1:20" s="126" customFormat="1" ht="30">
      <c r="A62" s="127"/>
      <c r="B62" s="180" t="s">
        <v>237</v>
      </c>
      <c r="C62" s="209"/>
      <c r="D62" s="219"/>
      <c r="E62" s="220"/>
      <c r="F62" s="220"/>
      <c r="G62" s="220"/>
      <c r="H62" s="221"/>
      <c r="I62" s="222"/>
      <c r="J62" s="222"/>
      <c r="K62" s="222"/>
      <c r="L62" s="222"/>
      <c r="M62" s="223"/>
      <c r="N62" s="208"/>
      <c r="O62" s="130"/>
      <c r="P62" s="130"/>
      <c r="Q62" s="130"/>
      <c r="R62" s="130"/>
      <c r="S62" s="130"/>
      <c r="T62" s="130"/>
    </row>
    <row r="63" spans="1:20" s="126" customFormat="1" ht="14.25">
      <c r="A63" s="127"/>
      <c r="B63" s="182" t="s">
        <v>232</v>
      </c>
      <c r="C63" s="209" t="s">
        <v>233</v>
      </c>
      <c r="D63" s="215">
        <v>0</v>
      </c>
      <c r="E63" s="216">
        <v>0</v>
      </c>
      <c r="F63" s="216">
        <v>0</v>
      </c>
      <c r="G63" s="216">
        <v>0</v>
      </c>
      <c r="H63" s="217">
        <v>0</v>
      </c>
      <c r="I63" s="216">
        <v>0</v>
      </c>
      <c r="J63" s="218">
        <v>0</v>
      </c>
      <c r="K63" s="218">
        <v>0</v>
      </c>
      <c r="L63" s="218">
        <v>0</v>
      </c>
      <c r="M63" s="217">
        <v>0</v>
      </c>
      <c r="N63" s="130"/>
      <c r="O63" s="130"/>
      <c r="P63" s="130"/>
      <c r="Q63" s="130"/>
      <c r="R63" s="130"/>
      <c r="S63" s="130"/>
      <c r="T63" s="130"/>
    </row>
    <row r="64" spans="1:20" s="126" customFormat="1" ht="14.25">
      <c r="A64" s="127"/>
      <c r="B64" s="182" t="s">
        <v>234</v>
      </c>
      <c r="C64" s="209" t="s">
        <v>233</v>
      </c>
      <c r="D64" s="215">
        <v>0</v>
      </c>
      <c r="E64" s="216">
        <v>0</v>
      </c>
      <c r="F64" s="216">
        <v>0</v>
      </c>
      <c r="G64" s="216">
        <v>0</v>
      </c>
      <c r="H64" s="217">
        <v>0</v>
      </c>
      <c r="I64" s="216">
        <v>0</v>
      </c>
      <c r="J64" s="218">
        <v>0</v>
      </c>
      <c r="K64" s="218">
        <v>0</v>
      </c>
      <c r="L64" s="218">
        <v>0</v>
      </c>
      <c r="M64" s="217">
        <v>0</v>
      </c>
      <c r="N64" s="130"/>
      <c r="O64" s="130"/>
      <c r="P64" s="130"/>
      <c r="Q64" s="130"/>
      <c r="R64" s="130"/>
      <c r="S64" s="130"/>
      <c r="T64" s="130"/>
    </row>
    <row r="65" spans="1:20" s="126" customFormat="1" ht="14.25">
      <c r="A65" s="127"/>
      <c r="B65" s="182" t="s">
        <v>235</v>
      </c>
      <c r="C65" s="209" t="s">
        <v>233</v>
      </c>
      <c r="D65" s="215">
        <v>0</v>
      </c>
      <c r="E65" s="216">
        <v>0</v>
      </c>
      <c r="F65" s="216">
        <v>0</v>
      </c>
      <c r="G65" s="216">
        <v>0</v>
      </c>
      <c r="H65" s="217">
        <v>0</v>
      </c>
      <c r="I65" s="216">
        <v>0</v>
      </c>
      <c r="J65" s="218">
        <v>0</v>
      </c>
      <c r="K65" s="218">
        <v>0</v>
      </c>
      <c r="L65" s="218">
        <v>0</v>
      </c>
      <c r="M65" s="217">
        <v>0</v>
      </c>
      <c r="N65" s="130"/>
      <c r="O65" s="130"/>
      <c r="P65" s="130"/>
      <c r="Q65" s="130"/>
      <c r="R65" s="130"/>
      <c r="S65" s="130"/>
      <c r="T65" s="130"/>
    </row>
    <row r="66" spans="1:20" s="126" customFormat="1" ht="30">
      <c r="A66" s="127"/>
      <c r="B66" s="180" t="s">
        <v>238</v>
      </c>
      <c r="C66" s="209"/>
      <c r="D66" s="219"/>
      <c r="E66" s="220"/>
      <c r="F66" s="220"/>
      <c r="G66" s="220"/>
      <c r="H66" s="221"/>
      <c r="I66" s="222"/>
      <c r="J66" s="222"/>
      <c r="K66" s="222"/>
      <c r="L66" s="222"/>
      <c r="M66" s="223"/>
      <c r="N66" s="208"/>
      <c r="O66" s="130"/>
      <c r="P66" s="130"/>
      <c r="Q66" s="130"/>
      <c r="R66" s="130"/>
      <c r="S66" s="130"/>
      <c r="T66" s="130"/>
    </row>
    <row r="67" spans="1:20" s="126" customFormat="1" ht="14.25">
      <c r="A67" s="127"/>
      <c r="B67" s="224" t="s">
        <v>232</v>
      </c>
      <c r="C67" s="209" t="s">
        <v>233</v>
      </c>
      <c r="D67" s="225">
        <v>0</v>
      </c>
      <c r="E67" s="226">
        <v>0</v>
      </c>
      <c r="F67" s="226">
        <v>0</v>
      </c>
      <c r="G67" s="226">
        <v>0</v>
      </c>
      <c r="H67" s="227">
        <v>0</v>
      </c>
      <c r="I67" s="226">
        <v>0</v>
      </c>
      <c r="J67" s="228">
        <v>0</v>
      </c>
      <c r="K67" s="228">
        <v>0</v>
      </c>
      <c r="L67" s="228">
        <v>0</v>
      </c>
      <c r="M67" s="227">
        <v>0</v>
      </c>
      <c r="N67" s="130"/>
      <c r="O67" s="130"/>
      <c r="P67" s="130"/>
      <c r="Q67" s="130"/>
      <c r="R67" s="130"/>
      <c r="S67" s="130"/>
      <c r="T67" s="130"/>
    </row>
    <row r="68" spans="1:20" s="126" customFormat="1" ht="14.25">
      <c r="A68" s="127"/>
      <c r="B68" s="224" t="s">
        <v>234</v>
      </c>
      <c r="C68" s="209" t="s">
        <v>233</v>
      </c>
      <c r="D68" s="225">
        <v>0</v>
      </c>
      <c r="E68" s="226">
        <v>0</v>
      </c>
      <c r="F68" s="226">
        <v>0</v>
      </c>
      <c r="G68" s="226">
        <v>0</v>
      </c>
      <c r="H68" s="227">
        <v>0</v>
      </c>
      <c r="I68" s="226">
        <v>0</v>
      </c>
      <c r="J68" s="228">
        <v>0</v>
      </c>
      <c r="K68" s="228">
        <v>0</v>
      </c>
      <c r="L68" s="228">
        <v>0</v>
      </c>
      <c r="M68" s="227">
        <v>0</v>
      </c>
      <c r="N68" s="130"/>
      <c r="O68" s="130"/>
      <c r="P68" s="130"/>
      <c r="Q68" s="130"/>
      <c r="R68" s="130"/>
      <c r="S68" s="130"/>
      <c r="T68" s="130"/>
    </row>
    <row r="69" spans="1:20" s="126" customFormat="1" ht="14.25">
      <c r="A69" s="127"/>
      <c r="B69" s="224" t="s">
        <v>235</v>
      </c>
      <c r="C69" s="209" t="s">
        <v>233</v>
      </c>
      <c r="D69" s="215">
        <v>0</v>
      </c>
      <c r="E69" s="216">
        <v>0</v>
      </c>
      <c r="F69" s="216">
        <v>0</v>
      </c>
      <c r="G69" s="216">
        <v>0</v>
      </c>
      <c r="H69" s="217">
        <v>0</v>
      </c>
      <c r="I69" s="216">
        <v>0</v>
      </c>
      <c r="J69" s="218">
        <v>0</v>
      </c>
      <c r="K69" s="218">
        <v>0</v>
      </c>
      <c r="L69" s="218">
        <v>0</v>
      </c>
      <c r="M69" s="217">
        <v>0</v>
      </c>
      <c r="N69" s="130"/>
      <c r="O69" s="130"/>
      <c r="P69" s="130"/>
      <c r="Q69" s="130"/>
      <c r="R69" s="130"/>
      <c r="S69" s="130"/>
      <c r="T69" s="130"/>
    </row>
    <row r="70" spans="1:20" s="126" customFormat="1" ht="15">
      <c r="A70" s="127"/>
      <c r="B70" s="180" t="s">
        <v>239</v>
      </c>
      <c r="C70" s="209" t="s">
        <v>233</v>
      </c>
      <c r="D70" s="229">
        <v>34267</v>
      </c>
      <c r="E70" s="230">
        <v>34718.800000000003</v>
      </c>
      <c r="F70" s="230">
        <v>33541</v>
      </c>
      <c r="G70" s="230">
        <v>28087.1</v>
      </c>
      <c r="H70" s="231">
        <v>28540.1</v>
      </c>
      <c r="I70" s="232">
        <v>30329.600000000002</v>
      </c>
      <c r="J70" s="230">
        <v>31899.5</v>
      </c>
      <c r="K70" s="230">
        <v>34430.799999999996</v>
      </c>
      <c r="L70" s="230">
        <v>37197.799999999996</v>
      </c>
      <c r="M70" s="231">
        <v>40216.300000000003</v>
      </c>
      <c r="N70" s="233"/>
      <c r="O70" s="130"/>
      <c r="P70" s="130"/>
      <c r="Q70" s="130"/>
      <c r="R70" s="130"/>
      <c r="S70" s="130"/>
      <c r="T70" s="130"/>
    </row>
    <row r="71" spans="1:20" s="126" customFormat="1" ht="15" customHeight="1" thickBot="1">
      <c r="A71" s="127"/>
      <c r="B71" s="234" t="s">
        <v>240</v>
      </c>
      <c r="C71" s="235" t="s">
        <v>233</v>
      </c>
      <c r="D71" s="236">
        <v>9330</v>
      </c>
      <c r="E71" s="237">
        <v>10593</v>
      </c>
      <c r="F71" s="237">
        <v>7053</v>
      </c>
      <c r="G71" s="237">
        <v>9705.3000000000011</v>
      </c>
      <c r="H71" s="238">
        <v>10190.6</v>
      </c>
      <c r="I71" s="239">
        <v>9681</v>
      </c>
      <c r="J71" s="237">
        <v>8712.9</v>
      </c>
      <c r="K71" s="237">
        <v>8712.9</v>
      </c>
      <c r="L71" s="237">
        <v>8712.9</v>
      </c>
      <c r="M71" s="238">
        <v>8712.9</v>
      </c>
      <c r="N71" s="233"/>
      <c r="O71" s="130"/>
      <c r="P71" s="130"/>
      <c r="Q71" s="130"/>
      <c r="R71" s="130"/>
      <c r="S71" s="130"/>
      <c r="T71" s="130"/>
    </row>
    <row r="72" spans="1:20" s="126" customFormat="1" ht="15">
      <c r="A72" s="127"/>
      <c r="B72" s="240"/>
      <c r="C72" s="241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</row>
    <row r="73" spans="1:20" s="126" customFormat="1" ht="15">
      <c r="A73" s="127"/>
      <c r="B73" s="242"/>
      <c r="C73" s="243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130"/>
      <c r="O73" s="244"/>
      <c r="P73" s="244"/>
      <c r="Q73" s="244"/>
      <c r="R73" s="130"/>
      <c r="S73" s="244"/>
      <c r="T73" s="244"/>
    </row>
    <row r="74" spans="1:20" s="126" customFormat="1" ht="15">
      <c r="A74" s="127"/>
      <c r="B74" s="128" t="s">
        <v>241</v>
      </c>
      <c r="C74" s="243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130"/>
      <c r="O74" s="244"/>
      <c r="P74" s="244"/>
      <c r="Q74" s="244"/>
      <c r="R74" s="130"/>
      <c r="S74" s="244"/>
      <c r="T74" s="244"/>
    </row>
    <row r="75" spans="1:20" s="126" customFormat="1" ht="15.75" thickBot="1">
      <c r="A75" s="127"/>
      <c r="B75" s="128"/>
      <c r="C75" s="243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130"/>
      <c r="O75" s="244"/>
      <c r="P75" s="244"/>
      <c r="Q75" s="244"/>
      <c r="R75" s="130"/>
      <c r="S75" s="244"/>
      <c r="T75" s="244"/>
    </row>
    <row r="76" spans="1:20" s="126" customFormat="1" ht="15">
      <c r="A76" s="127"/>
      <c r="B76" s="1501"/>
      <c r="C76" s="1503" t="s">
        <v>190</v>
      </c>
      <c r="D76" s="131" t="s">
        <v>191</v>
      </c>
      <c r="E76" s="132"/>
      <c r="F76" s="132"/>
      <c r="G76" s="132"/>
      <c r="H76" s="133"/>
      <c r="I76" s="132" t="s">
        <v>192</v>
      </c>
      <c r="J76" s="134"/>
      <c r="K76" s="134"/>
      <c r="L76" s="134"/>
      <c r="M76" s="133"/>
      <c r="N76" s="130"/>
      <c r="O76" s="135" t="s">
        <v>191</v>
      </c>
      <c r="P76" s="136"/>
      <c r="Q76" s="137"/>
      <c r="R76" s="130"/>
      <c r="S76" s="135" t="s">
        <v>192</v>
      </c>
      <c r="T76" s="137"/>
    </row>
    <row r="77" spans="1:20" s="126" customFormat="1" ht="30">
      <c r="A77" s="127"/>
      <c r="B77" s="1502"/>
      <c r="C77" s="1504"/>
      <c r="D77" s="138" t="s">
        <v>79</v>
      </c>
      <c r="E77" s="139" t="s">
        <v>80</v>
      </c>
      <c r="F77" s="139" t="s">
        <v>81</v>
      </c>
      <c r="G77" s="139" t="s">
        <v>82</v>
      </c>
      <c r="H77" s="140" t="s">
        <v>44</v>
      </c>
      <c r="I77" s="141" t="s">
        <v>193</v>
      </c>
      <c r="J77" s="139" t="s">
        <v>194</v>
      </c>
      <c r="K77" s="139" t="s">
        <v>195</v>
      </c>
      <c r="L77" s="139" t="s">
        <v>196</v>
      </c>
      <c r="M77" s="140" t="s">
        <v>197</v>
      </c>
      <c r="N77" s="130"/>
      <c r="O77" s="142" t="s">
        <v>198</v>
      </c>
      <c r="P77" s="143" t="s">
        <v>199</v>
      </c>
      <c r="Q77" s="144" t="s">
        <v>200</v>
      </c>
      <c r="R77" s="130"/>
      <c r="S77" s="142" t="s">
        <v>199</v>
      </c>
      <c r="T77" s="144" t="s">
        <v>201</v>
      </c>
    </row>
    <row r="78" spans="1:20" s="126" customFormat="1" ht="30">
      <c r="A78" s="127"/>
      <c r="B78" s="245" t="s">
        <v>242</v>
      </c>
      <c r="C78" s="246"/>
      <c r="D78" s="203"/>
      <c r="E78" s="204"/>
      <c r="F78" s="204"/>
      <c r="G78" s="204"/>
      <c r="H78" s="205"/>
      <c r="I78" s="206"/>
      <c r="J78" s="206"/>
      <c r="K78" s="206"/>
      <c r="L78" s="206"/>
      <c r="M78" s="207"/>
      <c r="N78" s="130"/>
      <c r="O78" s="247"/>
      <c r="P78" s="206"/>
      <c r="Q78" s="207"/>
      <c r="R78" s="130"/>
      <c r="S78" s="247"/>
      <c r="T78" s="207"/>
    </row>
    <row r="79" spans="1:20" s="126" customFormat="1" ht="15">
      <c r="A79" s="127"/>
      <c r="B79" s="248" t="s">
        <v>243</v>
      </c>
      <c r="C79" s="249"/>
      <c r="D79" s="177"/>
      <c r="E79" s="178"/>
      <c r="F79" s="178"/>
      <c r="G79" s="178"/>
      <c r="H79" s="179"/>
      <c r="I79" s="178"/>
      <c r="J79" s="178"/>
      <c r="K79" s="178"/>
      <c r="L79" s="178"/>
      <c r="M79" s="179"/>
      <c r="N79" s="130"/>
      <c r="O79" s="250"/>
      <c r="P79" s="251"/>
      <c r="Q79" s="252"/>
      <c r="R79" s="130"/>
      <c r="S79" s="177"/>
      <c r="T79" s="179"/>
    </row>
    <row r="80" spans="1:20" s="126" customFormat="1" ht="14.25">
      <c r="A80" s="127"/>
      <c r="B80" s="192" t="s">
        <v>244</v>
      </c>
      <c r="C80" s="209" t="s">
        <v>203</v>
      </c>
      <c r="D80" s="183">
        <v>0</v>
      </c>
      <c r="E80" s="184">
        <v>0</v>
      </c>
      <c r="F80" s="184">
        <v>0</v>
      </c>
      <c r="G80" s="184">
        <v>27.973664081196581</v>
      </c>
      <c r="H80" s="185">
        <v>25.438403452282159</v>
      </c>
      <c r="I80" s="184">
        <v>25.226996820354664</v>
      </c>
      <c r="J80" s="186">
        <v>26.987440506563704</v>
      </c>
      <c r="K80" s="186">
        <v>29.540530490847459</v>
      </c>
      <c r="L80" s="186">
        <v>31.602534178947366</v>
      </c>
      <c r="M80" s="185">
        <v>33.746650109843941</v>
      </c>
      <c r="N80" s="253"/>
      <c r="O80" s="151">
        <v>0</v>
      </c>
      <c r="P80" s="152">
        <v>53.412067533478741</v>
      </c>
      <c r="Q80" s="153">
        <v>53.412067533478741</v>
      </c>
      <c r="R80" s="154"/>
      <c r="S80" s="151">
        <v>147.10415210655714</v>
      </c>
      <c r="T80" s="155">
        <v>1.7541370124710507</v>
      </c>
    </row>
    <row r="81" spans="1:20" s="126" customFormat="1" ht="14.25">
      <c r="A81" s="127"/>
      <c r="B81" s="192" t="s">
        <v>245</v>
      </c>
      <c r="C81" s="209" t="s">
        <v>203</v>
      </c>
      <c r="D81" s="183">
        <v>43.165151786332039</v>
      </c>
      <c r="E81" s="184">
        <v>30.970736755514366</v>
      </c>
      <c r="F81" s="184">
        <v>58.955014971873361</v>
      </c>
      <c r="G81" s="184">
        <v>15.828514551282051</v>
      </c>
      <c r="H81" s="185">
        <v>12.222357908713693</v>
      </c>
      <c r="I81" s="184">
        <v>12.1169039845798</v>
      </c>
      <c r="J81" s="186">
        <v>12.997627596911197</v>
      </c>
      <c r="K81" s="186">
        <v>14.274618760677967</v>
      </c>
      <c r="L81" s="186">
        <v>15.256395810526316</v>
      </c>
      <c r="M81" s="185">
        <v>16.32902424669868</v>
      </c>
      <c r="N81" s="253"/>
      <c r="O81" s="151">
        <v>133.09090351371978</v>
      </c>
      <c r="P81" s="152">
        <v>28.050872459995745</v>
      </c>
      <c r="Q81" s="153">
        <v>161.14177597371551</v>
      </c>
      <c r="R81" s="154"/>
      <c r="S81" s="151">
        <v>70.974570399393954</v>
      </c>
      <c r="T81" s="155">
        <v>-0.55955201579154179</v>
      </c>
    </row>
    <row r="82" spans="1:20" s="126" customFormat="1" ht="15">
      <c r="A82" s="127"/>
      <c r="B82" s="191" t="s">
        <v>246</v>
      </c>
      <c r="C82" s="209" t="s">
        <v>203</v>
      </c>
      <c r="D82" s="151">
        <v>43.165151786332039</v>
      </c>
      <c r="E82" s="254">
        <v>30.970736755514366</v>
      </c>
      <c r="F82" s="254">
        <v>58.955014971873361</v>
      </c>
      <c r="G82" s="254">
        <v>43.802178632478629</v>
      </c>
      <c r="H82" s="153">
        <v>37.660761360995849</v>
      </c>
      <c r="I82" s="254">
        <v>37.343900804934464</v>
      </c>
      <c r="J82" s="152">
        <v>39.985068103474902</v>
      </c>
      <c r="K82" s="152">
        <v>43.815149251525426</v>
      </c>
      <c r="L82" s="152">
        <v>46.85892998947368</v>
      </c>
      <c r="M82" s="153">
        <v>50.075674356542621</v>
      </c>
      <c r="N82" s="253"/>
      <c r="O82" s="151">
        <v>133.09090351371978</v>
      </c>
      <c r="P82" s="152">
        <v>81.462939993474478</v>
      </c>
      <c r="Q82" s="153">
        <v>214.55384350719427</v>
      </c>
      <c r="R82" s="154"/>
      <c r="S82" s="151">
        <v>218.07872250595108</v>
      </c>
      <c r="T82" s="155">
        <v>1.6428878369818673E-2</v>
      </c>
    </row>
    <row r="83" spans="1:20" s="126" customFormat="1" ht="15">
      <c r="A83" s="127"/>
      <c r="B83" s="248" t="s">
        <v>247</v>
      </c>
      <c r="C83" s="255"/>
      <c r="D83" s="256"/>
      <c r="E83" s="257"/>
      <c r="F83" s="257"/>
      <c r="G83" s="257"/>
      <c r="H83" s="258"/>
      <c r="I83" s="257"/>
      <c r="J83" s="257"/>
      <c r="K83" s="257"/>
      <c r="L83" s="257"/>
      <c r="M83" s="258"/>
      <c r="N83" s="253"/>
      <c r="O83" s="259"/>
      <c r="P83" s="257"/>
      <c r="Q83" s="258"/>
      <c r="R83" s="154"/>
      <c r="S83" s="256"/>
      <c r="T83" s="258"/>
    </row>
    <row r="84" spans="1:20" s="126" customFormat="1" ht="14.25">
      <c r="A84" s="127"/>
      <c r="B84" s="192" t="s">
        <v>244</v>
      </c>
      <c r="C84" s="209" t="s">
        <v>203</v>
      </c>
      <c r="D84" s="183">
        <v>0</v>
      </c>
      <c r="E84" s="184">
        <v>0</v>
      </c>
      <c r="F84" s="184">
        <v>0</v>
      </c>
      <c r="G84" s="184">
        <v>5.6743731410256411</v>
      </c>
      <c r="H84" s="185">
        <v>8.9431887136929458</v>
      </c>
      <c r="I84" s="184">
        <v>9.7332507417116432</v>
      </c>
      <c r="J84" s="186">
        <v>9.624197533590733</v>
      </c>
      <c r="K84" s="186">
        <v>9.9129296949152543</v>
      </c>
      <c r="L84" s="186">
        <v>10.104885536842104</v>
      </c>
      <c r="M84" s="185">
        <v>10.391197247899159</v>
      </c>
      <c r="N84" s="253"/>
      <c r="O84" s="151">
        <v>0</v>
      </c>
      <c r="P84" s="152">
        <v>14.617561854718588</v>
      </c>
      <c r="Q84" s="153">
        <v>14.617561854718588</v>
      </c>
      <c r="R84" s="154"/>
      <c r="S84" s="151">
        <v>49.766460754958892</v>
      </c>
      <c r="T84" s="155">
        <v>2.4045664557180682</v>
      </c>
    </row>
    <row r="85" spans="1:20" s="126" customFormat="1" ht="14.25">
      <c r="A85" s="127"/>
      <c r="B85" s="192" t="s">
        <v>245</v>
      </c>
      <c r="C85" s="209" t="s">
        <v>203</v>
      </c>
      <c r="D85" s="183">
        <v>10.766365803519308</v>
      </c>
      <c r="E85" s="184">
        <v>7.6679959169601482</v>
      </c>
      <c r="F85" s="184">
        <v>32.121006465216958</v>
      </c>
      <c r="G85" s="184">
        <v>11.149645470085469</v>
      </c>
      <c r="H85" s="185">
        <v>19.078802589211616</v>
      </c>
      <c r="I85" s="184">
        <v>20.75764698997687</v>
      </c>
      <c r="J85" s="186">
        <v>19.347613598455599</v>
      </c>
      <c r="K85" s="186">
        <v>19.825859389830509</v>
      </c>
      <c r="L85" s="186">
        <v>20.30883857894737</v>
      </c>
      <c r="M85" s="185">
        <v>20.881358279111645</v>
      </c>
      <c r="N85" s="253"/>
      <c r="O85" s="151">
        <v>50.555368185696416</v>
      </c>
      <c r="P85" s="152">
        <v>30.228448059297087</v>
      </c>
      <c r="Q85" s="153">
        <v>80.783816244993503</v>
      </c>
      <c r="R85" s="154"/>
      <c r="S85" s="151">
        <v>101.12131683632199</v>
      </c>
      <c r="T85" s="155">
        <v>0.25175216443911053</v>
      </c>
    </row>
    <row r="86" spans="1:20" s="126" customFormat="1" ht="15">
      <c r="A86" s="127"/>
      <c r="B86" s="191" t="s">
        <v>248</v>
      </c>
      <c r="C86" s="209" t="s">
        <v>203</v>
      </c>
      <c r="D86" s="151">
        <v>10.766365803519308</v>
      </c>
      <c r="E86" s="254">
        <v>7.6679959169601482</v>
      </c>
      <c r="F86" s="254">
        <v>32.121006465216958</v>
      </c>
      <c r="G86" s="254">
        <v>16.824018611111111</v>
      </c>
      <c r="H86" s="153">
        <v>28.02199130290456</v>
      </c>
      <c r="I86" s="254">
        <v>30.490897731688513</v>
      </c>
      <c r="J86" s="152">
        <v>28.971811132046334</v>
      </c>
      <c r="K86" s="152">
        <v>29.738789084745761</v>
      </c>
      <c r="L86" s="152">
        <v>30.413724115789474</v>
      </c>
      <c r="M86" s="153">
        <v>31.272555527010802</v>
      </c>
      <c r="N86" s="253"/>
      <c r="O86" s="151">
        <v>50.555368185696416</v>
      </c>
      <c r="P86" s="152">
        <v>44.846009914015667</v>
      </c>
      <c r="Q86" s="153">
        <v>95.401378099712076</v>
      </c>
      <c r="R86" s="154"/>
      <c r="S86" s="151">
        <v>150.88777759128089</v>
      </c>
      <c r="T86" s="155">
        <v>0.58161004166601526</v>
      </c>
    </row>
    <row r="87" spans="1:20" s="126" customFormat="1" ht="15">
      <c r="A87" s="127"/>
      <c r="B87" s="248" t="s">
        <v>249</v>
      </c>
      <c r="C87" s="255"/>
      <c r="D87" s="256"/>
      <c r="E87" s="257"/>
      <c r="F87" s="257"/>
      <c r="G87" s="257"/>
      <c r="H87" s="258"/>
      <c r="I87" s="257"/>
      <c r="J87" s="257"/>
      <c r="K87" s="257"/>
      <c r="L87" s="257"/>
      <c r="M87" s="258"/>
      <c r="N87" s="253"/>
      <c r="O87" s="256"/>
      <c r="P87" s="257"/>
      <c r="Q87" s="258"/>
      <c r="R87" s="154"/>
      <c r="S87" s="256"/>
      <c r="T87" s="258"/>
    </row>
    <row r="88" spans="1:20" s="126" customFormat="1" ht="14.25">
      <c r="A88" s="127"/>
      <c r="B88" s="192" t="s">
        <v>244</v>
      </c>
      <c r="C88" s="209" t="s">
        <v>203</v>
      </c>
      <c r="D88" s="183">
        <v>0</v>
      </c>
      <c r="E88" s="184">
        <v>0</v>
      </c>
      <c r="F88" s="184">
        <v>0</v>
      </c>
      <c r="G88" s="184">
        <v>0</v>
      </c>
      <c r="H88" s="185">
        <v>0</v>
      </c>
      <c r="I88" s="184">
        <v>0</v>
      </c>
      <c r="J88" s="186">
        <v>0</v>
      </c>
      <c r="K88" s="186">
        <v>0</v>
      </c>
      <c r="L88" s="186">
        <v>0</v>
      </c>
      <c r="M88" s="185">
        <v>0</v>
      </c>
      <c r="N88" s="253"/>
      <c r="O88" s="151">
        <v>0</v>
      </c>
      <c r="P88" s="152">
        <v>0</v>
      </c>
      <c r="Q88" s="153">
        <v>0</v>
      </c>
      <c r="R88" s="154"/>
      <c r="S88" s="151">
        <v>0</v>
      </c>
      <c r="T88" s="155" t="s">
        <v>989</v>
      </c>
    </row>
    <row r="89" spans="1:20" s="126" customFormat="1" ht="14.25">
      <c r="A89" s="127"/>
      <c r="B89" s="192" t="s">
        <v>245</v>
      </c>
      <c r="C89" s="209" t="s">
        <v>203</v>
      </c>
      <c r="D89" s="183">
        <v>0.29906571676442523</v>
      </c>
      <c r="E89" s="184">
        <v>0.19916872511584802</v>
      </c>
      <c r="F89" s="184">
        <v>0.59852807078044012</v>
      </c>
      <c r="G89" s="184">
        <v>0</v>
      </c>
      <c r="H89" s="185">
        <v>0</v>
      </c>
      <c r="I89" s="184">
        <v>0</v>
      </c>
      <c r="J89" s="186">
        <v>0</v>
      </c>
      <c r="K89" s="186">
        <v>0</v>
      </c>
      <c r="L89" s="186">
        <v>0</v>
      </c>
      <c r="M89" s="185">
        <v>0</v>
      </c>
      <c r="N89" s="253"/>
      <c r="O89" s="151">
        <v>1.0967625126607135</v>
      </c>
      <c r="P89" s="152">
        <v>0</v>
      </c>
      <c r="Q89" s="153">
        <v>1.0967625126607135</v>
      </c>
      <c r="R89" s="154"/>
      <c r="S89" s="151">
        <v>0</v>
      </c>
      <c r="T89" s="155">
        <v>-1</v>
      </c>
    </row>
    <row r="90" spans="1:20" s="126" customFormat="1" ht="15">
      <c r="A90" s="127"/>
      <c r="B90" s="191" t="s">
        <v>250</v>
      </c>
      <c r="C90" s="209" t="s">
        <v>203</v>
      </c>
      <c r="D90" s="151">
        <v>0.29906571676442523</v>
      </c>
      <c r="E90" s="254">
        <v>0.19916872511584802</v>
      </c>
      <c r="F90" s="254">
        <v>0.59852807078044012</v>
      </c>
      <c r="G90" s="254">
        <v>0</v>
      </c>
      <c r="H90" s="153">
        <v>0</v>
      </c>
      <c r="I90" s="254">
        <v>0</v>
      </c>
      <c r="J90" s="152">
        <v>0</v>
      </c>
      <c r="K90" s="152">
        <v>0</v>
      </c>
      <c r="L90" s="152">
        <v>0</v>
      </c>
      <c r="M90" s="153">
        <v>0</v>
      </c>
      <c r="N90" s="253"/>
      <c r="O90" s="151">
        <v>1.0967625126607135</v>
      </c>
      <c r="P90" s="152">
        <v>0</v>
      </c>
      <c r="Q90" s="153">
        <v>1.0967625126607135</v>
      </c>
      <c r="R90" s="154"/>
      <c r="S90" s="151">
        <v>0</v>
      </c>
      <c r="T90" s="155">
        <v>-1</v>
      </c>
    </row>
    <row r="91" spans="1:20" s="126" customFormat="1" ht="15">
      <c r="A91" s="127"/>
      <c r="B91" s="248" t="s">
        <v>251</v>
      </c>
      <c r="C91" s="255"/>
      <c r="D91" s="256"/>
      <c r="E91" s="257"/>
      <c r="F91" s="257"/>
      <c r="G91" s="257"/>
      <c r="H91" s="258"/>
      <c r="I91" s="257"/>
      <c r="J91" s="257"/>
      <c r="K91" s="257"/>
      <c r="L91" s="257"/>
      <c r="M91" s="258"/>
      <c r="N91" s="253"/>
      <c r="O91" s="256"/>
      <c r="P91" s="257"/>
      <c r="Q91" s="258"/>
      <c r="R91" s="154"/>
      <c r="S91" s="256"/>
      <c r="T91" s="258"/>
    </row>
    <row r="92" spans="1:20" s="126" customFormat="1" ht="14.25">
      <c r="A92" s="127"/>
      <c r="B92" s="192" t="s">
        <v>244</v>
      </c>
      <c r="C92" s="209" t="s">
        <v>203</v>
      </c>
      <c r="D92" s="183">
        <v>0</v>
      </c>
      <c r="E92" s="184">
        <v>0</v>
      </c>
      <c r="F92" s="184">
        <v>0</v>
      </c>
      <c r="G92" s="184">
        <v>0</v>
      </c>
      <c r="H92" s="185">
        <v>0</v>
      </c>
      <c r="I92" s="184">
        <v>0</v>
      </c>
      <c r="J92" s="186">
        <v>0</v>
      </c>
      <c r="K92" s="186">
        <v>0</v>
      </c>
      <c r="L92" s="186">
        <v>0</v>
      </c>
      <c r="M92" s="185">
        <v>0</v>
      </c>
      <c r="N92" s="253"/>
      <c r="O92" s="151">
        <v>0</v>
      </c>
      <c r="P92" s="152">
        <v>0</v>
      </c>
      <c r="Q92" s="153">
        <v>0</v>
      </c>
      <c r="R92" s="154"/>
      <c r="S92" s="151">
        <v>0</v>
      </c>
      <c r="T92" s="155" t="s">
        <v>989</v>
      </c>
    </row>
    <row r="93" spans="1:20" s="126" customFormat="1" ht="14.25">
      <c r="A93" s="127"/>
      <c r="B93" s="192" t="s">
        <v>245</v>
      </c>
      <c r="C93" s="209" t="s">
        <v>203</v>
      </c>
      <c r="D93" s="183">
        <v>0</v>
      </c>
      <c r="E93" s="184">
        <v>0</v>
      </c>
      <c r="F93" s="184">
        <v>0</v>
      </c>
      <c r="G93" s="184">
        <v>0</v>
      </c>
      <c r="H93" s="185">
        <v>0</v>
      </c>
      <c r="I93" s="184">
        <v>0</v>
      </c>
      <c r="J93" s="186">
        <v>0</v>
      </c>
      <c r="K93" s="186">
        <v>0</v>
      </c>
      <c r="L93" s="186">
        <v>0</v>
      </c>
      <c r="M93" s="185">
        <v>0</v>
      </c>
      <c r="N93" s="253"/>
      <c r="O93" s="151">
        <v>0</v>
      </c>
      <c r="P93" s="152">
        <v>0</v>
      </c>
      <c r="Q93" s="153">
        <v>0</v>
      </c>
      <c r="R93" s="154"/>
      <c r="S93" s="151">
        <v>0</v>
      </c>
      <c r="T93" s="155" t="s">
        <v>989</v>
      </c>
    </row>
    <row r="94" spans="1:20" s="126" customFormat="1" ht="15">
      <c r="A94" s="127"/>
      <c r="B94" s="191" t="s">
        <v>252</v>
      </c>
      <c r="C94" s="209" t="s">
        <v>203</v>
      </c>
      <c r="D94" s="151">
        <v>0</v>
      </c>
      <c r="E94" s="254">
        <v>0</v>
      </c>
      <c r="F94" s="254">
        <v>0</v>
      </c>
      <c r="G94" s="254">
        <v>0</v>
      </c>
      <c r="H94" s="153">
        <v>0</v>
      </c>
      <c r="I94" s="254">
        <v>0</v>
      </c>
      <c r="J94" s="152">
        <v>0</v>
      </c>
      <c r="K94" s="152">
        <v>0</v>
      </c>
      <c r="L94" s="152">
        <v>0</v>
      </c>
      <c r="M94" s="153">
        <v>0</v>
      </c>
      <c r="N94" s="253"/>
      <c r="O94" s="151">
        <v>0</v>
      </c>
      <c r="P94" s="152">
        <v>0</v>
      </c>
      <c r="Q94" s="153">
        <v>0</v>
      </c>
      <c r="R94" s="154"/>
      <c r="S94" s="151">
        <v>0</v>
      </c>
      <c r="T94" s="155" t="s">
        <v>989</v>
      </c>
    </row>
    <row r="95" spans="1:20" s="126" customFormat="1" ht="15">
      <c r="A95" s="127"/>
      <c r="B95" s="191"/>
      <c r="C95" s="209"/>
      <c r="D95" s="256"/>
      <c r="E95" s="257"/>
      <c r="F95" s="257"/>
      <c r="G95" s="257"/>
      <c r="H95" s="258"/>
      <c r="I95" s="257"/>
      <c r="J95" s="257"/>
      <c r="K95" s="257"/>
      <c r="L95" s="257"/>
      <c r="M95" s="258"/>
      <c r="N95" s="253"/>
      <c r="O95" s="256"/>
      <c r="P95" s="257"/>
      <c r="Q95" s="258"/>
      <c r="R95" s="154"/>
      <c r="S95" s="256"/>
      <c r="T95" s="258"/>
    </row>
    <row r="96" spans="1:20" s="126" customFormat="1" ht="30">
      <c r="A96" s="127"/>
      <c r="B96" s="191" t="s">
        <v>253</v>
      </c>
      <c r="C96" s="209" t="s">
        <v>203</v>
      </c>
      <c r="D96" s="260"/>
      <c r="E96" s="261"/>
      <c r="F96" s="261"/>
      <c r="G96" s="184">
        <v>0</v>
      </c>
      <c r="H96" s="185">
        <v>0</v>
      </c>
      <c r="I96" s="184">
        <v>0</v>
      </c>
      <c r="J96" s="186">
        <v>0</v>
      </c>
      <c r="K96" s="186">
        <v>0</v>
      </c>
      <c r="L96" s="186">
        <v>0</v>
      </c>
      <c r="M96" s="185">
        <v>0</v>
      </c>
      <c r="N96" s="253"/>
      <c r="O96" s="151">
        <v>0</v>
      </c>
      <c r="P96" s="152">
        <v>0</v>
      </c>
      <c r="Q96" s="153">
        <v>0</v>
      </c>
      <c r="R96" s="154"/>
      <c r="S96" s="151">
        <v>0</v>
      </c>
      <c r="T96" s="155" t="s">
        <v>989</v>
      </c>
    </row>
    <row r="97" spans="1:20" s="126" customFormat="1" ht="30">
      <c r="A97" s="127"/>
      <c r="B97" s="191" t="s">
        <v>254</v>
      </c>
      <c r="C97" s="209" t="s">
        <v>203</v>
      </c>
      <c r="D97" s="161">
        <v>54.23058330661577</v>
      </c>
      <c r="E97" s="164">
        <v>38.837901397590365</v>
      </c>
      <c r="F97" s="164">
        <v>91.674549507870751</v>
      </c>
      <c r="G97" s="164">
        <v>60.626197243589743</v>
      </c>
      <c r="H97" s="163">
        <v>65.682752663900402</v>
      </c>
      <c r="I97" s="164">
        <v>67.834798536622969</v>
      </c>
      <c r="J97" s="162">
        <v>68.956879235521228</v>
      </c>
      <c r="K97" s="162">
        <v>73.553938336271187</v>
      </c>
      <c r="L97" s="162">
        <v>77.272654105263157</v>
      </c>
      <c r="M97" s="163">
        <v>81.348229883553415</v>
      </c>
      <c r="N97" s="262"/>
      <c r="O97" s="161">
        <v>184.74303421207688</v>
      </c>
      <c r="P97" s="162">
        <v>126.30894990749015</v>
      </c>
      <c r="Q97" s="163">
        <v>311.05198411956701</v>
      </c>
      <c r="R97" s="263"/>
      <c r="S97" s="161">
        <v>368.96650009723197</v>
      </c>
      <c r="T97" s="264">
        <v>0.18618918680616059</v>
      </c>
    </row>
    <row r="98" spans="1:20" s="126" customFormat="1" ht="15">
      <c r="A98" s="127"/>
      <c r="B98" s="191"/>
      <c r="C98" s="209"/>
      <c r="D98" s="256"/>
      <c r="E98" s="257"/>
      <c r="F98" s="257"/>
      <c r="G98" s="257"/>
      <c r="H98" s="258"/>
      <c r="I98" s="257"/>
      <c r="J98" s="257"/>
      <c r="K98" s="257"/>
      <c r="L98" s="257"/>
      <c r="M98" s="258"/>
      <c r="N98" s="253"/>
      <c r="O98" s="256"/>
      <c r="P98" s="257"/>
      <c r="Q98" s="258"/>
      <c r="R98" s="154"/>
      <c r="S98" s="256"/>
      <c r="T98" s="258"/>
    </row>
    <row r="99" spans="1:20" s="126" customFormat="1" ht="15">
      <c r="A99" s="127"/>
      <c r="B99" s="191" t="s">
        <v>255</v>
      </c>
      <c r="C99" s="146" t="s">
        <v>203</v>
      </c>
      <c r="D99" s="260"/>
      <c r="E99" s="261"/>
      <c r="F99" s="261"/>
      <c r="G99" s="184">
        <v>0</v>
      </c>
      <c r="H99" s="185">
        <v>0</v>
      </c>
      <c r="I99" s="184">
        <v>0</v>
      </c>
      <c r="J99" s="186">
        <v>0</v>
      </c>
      <c r="K99" s="186">
        <v>0</v>
      </c>
      <c r="L99" s="186">
        <v>0</v>
      </c>
      <c r="M99" s="185">
        <v>0</v>
      </c>
      <c r="N99" s="253"/>
      <c r="O99" s="151">
        <v>0</v>
      </c>
      <c r="P99" s="152">
        <v>0</v>
      </c>
      <c r="Q99" s="153">
        <v>0</v>
      </c>
      <c r="R99" s="154"/>
      <c r="S99" s="151">
        <v>0</v>
      </c>
      <c r="T99" s="155" t="s">
        <v>989</v>
      </c>
    </row>
    <row r="100" spans="1:20" s="126" customFormat="1" ht="15.75" thickBot="1">
      <c r="A100" s="127"/>
      <c r="B100" s="199" t="s">
        <v>256</v>
      </c>
      <c r="C100" s="235" t="s">
        <v>203</v>
      </c>
      <c r="D100" s="265"/>
      <c r="E100" s="266"/>
      <c r="F100" s="266"/>
      <c r="G100" s="267">
        <v>0</v>
      </c>
      <c r="H100" s="268">
        <v>0</v>
      </c>
      <c r="I100" s="267">
        <v>0</v>
      </c>
      <c r="J100" s="269">
        <v>0</v>
      </c>
      <c r="K100" s="269">
        <v>0</v>
      </c>
      <c r="L100" s="269">
        <v>0</v>
      </c>
      <c r="M100" s="268">
        <v>0</v>
      </c>
      <c r="N100" s="253"/>
      <c r="O100" s="171">
        <v>0</v>
      </c>
      <c r="P100" s="172">
        <v>0</v>
      </c>
      <c r="Q100" s="173">
        <v>0</v>
      </c>
      <c r="R100" s="154"/>
      <c r="S100" s="171">
        <v>0</v>
      </c>
      <c r="T100" s="174" t="s">
        <v>989</v>
      </c>
    </row>
    <row r="101" spans="1:20" s="126" customFormat="1" ht="14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</row>
    <row r="102" spans="1:20" s="126" customFormat="1" ht="14.25">
      <c r="A102" s="127"/>
      <c r="B102" s="127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30"/>
      <c r="O102" s="129"/>
      <c r="P102" s="129"/>
      <c r="Q102" s="129"/>
      <c r="R102" s="130"/>
      <c r="S102" s="129"/>
      <c r="T102" s="129"/>
    </row>
    <row r="103" spans="1:20" s="126" customFormat="1" ht="15">
      <c r="A103" s="127"/>
      <c r="B103" s="128" t="s">
        <v>257</v>
      </c>
      <c r="C103" s="243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130"/>
      <c r="O103" s="244"/>
      <c r="P103" s="244"/>
      <c r="Q103" s="244"/>
      <c r="R103" s="130"/>
      <c r="S103" s="244"/>
      <c r="T103" s="244"/>
    </row>
    <row r="104" spans="1:20" s="126" customFormat="1" ht="15.75" thickBot="1">
      <c r="A104" s="127"/>
      <c r="B104" s="128"/>
      <c r="C104" s="243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130"/>
      <c r="O104" s="244"/>
      <c r="P104" s="244"/>
      <c r="Q104" s="244"/>
      <c r="R104" s="130"/>
      <c r="S104" s="244"/>
      <c r="T104" s="244"/>
    </row>
    <row r="105" spans="1:20" s="126" customFormat="1" ht="15">
      <c r="A105" s="127"/>
      <c r="B105" s="1505"/>
      <c r="C105" s="1503" t="s">
        <v>190</v>
      </c>
      <c r="D105" s="131" t="s">
        <v>191</v>
      </c>
      <c r="E105" s="132"/>
      <c r="F105" s="132"/>
      <c r="G105" s="132"/>
      <c r="H105" s="133"/>
      <c r="I105" s="132" t="s">
        <v>192</v>
      </c>
      <c r="J105" s="134"/>
      <c r="K105" s="134"/>
      <c r="L105" s="134"/>
      <c r="M105" s="133"/>
      <c r="N105" s="130"/>
      <c r="O105" s="135" t="s">
        <v>191</v>
      </c>
      <c r="P105" s="136"/>
      <c r="Q105" s="137"/>
      <c r="R105" s="130"/>
      <c r="S105" s="135" t="s">
        <v>192</v>
      </c>
      <c r="T105" s="137"/>
    </row>
    <row r="106" spans="1:20" s="126" customFormat="1" ht="30">
      <c r="A106" s="127"/>
      <c r="B106" s="1506"/>
      <c r="C106" s="1504"/>
      <c r="D106" s="138" t="s">
        <v>79</v>
      </c>
      <c r="E106" s="139" t="s">
        <v>80</v>
      </c>
      <c r="F106" s="139" t="s">
        <v>81</v>
      </c>
      <c r="G106" s="139" t="s">
        <v>82</v>
      </c>
      <c r="H106" s="140" t="s">
        <v>44</v>
      </c>
      <c r="I106" s="141" t="s">
        <v>193</v>
      </c>
      <c r="J106" s="139" t="s">
        <v>194</v>
      </c>
      <c r="K106" s="139" t="s">
        <v>195</v>
      </c>
      <c r="L106" s="139" t="s">
        <v>196</v>
      </c>
      <c r="M106" s="140" t="s">
        <v>197</v>
      </c>
      <c r="N106" s="130"/>
      <c r="O106" s="142" t="s">
        <v>198</v>
      </c>
      <c r="P106" s="143" t="s">
        <v>199</v>
      </c>
      <c r="Q106" s="144" t="s">
        <v>200</v>
      </c>
      <c r="R106" s="130"/>
      <c r="S106" s="142" t="s">
        <v>199</v>
      </c>
      <c r="T106" s="144" t="s">
        <v>201</v>
      </c>
    </row>
    <row r="107" spans="1:20" s="126" customFormat="1" ht="30">
      <c r="A107" s="127"/>
      <c r="B107" s="191" t="s">
        <v>258</v>
      </c>
      <c r="C107" s="249"/>
      <c r="D107" s="177"/>
      <c r="E107" s="178"/>
      <c r="F107" s="178"/>
      <c r="G107" s="178"/>
      <c r="H107" s="179"/>
      <c r="I107" s="178"/>
      <c r="J107" s="178"/>
      <c r="K107" s="178"/>
      <c r="L107" s="178"/>
      <c r="M107" s="179"/>
      <c r="N107" s="130"/>
      <c r="O107" s="250"/>
      <c r="P107" s="251"/>
      <c r="Q107" s="252"/>
      <c r="R107" s="130"/>
      <c r="S107" s="177"/>
      <c r="T107" s="179"/>
    </row>
    <row r="108" spans="1:20" s="126" customFormat="1" ht="14.25">
      <c r="A108" s="127"/>
      <c r="B108" s="192" t="s">
        <v>244</v>
      </c>
      <c r="C108" s="209" t="s">
        <v>203</v>
      </c>
      <c r="D108" s="183">
        <v>0</v>
      </c>
      <c r="E108" s="184">
        <v>0</v>
      </c>
      <c r="F108" s="184">
        <v>0</v>
      </c>
      <c r="G108" s="184">
        <v>28.1</v>
      </c>
      <c r="H108" s="185">
        <v>25.6</v>
      </c>
      <c r="I108" s="184">
        <v>25.4</v>
      </c>
      <c r="J108" s="186">
        <v>27.2</v>
      </c>
      <c r="K108" s="186">
        <v>29.8</v>
      </c>
      <c r="L108" s="186">
        <v>31.9</v>
      </c>
      <c r="M108" s="185">
        <v>34.1</v>
      </c>
      <c r="N108" s="253"/>
      <c r="O108" s="151">
        <v>0</v>
      </c>
      <c r="P108" s="152">
        <v>53.7</v>
      </c>
      <c r="Q108" s="153">
        <v>53.7</v>
      </c>
      <c r="R108" s="154"/>
      <c r="S108" s="151">
        <v>148.39999999999998</v>
      </c>
      <c r="T108" s="155">
        <v>1.763500931098696</v>
      </c>
    </row>
    <row r="109" spans="1:20" s="126" customFormat="1" ht="14.25">
      <c r="A109" s="127"/>
      <c r="B109" s="192" t="s">
        <v>259</v>
      </c>
      <c r="C109" s="209" t="s">
        <v>203</v>
      </c>
      <c r="D109" s="183">
        <v>38.1</v>
      </c>
      <c r="E109" s="184">
        <v>27.4</v>
      </c>
      <c r="F109" s="184">
        <v>49.1</v>
      </c>
      <c r="G109" s="184">
        <v>10.4</v>
      </c>
      <c r="H109" s="185">
        <v>9.5</v>
      </c>
      <c r="I109" s="184">
        <v>9.4</v>
      </c>
      <c r="J109" s="186">
        <v>10.1</v>
      </c>
      <c r="K109" s="186">
        <v>11</v>
      </c>
      <c r="L109" s="186">
        <v>11.8</v>
      </c>
      <c r="M109" s="185">
        <v>12.6</v>
      </c>
      <c r="N109" s="253"/>
      <c r="O109" s="151">
        <v>114.6</v>
      </c>
      <c r="P109" s="152">
        <v>19.899999999999999</v>
      </c>
      <c r="Q109" s="153">
        <v>134.5</v>
      </c>
      <c r="R109" s="154"/>
      <c r="S109" s="151">
        <v>54.9</v>
      </c>
      <c r="T109" s="155">
        <v>-0.59182156133828989</v>
      </c>
    </row>
    <row r="110" spans="1:20" s="126" customFormat="1" ht="15">
      <c r="A110" s="127"/>
      <c r="B110" s="191" t="s">
        <v>246</v>
      </c>
      <c r="C110" s="209" t="s">
        <v>203</v>
      </c>
      <c r="D110" s="151">
        <v>38.1</v>
      </c>
      <c r="E110" s="254">
        <v>27.4</v>
      </c>
      <c r="F110" s="254">
        <v>49.1</v>
      </c>
      <c r="G110" s="254">
        <v>38.5</v>
      </c>
      <c r="H110" s="153">
        <v>35.1</v>
      </c>
      <c r="I110" s="254">
        <v>34.799999999999997</v>
      </c>
      <c r="J110" s="152">
        <v>37.299999999999997</v>
      </c>
      <c r="K110" s="152">
        <v>40.799999999999997</v>
      </c>
      <c r="L110" s="152">
        <v>43.7</v>
      </c>
      <c r="M110" s="153">
        <v>46.7</v>
      </c>
      <c r="N110" s="253"/>
      <c r="O110" s="151">
        <v>114.6</v>
      </c>
      <c r="P110" s="152">
        <v>73.599999999999994</v>
      </c>
      <c r="Q110" s="153">
        <v>188.2</v>
      </c>
      <c r="R110" s="154"/>
      <c r="S110" s="151">
        <v>203.3</v>
      </c>
      <c r="T110" s="155">
        <v>8.0233793836344436E-2</v>
      </c>
    </row>
    <row r="111" spans="1:20" s="126" customFormat="1" ht="30">
      <c r="A111" s="127"/>
      <c r="B111" s="191" t="s">
        <v>260</v>
      </c>
      <c r="C111" s="255"/>
      <c r="D111" s="256"/>
      <c r="E111" s="257"/>
      <c r="F111" s="257"/>
      <c r="G111" s="257"/>
      <c r="H111" s="258"/>
      <c r="I111" s="257"/>
      <c r="J111" s="257"/>
      <c r="K111" s="257"/>
      <c r="L111" s="257"/>
      <c r="M111" s="258"/>
      <c r="N111" s="253"/>
      <c r="O111" s="259"/>
      <c r="P111" s="257"/>
      <c r="Q111" s="258"/>
      <c r="R111" s="154"/>
      <c r="S111" s="256"/>
      <c r="T111" s="258"/>
    </row>
    <row r="112" spans="1:20" s="126" customFormat="1" ht="14.25">
      <c r="A112" s="127"/>
      <c r="B112" s="192" t="s">
        <v>244</v>
      </c>
      <c r="C112" s="209" t="s">
        <v>203</v>
      </c>
      <c r="D112" s="183">
        <v>0</v>
      </c>
      <c r="E112" s="184">
        <v>0</v>
      </c>
      <c r="F112" s="184">
        <v>0</v>
      </c>
      <c r="G112" s="184">
        <v>5.7</v>
      </c>
      <c r="H112" s="185">
        <v>9</v>
      </c>
      <c r="I112" s="184">
        <v>9.8000000000000007</v>
      </c>
      <c r="J112" s="186">
        <v>9.6999999999999993</v>
      </c>
      <c r="K112" s="186">
        <v>10</v>
      </c>
      <c r="L112" s="186">
        <v>10.199999999999999</v>
      </c>
      <c r="M112" s="185">
        <v>10.5</v>
      </c>
      <c r="N112" s="253"/>
      <c r="O112" s="151">
        <v>0</v>
      </c>
      <c r="P112" s="152">
        <v>14.7</v>
      </c>
      <c r="Q112" s="153">
        <v>14.7</v>
      </c>
      <c r="R112" s="154"/>
      <c r="S112" s="151">
        <v>50.2</v>
      </c>
      <c r="T112" s="155">
        <v>2.4149659863945581</v>
      </c>
    </row>
    <row r="113" spans="1:20" s="126" customFormat="1" ht="14.25">
      <c r="A113" s="127"/>
      <c r="B113" s="192" t="s">
        <v>259</v>
      </c>
      <c r="C113" s="209" t="s">
        <v>203</v>
      </c>
      <c r="D113" s="183">
        <v>9.5</v>
      </c>
      <c r="E113" s="184">
        <v>6.8</v>
      </c>
      <c r="F113" s="184">
        <v>24.9</v>
      </c>
      <c r="G113" s="184">
        <v>3.5</v>
      </c>
      <c r="H113" s="185">
        <v>5.5</v>
      </c>
      <c r="I113" s="184">
        <v>6</v>
      </c>
      <c r="J113" s="186">
        <v>6</v>
      </c>
      <c r="K113" s="186">
        <v>6.1</v>
      </c>
      <c r="L113" s="186">
        <v>6.3</v>
      </c>
      <c r="M113" s="185">
        <v>6.4</v>
      </c>
      <c r="N113" s="253"/>
      <c r="O113" s="151">
        <v>41.2</v>
      </c>
      <c r="P113" s="152">
        <v>9</v>
      </c>
      <c r="Q113" s="153">
        <v>50.2</v>
      </c>
      <c r="R113" s="154"/>
      <c r="S113" s="151">
        <v>30.800000000000004</v>
      </c>
      <c r="T113" s="155">
        <v>-0.38645418326693221</v>
      </c>
    </row>
    <row r="114" spans="1:20" s="126" customFormat="1" ht="15">
      <c r="A114" s="127"/>
      <c r="B114" s="191" t="s">
        <v>248</v>
      </c>
      <c r="C114" s="209" t="s">
        <v>203</v>
      </c>
      <c r="D114" s="151">
        <v>9.5</v>
      </c>
      <c r="E114" s="254">
        <v>6.8</v>
      </c>
      <c r="F114" s="254">
        <v>24.9</v>
      </c>
      <c r="G114" s="254">
        <v>9.1999999999999993</v>
      </c>
      <c r="H114" s="153">
        <v>14.5</v>
      </c>
      <c r="I114" s="254">
        <v>15.8</v>
      </c>
      <c r="J114" s="152">
        <v>15.7</v>
      </c>
      <c r="K114" s="152">
        <v>16.100000000000001</v>
      </c>
      <c r="L114" s="152">
        <v>16.5</v>
      </c>
      <c r="M114" s="153">
        <v>16.899999999999999</v>
      </c>
      <c r="N114" s="253"/>
      <c r="O114" s="151">
        <v>41.2</v>
      </c>
      <c r="P114" s="152">
        <v>23.7</v>
      </c>
      <c r="Q114" s="153">
        <v>64.900000000000006</v>
      </c>
      <c r="R114" s="154"/>
      <c r="S114" s="151">
        <v>81</v>
      </c>
      <c r="T114" s="155">
        <v>0.24807395993836662</v>
      </c>
    </row>
    <row r="115" spans="1:20" s="126" customFormat="1" ht="30">
      <c r="A115" s="127"/>
      <c r="B115" s="191" t="s">
        <v>261</v>
      </c>
      <c r="C115" s="255"/>
      <c r="D115" s="256"/>
      <c r="E115" s="257"/>
      <c r="F115" s="257"/>
      <c r="G115" s="257"/>
      <c r="H115" s="258"/>
      <c r="I115" s="257"/>
      <c r="J115" s="257"/>
      <c r="K115" s="257"/>
      <c r="L115" s="257"/>
      <c r="M115" s="258"/>
      <c r="N115" s="253"/>
      <c r="O115" s="256"/>
      <c r="P115" s="257"/>
      <c r="Q115" s="258"/>
      <c r="R115" s="154"/>
      <c r="S115" s="256"/>
      <c r="T115" s="258"/>
    </row>
    <row r="116" spans="1:20" s="126" customFormat="1" ht="14.25">
      <c r="A116" s="127"/>
      <c r="B116" s="192" t="s">
        <v>244</v>
      </c>
      <c r="C116" s="209" t="s">
        <v>203</v>
      </c>
      <c r="D116" s="183">
        <v>0</v>
      </c>
      <c r="E116" s="184">
        <v>0</v>
      </c>
      <c r="F116" s="184">
        <v>0</v>
      </c>
      <c r="G116" s="184">
        <v>0</v>
      </c>
      <c r="H116" s="185">
        <v>0</v>
      </c>
      <c r="I116" s="184">
        <v>0</v>
      </c>
      <c r="J116" s="186">
        <v>0</v>
      </c>
      <c r="K116" s="186">
        <v>0</v>
      </c>
      <c r="L116" s="186">
        <v>0</v>
      </c>
      <c r="M116" s="185">
        <v>0</v>
      </c>
      <c r="N116" s="253"/>
      <c r="O116" s="151">
        <v>0</v>
      </c>
      <c r="P116" s="152">
        <v>0</v>
      </c>
      <c r="Q116" s="153">
        <v>0</v>
      </c>
      <c r="R116" s="154"/>
      <c r="S116" s="151">
        <v>0</v>
      </c>
      <c r="T116" s="155" t="s">
        <v>989</v>
      </c>
    </row>
    <row r="117" spans="1:20" s="126" customFormat="1" ht="14.25">
      <c r="A117" s="127"/>
      <c r="B117" s="192" t="s">
        <v>259</v>
      </c>
      <c r="C117" s="209" t="s">
        <v>203</v>
      </c>
      <c r="D117" s="183">
        <v>0.3</v>
      </c>
      <c r="E117" s="184">
        <v>0</v>
      </c>
      <c r="F117" s="184">
        <v>0.4</v>
      </c>
      <c r="G117" s="184">
        <v>0</v>
      </c>
      <c r="H117" s="185">
        <v>0</v>
      </c>
      <c r="I117" s="184">
        <v>0</v>
      </c>
      <c r="J117" s="186">
        <v>0</v>
      </c>
      <c r="K117" s="186">
        <v>0</v>
      </c>
      <c r="L117" s="186">
        <v>0</v>
      </c>
      <c r="M117" s="185">
        <v>0</v>
      </c>
      <c r="N117" s="253"/>
      <c r="O117" s="151">
        <v>0.7</v>
      </c>
      <c r="P117" s="152">
        <v>0</v>
      </c>
      <c r="Q117" s="153">
        <v>0.7</v>
      </c>
      <c r="R117" s="154"/>
      <c r="S117" s="151">
        <v>0</v>
      </c>
      <c r="T117" s="155">
        <v>-1</v>
      </c>
    </row>
    <row r="118" spans="1:20" s="126" customFormat="1" ht="15">
      <c r="A118" s="127"/>
      <c r="B118" s="191" t="s">
        <v>250</v>
      </c>
      <c r="C118" s="209" t="s">
        <v>203</v>
      </c>
      <c r="D118" s="151">
        <v>0.3</v>
      </c>
      <c r="E118" s="254">
        <v>0</v>
      </c>
      <c r="F118" s="254">
        <v>0.4</v>
      </c>
      <c r="G118" s="254">
        <v>0</v>
      </c>
      <c r="H118" s="153">
        <v>0</v>
      </c>
      <c r="I118" s="254">
        <v>0</v>
      </c>
      <c r="J118" s="152">
        <v>0</v>
      </c>
      <c r="K118" s="152">
        <v>0</v>
      </c>
      <c r="L118" s="152">
        <v>0</v>
      </c>
      <c r="M118" s="153">
        <v>0</v>
      </c>
      <c r="N118" s="253"/>
      <c r="O118" s="151">
        <v>0.7</v>
      </c>
      <c r="P118" s="152">
        <v>0</v>
      </c>
      <c r="Q118" s="153">
        <v>0.7</v>
      </c>
      <c r="R118" s="154"/>
      <c r="S118" s="151">
        <v>0</v>
      </c>
      <c r="T118" s="155">
        <v>-1</v>
      </c>
    </row>
    <row r="119" spans="1:20" s="126" customFormat="1" ht="30">
      <c r="A119" s="127"/>
      <c r="B119" s="191" t="s">
        <v>262</v>
      </c>
      <c r="C119" s="255"/>
      <c r="D119" s="256"/>
      <c r="E119" s="257"/>
      <c r="F119" s="257"/>
      <c r="G119" s="257"/>
      <c r="H119" s="258"/>
      <c r="I119" s="257"/>
      <c r="J119" s="257"/>
      <c r="K119" s="257"/>
      <c r="L119" s="257"/>
      <c r="M119" s="258"/>
      <c r="N119" s="253"/>
      <c r="O119" s="256"/>
      <c r="P119" s="257"/>
      <c r="Q119" s="258"/>
      <c r="R119" s="154"/>
      <c r="S119" s="256"/>
      <c r="T119" s="258"/>
    </row>
    <row r="120" spans="1:20" s="126" customFormat="1" ht="14.25">
      <c r="A120" s="127"/>
      <c r="B120" s="192" t="s">
        <v>244</v>
      </c>
      <c r="C120" s="209" t="s">
        <v>203</v>
      </c>
      <c r="D120" s="183">
        <v>0</v>
      </c>
      <c r="E120" s="184">
        <v>0</v>
      </c>
      <c r="F120" s="184">
        <v>0</v>
      </c>
      <c r="G120" s="184">
        <v>0</v>
      </c>
      <c r="H120" s="185">
        <v>0</v>
      </c>
      <c r="I120" s="184">
        <v>0</v>
      </c>
      <c r="J120" s="186">
        <v>0</v>
      </c>
      <c r="K120" s="186">
        <v>0</v>
      </c>
      <c r="L120" s="186">
        <v>0</v>
      </c>
      <c r="M120" s="185">
        <v>0</v>
      </c>
      <c r="N120" s="253"/>
      <c r="O120" s="151">
        <v>0</v>
      </c>
      <c r="P120" s="152">
        <v>0</v>
      </c>
      <c r="Q120" s="153">
        <v>0</v>
      </c>
      <c r="R120" s="154"/>
      <c r="S120" s="151">
        <v>0</v>
      </c>
      <c r="T120" s="155" t="s">
        <v>989</v>
      </c>
    </row>
    <row r="121" spans="1:20" s="126" customFormat="1" ht="14.25">
      <c r="A121" s="127"/>
      <c r="B121" s="192" t="s">
        <v>259</v>
      </c>
      <c r="C121" s="209" t="s">
        <v>203</v>
      </c>
      <c r="D121" s="183">
        <v>0</v>
      </c>
      <c r="E121" s="184">
        <v>0</v>
      </c>
      <c r="F121" s="184">
        <v>0</v>
      </c>
      <c r="G121" s="184">
        <v>0</v>
      </c>
      <c r="H121" s="185">
        <v>0</v>
      </c>
      <c r="I121" s="184">
        <v>0</v>
      </c>
      <c r="J121" s="186">
        <v>0</v>
      </c>
      <c r="K121" s="186">
        <v>0</v>
      </c>
      <c r="L121" s="186">
        <v>0</v>
      </c>
      <c r="M121" s="185">
        <v>0</v>
      </c>
      <c r="N121" s="253"/>
      <c r="O121" s="151">
        <v>0</v>
      </c>
      <c r="P121" s="152">
        <v>0</v>
      </c>
      <c r="Q121" s="153">
        <v>0</v>
      </c>
      <c r="R121" s="154"/>
      <c r="S121" s="151">
        <v>0</v>
      </c>
      <c r="T121" s="155" t="s">
        <v>989</v>
      </c>
    </row>
    <row r="122" spans="1:20" s="126" customFormat="1" ht="15">
      <c r="A122" s="127"/>
      <c r="B122" s="191" t="s">
        <v>252</v>
      </c>
      <c r="C122" s="209" t="s">
        <v>203</v>
      </c>
      <c r="D122" s="151">
        <v>0</v>
      </c>
      <c r="E122" s="254">
        <v>0</v>
      </c>
      <c r="F122" s="254">
        <v>0</v>
      </c>
      <c r="G122" s="254">
        <v>0</v>
      </c>
      <c r="H122" s="153">
        <v>0</v>
      </c>
      <c r="I122" s="254">
        <v>0</v>
      </c>
      <c r="J122" s="152">
        <v>0</v>
      </c>
      <c r="K122" s="152">
        <v>0</v>
      </c>
      <c r="L122" s="152">
        <v>0</v>
      </c>
      <c r="M122" s="153">
        <v>0</v>
      </c>
      <c r="N122" s="253"/>
      <c r="O122" s="151">
        <v>0</v>
      </c>
      <c r="P122" s="152">
        <v>0</v>
      </c>
      <c r="Q122" s="153">
        <v>0</v>
      </c>
      <c r="R122" s="154"/>
      <c r="S122" s="151">
        <v>0</v>
      </c>
      <c r="T122" s="155" t="s">
        <v>989</v>
      </c>
    </row>
    <row r="123" spans="1:20" s="126" customFormat="1" ht="15">
      <c r="A123" s="127"/>
      <c r="B123" s="191"/>
      <c r="C123" s="209"/>
      <c r="D123" s="256"/>
      <c r="E123" s="257"/>
      <c r="F123" s="257"/>
      <c r="G123" s="257"/>
      <c r="H123" s="258"/>
      <c r="I123" s="257"/>
      <c r="J123" s="257"/>
      <c r="K123" s="257"/>
      <c r="L123" s="257"/>
      <c r="M123" s="258"/>
      <c r="N123" s="253"/>
      <c r="O123" s="256"/>
      <c r="P123" s="257"/>
      <c r="Q123" s="258"/>
      <c r="R123" s="154"/>
      <c r="S123" s="256"/>
      <c r="T123" s="258"/>
    </row>
    <row r="124" spans="1:20" s="126" customFormat="1" ht="15">
      <c r="A124" s="127"/>
      <c r="B124" s="248" t="s">
        <v>263</v>
      </c>
      <c r="C124" s="146" t="s">
        <v>203</v>
      </c>
      <c r="D124" s="164">
        <v>47.9</v>
      </c>
      <c r="E124" s="164">
        <v>34.199999999999996</v>
      </c>
      <c r="F124" s="164">
        <v>74.400000000000006</v>
      </c>
      <c r="G124" s="164">
        <v>47.7</v>
      </c>
      <c r="H124" s="163">
        <v>49.6</v>
      </c>
      <c r="I124" s="164">
        <v>50.599999999999994</v>
      </c>
      <c r="J124" s="162">
        <v>53</v>
      </c>
      <c r="K124" s="162">
        <v>56.9</v>
      </c>
      <c r="L124" s="162">
        <v>60.2</v>
      </c>
      <c r="M124" s="163">
        <v>63.6</v>
      </c>
      <c r="N124" s="262"/>
      <c r="O124" s="161">
        <v>156.5</v>
      </c>
      <c r="P124" s="162">
        <v>97.300000000000011</v>
      </c>
      <c r="Q124" s="163">
        <v>253.79999999999998</v>
      </c>
      <c r="R124" s="263"/>
      <c r="S124" s="161">
        <v>284.3</v>
      </c>
      <c r="T124" s="264">
        <v>0.12017336485421604</v>
      </c>
    </row>
    <row r="125" spans="1:20" s="126" customFormat="1" ht="15">
      <c r="A125" s="127"/>
      <c r="B125" s="248" t="s">
        <v>264</v>
      </c>
      <c r="C125" s="146" t="s">
        <v>203</v>
      </c>
      <c r="D125" s="183">
        <v>12.7</v>
      </c>
      <c r="E125" s="184">
        <v>16.3</v>
      </c>
      <c r="F125" s="184">
        <v>7.4</v>
      </c>
      <c r="G125" s="184">
        <v>2.6</v>
      </c>
      <c r="H125" s="185">
        <v>4.5</v>
      </c>
      <c r="I125" s="184">
        <v>5.7</v>
      </c>
      <c r="J125" s="186">
        <v>5.9</v>
      </c>
      <c r="K125" s="186">
        <v>6.3</v>
      </c>
      <c r="L125" s="186">
        <v>6.7</v>
      </c>
      <c r="M125" s="185">
        <v>7</v>
      </c>
      <c r="N125" s="262"/>
      <c r="O125" s="161">
        <v>36.4</v>
      </c>
      <c r="P125" s="162">
        <v>7.1</v>
      </c>
      <c r="Q125" s="163">
        <v>43.5</v>
      </c>
      <c r="R125" s="263"/>
      <c r="S125" s="161">
        <v>31.6</v>
      </c>
      <c r="T125" s="264">
        <v>-0.27356321839080455</v>
      </c>
    </row>
    <row r="126" spans="1:20" s="126" customFormat="1" ht="15">
      <c r="A126" s="127"/>
      <c r="B126" s="248" t="s">
        <v>265</v>
      </c>
      <c r="C126" s="146" t="s">
        <v>203</v>
      </c>
      <c r="D126" s="161">
        <v>60.599999999999994</v>
      </c>
      <c r="E126" s="164">
        <v>50.5</v>
      </c>
      <c r="F126" s="164">
        <v>81.800000000000011</v>
      </c>
      <c r="G126" s="164">
        <v>50.300000000000004</v>
      </c>
      <c r="H126" s="163">
        <v>54.1</v>
      </c>
      <c r="I126" s="164">
        <v>56.3</v>
      </c>
      <c r="J126" s="162">
        <v>58.9</v>
      </c>
      <c r="K126" s="162">
        <v>63.199999999999996</v>
      </c>
      <c r="L126" s="162">
        <v>66.900000000000006</v>
      </c>
      <c r="M126" s="163">
        <v>70.599999999999994</v>
      </c>
      <c r="N126" s="262"/>
      <c r="O126" s="161">
        <v>192.9</v>
      </c>
      <c r="P126" s="162">
        <v>104.4</v>
      </c>
      <c r="Q126" s="163">
        <v>297.3</v>
      </c>
      <c r="R126" s="263"/>
      <c r="S126" s="161">
        <v>315.89999999999998</v>
      </c>
      <c r="T126" s="264">
        <v>6.2563067608476172E-2</v>
      </c>
    </row>
    <row r="127" spans="1:20" s="126" customFormat="1" ht="15">
      <c r="A127" s="127"/>
      <c r="B127" s="248"/>
      <c r="C127" s="187"/>
      <c r="D127" s="270"/>
      <c r="E127" s="271"/>
      <c r="F127" s="271"/>
      <c r="G127" s="271"/>
      <c r="H127" s="272"/>
      <c r="I127" s="271"/>
      <c r="J127" s="271"/>
      <c r="K127" s="271"/>
      <c r="L127" s="271"/>
      <c r="M127" s="272"/>
      <c r="N127" s="253"/>
      <c r="O127" s="256"/>
      <c r="P127" s="257"/>
      <c r="Q127" s="258"/>
      <c r="R127" s="154"/>
      <c r="S127" s="256"/>
      <c r="T127" s="258"/>
    </row>
    <row r="128" spans="1:20" s="126" customFormat="1" ht="45.75" thickBot="1">
      <c r="A128" s="127"/>
      <c r="B128" s="199" t="s">
        <v>266</v>
      </c>
      <c r="C128" s="166" t="s">
        <v>203</v>
      </c>
      <c r="D128" s="170">
        <v>-6.369416693384224</v>
      </c>
      <c r="E128" s="170">
        <v>-11.662098602409635</v>
      </c>
      <c r="F128" s="170">
        <v>9.8745495078707393</v>
      </c>
      <c r="G128" s="170">
        <v>10.326197243589739</v>
      </c>
      <c r="H128" s="169">
        <v>11.582752663900401</v>
      </c>
      <c r="I128" s="170">
        <v>11.534798536622972</v>
      </c>
      <c r="J128" s="168">
        <v>10.05687923552123</v>
      </c>
      <c r="K128" s="168">
        <v>10.353938336271192</v>
      </c>
      <c r="L128" s="168">
        <v>10.372654105263152</v>
      </c>
      <c r="M128" s="169">
        <v>10.748229883553421</v>
      </c>
      <c r="N128" s="262"/>
      <c r="O128" s="167">
        <v>-8.1569657879231201</v>
      </c>
      <c r="P128" s="168">
        <v>21.90894990749014</v>
      </c>
      <c r="Q128" s="169">
        <v>13.75198411956702</v>
      </c>
      <c r="R128" s="263"/>
      <c r="S128" s="167">
        <v>53.066500097231966</v>
      </c>
      <c r="T128" s="273">
        <v>2.8588249983306961</v>
      </c>
    </row>
    <row r="129" spans="1:20" s="126" customFormat="1" ht="14.25">
      <c r="A129" s="127"/>
      <c r="B129" s="127"/>
      <c r="C129" s="129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</row>
    <row r="130" spans="1:20" s="126" customFormat="1" ht="15" thickBot="1">
      <c r="A130" s="127"/>
      <c r="B130" s="127"/>
      <c r="C130" s="129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</row>
    <row r="131" spans="1:20" s="126" customFormat="1" ht="14.25" customHeight="1">
      <c r="A131" s="127"/>
      <c r="B131" s="1507"/>
      <c r="C131" s="1503" t="s">
        <v>190</v>
      </c>
      <c r="D131" s="275" t="s">
        <v>191</v>
      </c>
      <c r="E131" s="276"/>
      <c r="F131" s="276"/>
      <c r="G131" s="276"/>
      <c r="H131" s="277"/>
      <c r="I131" s="276" t="s">
        <v>192</v>
      </c>
      <c r="J131" s="278"/>
      <c r="K131" s="278"/>
      <c r="L131" s="278"/>
      <c r="M131" s="277"/>
      <c r="N131" s="253"/>
      <c r="O131" s="279" t="s">
        <v>191</v>
      </c>
      <c r="P131" s="280"/>
      <c r="Q131" s="281"/>
      <c r="R131" s="253"/>
      <c r="S131" s="279" t="s">
        <v>192</v>
      </c>
      <c r="T131" s="281"/>
    </row>
    <row r="132" spans="1:20" s="126" customFormat="1" ht="14.25" customHeight="1">
      <c r="A132" s="127"/>
      <c r="B132" s="1508"/>
      <c r="C132" s="1504"/>
      <c r="D132" s="282" t="s">
        <v>79</v>
      </c>
      <c r="E132" s="283" t="s">
        <v>80</v>
      </c>
      <c r="F132" s="283" t="s">
        <v>81</v>
      </c>
      <c r="G132" s="283" t="s">
        <v>82</v>
      </c>
      <c r="H132" s="284" t="s">
        <v>44</v>
      </c>
      <c r="I132" s="285" t="s">
        <v>193</v>
      </c>
      <c r="J132" s="283" t="s">
        <v>194</v>
      </c>
      <c r="K132" s="283" t="s">
        <v>195</v>
      </c>
      <c r="L132" s="283" t="s">
        <v>196</v>
      </c>
      <c r="M132" s="284" t="s">
        <v>197</v>
      </c>
      <c r="N132" s="253"/>
      <c r="O132" s="286" t="s">
        <v>198</v>
      </c>
      <c r="P132" s="287" t="s">
        <v>199</v>
      </c>
      <c r="Q132" s="288" t="s">
        <v>200</v>
      </c>
      <c r="R132" s="253"/>
      <c r="S132" s="286" t="s">
        <v>199</v>
      </c>
      <c r="T132" s="288" t="s">
        <v>201</v>
      </c>
    </row>
    <row r="133" spans="1:20" s="126" customFormat="1" ht="15" customHeight="1">
      <c r="A133" s="127"/>
      <c r="B133" s="192" t="s">
        <v>267</v>
      </c>
      <c r="C133" s="289" t="s">
        <v>203</v>
      </c>
      <c r="D133" s="147">
        <v>5.0651517863320379</v>
      </c>
      <c r="E133" s="148">
        <v>3.5707367555143676</v>
      </c>
      <c r="F133" s="148">
        <v>9.8550149718733593</v>
      </c>
      <c r="G133" s="148">
        <v>5.428514551282051</v>
      </c>
      <c r="H133" s="149">
        <v>2.7223579087136933</v>
      </c>
      <c r="I133" s="148">
        <v>2.7169039845797993</v>
      </c>
      <c r="J133" s="150">
        <v>2.8976275969111978</v>
      </c>
      <c r="K133" s="150">
        <v>3.2746187606779671</v>
      </c>
      <c r="L133" s="150">
        <v>3.4563958105263151</v>
      </c>
      <c r="M133" s="149">
        <v>3.72902424669868</v>
      </c>
      <c r="N133" s="274"/>
      <c r="O133" s="290">
        <v>18.490903513719765</v>
      </c>
      <c r="P133" s="291">
        <v>8.1508724599957443</v>
      </c>
      <c r="Q133" s="292">
        <v>26.641775973715507</v>
      </c>
      <c r="R133" s="154"/>
      <c r="S133" s="290">
        <v>16.074570399393959</v>
      </c>
      <c r="T133" s="293">
        <v>-0.3966404336087444</v>
      </c>
    </row>
    <row r="134" spans="1:20" s="126" customFormat="1" ht="15" customHeight="1">
      <c r="A134" s="127"/>
      <c r="B134" s="192" t="s">
        <v>268</v>
      </c>
      <c r="C134" s="289" t="s">
        <v>203</v>
      </c>
      <c r="D134" s="156">
        <v>1.2663658035193084</v>
      </c>
      <c r="E134" s="157">
        <v>0.86799591696014833</v>
      </c>
      <c r="F134" s="157">
        <v>7.2210064652169592</v>
      </c>
      <c r="G134" s="157">
        <v>7.6496454700854688</v>
      </c>
      <c r="H134" s="158">
        <v>13.578802589211616</v>
      </c>
      <c r="I134" s="157">
        <v>14.75764698997687</v>
      </c>
      <c r="J134" s="159">
        <v>13.347613598455599</v>
      </c>
      <c r="K134" s="159">
        <v>13.725859389830509</v>
      </c>
      <c r="L134" s="159">
        <v>14.008838578947369</v>
      </c>
      <c r="M134" s="158">
        <v>14.481358279111644</v>
      </c>
      <c r="N134" s="274"/>
      <c r="O134" s="151">
        <v>9.3553681856964168</v>
      </c>
      <c r="P134" s="152">
        <v>21.228448059297087</v>
      </c>
      <c r="Q134" s="153">
        <v>30.583816244993503</v>
      </c>
      <c r="R134" s="154"/>
      <c r="S134" s="151">
        <v>70.321316836321984</v>
      </c>
      <c r="T134" s="155">
        <v>1.2992983044695547</v>
      </c>
    </row>
    <row r="135" spans="1:20" s="126" customFormat="1" ht="15" customHeight="1">
      <c r="A135" s="127"/>
      <c r="B135" s="192" t="s">
        <v>269</v>
      </c>
      <c r="C135" s="289" t="s">
        <v>203</v>
      </c>
      <c r="D135" s="156">
        <v>-9.3428323557476212E-4</v>
      </c>
      <c r="E135" s="157">
        <v>0.19916872511584802</v>
      </c>
      <c r="F135" s="157">
        <v>0.1985280707804401</v>
      </c>
      <c r="G135" s="157">
        <v>0</v>
      </c>
      <c r="H135" s="158">
        <v>0</v>
      </c>
      <c r="I135" s="157">
        <v>0</v>
      </c>
      <c r="J135" s="159">
        <v>0</v>
      </c>
      <c r="K135" s="159">
        <v>0</v>
      </c>
      <c r="L135" s="159">
        <v>0</v>
      </c>
      <c r="M135" s="158">
        <v>0</v>
      </c>
      <c r="N135" s="274"/>
      <c r="O135" s="151">
        <v>0.39676251266071338</v>
      </c>
      <c r="P135" s="152">
        <v>0</v>
      </c>
      <c r="Q135" s="153">
        <v>0.39676251266071338</v>
      </c>
      <c r="R135" s="154"/>
      <c r="S135" s="151">
        <v>0</v>
      </c>
      <c r="T135" s="155">
        <v>-1</v>
      </c>
    </row>
    <row r="136" spans="1:20" s="126" customFormat="1" ht="15" customHeight="1" thickBot="1">
      <c r="A136" s="127"/>
      <c r="B136" s="294" t="s">
        <v>270</v>
      </c>
      <c r="C136" s="295" t="s">
        <v>203</v>
      </c>
      <c r="D136" s="296">
        <v>0</v>
      </c>
      <c r="E136" s="297">
        <v>0</v>
      </c>
      <c r="F136" s="297">
        <v>0</v>
      </c>
      <c r="G136" s="297">
        <v>0</v>
      </c>
      <c r="H136" s="298">
        <v>0</v>
      </c>
      <c r="I136" s="297">
        <v>0</v>
      </c>
      <c r="J136" s="299">
        <v>0</v>
      </c>
      <c r="K136" s="299">
        <v>0</v>
      </c>
      <c r="L136" s="299">
        <v>0</v>
      </c>
      <c r="M136" s="298">
        <v>0</v>
      </c>
      <c r="N136" s="274"/>
      <c r="O136" s="171">
        <v>0</v>
      </c>
      <c r="P136" s="172">
        <v>0</v>
      </c>
      <c r="Q136" s="173">
        <v>0</v>
      </c>
      <c r="R136" s="154"/>
      <c r="S136" s="171">
        <v>0</v>
      </c>
      <c r="T136" s="174" t="s">
        <v>989</v>
      </c>
    </row>
    <row r="137" spans="1:20" s="126" customFormat="1" ht="14.25">
      <c r="A137" s="300"/>
      <c r="B137" s="300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129"/>
      <c r="P137" s="129"/>
      <c r="Q137" s="129"/>
      <c r="R137" s="129"/>
      <c r="S137" s="129"/>
      <c r="T137" s="129"/>
    </row>
    <row r="138" spans="1:20" s="126" customFormat="1" ht="14.25">
      <c r="A138" s="127"/>
      <c r="B138" s="127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</row>
    <row r="139" spans="1:20" s="126" customFormat="1" ht="14.25">
      <c r="A139" s="127"/>
      <c r="B139" s="127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</row>
    <row r="140" spans="1:20" s="126" customFormat="1" ht="14.25">
      <c r="A140" s="127"/>
      <c r="B140" s="127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</row>
    <row r="141" spans="1:20" s="126" customFormat="1" ht="14.25">
      <c r="A141" s="127"/>
      <c r="B141" s="127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</row>
    <row r="142" spans="1:20" s="126" customFormat="1" ht="14.25">
      <c r="A142" s="127"/>
      <c r="B142" s="127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</row>
    <row r="143" spans="1:20" s="126" customFormat="1" ht="14.25">
      <c r="A143" s="127"/>
      <c r="B143" s="127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</row>
    <row r="144" spans="1:20" s="126" customFormat="1" ht="14.25">
      <c r="A144" s="127"/>
      <c r="B144" s="127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</row>
  </sheetData>
  <mergeCells count="12">
    <mergeCell ref="B8:B9"/>
    <mergeCell ref="C8:C9"/>
    <mergeCell ref="B18:B19"/>
    <mergeCell ref="C18:C19"/>
    <mergeCell ref="B51:B52"/>
    <mergeCell ref="C51:C52"/>
    <mergeCell ref="B76:B77"/>
    <mergeCell ref="C76:C77"/>
    <mergeCell ref="B105:B106"/>
    <mergeCell ref="C105:C106"/>
    <mergeCell ref="B131:B132"/>
    <mergeCell ref="C131:C132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zoomScaleSheetLayoutView="85" workbookViewId="0">
      <selection sqref="A1:XFD1048576"/>
    </sheetView>
  </sheetViews>
  <sheetFormatPr defaultColWidth="10.28515625" defaultRowHeight="12.75"/>
  <cols>
    <col min="1" max="1" width="3.7109375" style="316" customWidth="1"/>
    <col min="2" max="2" width="105.28515625" style="316" customWidth="1"/>
    <col min="3" max="3" width="7.42578125" style="317" customWidth="1"/>
    <col min="4" max="8" width="10" style="318" customWidth="1"/>
    <col min="9" max="13" width="10.28515625" style="318" customWidth="1"/>
    <col min="14" max="14" width="3.140625" style="318" customWidth="1"/>
    <col min="15" max="17" width="10.28515625" style="318" customWidth="1"/>
    <col min="18" max="18" width="3.140625" style="318" customWidth="1"/>
    <col min="19" max="19" width="10.28515625" style="318" customWidth="1"/>
    <col min="20" max="20" width="13" style="318" customWidth="1"/>
    <col min="21" max="16384" width="10.28515625" style="316"/>
  </cols>
  <sheetData>
    <row r="1" spans="1:30" s="307" customFormat="1" ht="26.25">
      <c r="A1" s="301" t="s">
        <v>74</v>
      </c>
      <c r="B1" s="302"/>
      <c r="C1" s="303"/>
      <c r="D1" s="304"/>
      <c r="E1" s="304"/>
      <c r="F1" s="304"/>
      <c r="G1" s="304"/>
      <c r="H1" s="304"/>
      <c r="I1" s="304"/>
      <c r="J1" s="305"/>
      <c r="K1" s="306"/>
      <c r="L1" s="306"/>
      <c r="M1" s="305"/>
      <c r="N1" s="305"/>
      <c r="O1" s="306"/>
      <c r="P1" s="305"/>
      <c r="Q1" s="305"/>
      <c r="R1" s="305"/>
      <c r="S1" s="305"/>
      <c r="T1" s="305"/>
      <c r="Y1" s="308"/>
      <c r="Z1" s="308"/>
      <c r="AA1" s="308"/>
      <c r="AB1" s="308"/>
      <c r="AC1" s="308"/>
      <c r="AD1" s="308"/>
    </row>
    <row r="2" spans="1:30" s="307" customFormat="1" ht="18">
      <c r="A2" s="309"/>
      <c r="C2" s="310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Y2" s="308"/>
      <c r="Z2" s="308"/>
      <c r="AA2" s="308"/>
      <c r="AB2" s="308"/>
      <c r="AC2" s="308"/>
      <c r="AD2" s="308"/>
    </row>
    <row r="3" spans="1:30" s="312" customFormat="1" ht="18.75" thickBot="1">
      <c r="A3" s="311" t="s">
        <v>271</v>
      </c>
      <c r="C3" s="313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Y3" s="315"/>
      <c r="Z3" s="315"/>
      <c r="AA3" s="315"/>
      <c r="AB3" s="315"/>
      <c r="AC3" s="315"/>
      <c r="AD3" s="315"/>
    </row>
    <row r="4" spans="1:30">
      <c r="R4" s="319"/>
    </row>
    <row r="5" spans="1:30"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9"/>
      <c r="S5" s="316"/>
      <c r="T5" s="316"/>
    </row>
    <row r="6" spans="1:30">
      <c r="B6" s="320" t="s">
        <v>272</v>
      </c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9"/>
      <c r="S6" s="316"/>
      <c r="T6" s="316"/>
    </row>
    <row r="7" spans="1:30" ht="13.5" thickBot="1"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9"/>
      <c r="S7" s="316"/>
      <c r="T7" s="316"/>
    </row>
    <row r="8" spans="1:30">
      <c r="B8" s="1509"/>
      <c r="C8" s="1511" t="s">
        <v>190</v>
      </c>
      <c r="D8" s="321" t="s">
        <v>191</v>
      </c>
      <c r="E8" s="322"/>
      <c r="F8" s="322"/>
      <c r="G8" s="322"/>
      <c r="H8" s="323"/>
      <c r="I8" s="322" t="s">
        <v>192</v>
      </c>
      <c r="J8" s="324"/>
      <c r="K8" s="324"/>
      <c r="L8" s="324"/>
      <c r="M8" s="323"/>
      <c r="N8" s="316"/>
      <c r="O8" s="325" t="s">
        <v>191</v>
      </c>
      <c r="P8" s="326"/>
      <c r="Q8" s="327"/>
      <c r="R8" s="319"/>
      <c r="S8" s="325" t="s">
        <v>192</v>
      </c>
      <c r="T8" s="327"/>
    </row>
    <row r="9" spans="1:30">
      <c r="B9" s="1510"/>
      <c r="C9" s="1512"/>
      <c r="D9" s="328" t="s">
        <v>79</v>
      </c>
      <c r="E9" s="329" t="s">
        <v>80</v>
      </c>
      <c r="F9" s="329" t="s">
        <v>81</v>
      </c>
      <c r="G9" s="329" t="s">
        <v>82</v>
      </c>
      <c r="H9" s="330" t="s">
        <v>44</v>
      </c>
      <c r="I9" s="331" t="s">
        <v>193</v>
      </c>
      <c r="J9" s="329" t="s">
        <v>194</v>
      </c>
      <c r="K9" s="329" t="s">
        <v>195</v>
      </c>
      <c r="L9" s="329" t="s">
        <v>196</v>
      </c>
      <c r="M9" s="330" t="s">
        <v>197</v>
      </c>
      <c r="N9" s="316"/>
      <c r="O9" s="332" t="s">
        <v>198</v>
      </c>
      <c r="P9" s="333" t="s">
        <v>199</v>
      </c>
      <c r="Q9" s="334" t="s">
        <v>200</v>
      </c>
      <c r="R9" s="319"/>
      <c r="S9" s="332" t="s">
        <v>199</v>
      </c>
      <c r="T9" s="334" t="s">
        <v>201</v>
      </c>
    </row>
    <row r="10" spans="1:30">
      <c r="B10" s="335" t="s">
        <v>273</v>
      </c>
      <c r="C10" s="336" t="s">
        <v>203</v>
      </c>
      <c r="D10" s="337">
        <f t="shared" ref="D10:M10" si="0">SUM(D178,D217,D240)</f>
        <v>0</v>
      </c>
      <c r="E10" s="337">
        <f t="shared" si="0"/>
        <v>0</v>
      </c>
      <c r="F10" s="337">
        <f t="shared" si="0"/>
        <v>0</v>
      </c>
      <c r="G10" s="337">
        <f t="shared" si="0"/>
        <v>0</v>
      </c>
      <c r="H10" s="338">
        <f t="shared" si="0"/>
        <v>0</v>
      </c>
      <c r="I10" s="337">
        <f t="shared" si="0"/>
        <v>0</v>
      </c>
      <c r="J10" s="339">
        <f t="shared" si="0"/>
        <v>0</v>
      </c>
      <c r="K10" s="339">
        <f t="shared" si="0"/>
        <v>0</v>
      </c>
      <c r="L10" s="339">
        <f t="shared" si="0"/>
        <v>0</v>
      </c>
      <c r="M10" s="338">
        <f t="shared" si="0"/>
        <v>0</v>
      </c>
      <c r="N10" s="316"/>
      <c r="O10" s="340">
        <f t="shared" ref="O10:O15" si="1">SUM(D10:G10)</f>
        <v>0</v>
      </c>
      <c r="P10" s="341">
        <f t="shared" ref="P10:P15" si="2">SUM(H10)</f>
        <v>0</v>
      </c>
      <c r="Q10" s="342">
        <f t="shared" ref="Q10:Q15" si="3">SUM(D10:H10)</f>
        <v>0</v>
      </c>
      <c r="R10" s="319"/>
      <c r="S10" s="340">
        <f t="shared" ref="S10:S15" si="4">SUM(I10:M10)</f>
        <v>0</v>
      </c>
      <c r="T10" s="155" t="str">
        <f t="shared" ref="T10:T15" si="5">IF(Q10&lt;&gt;0,(S10-Q10)/Q10,"0")</f>
        <v>0</v>
      </c>
    </row>
    <row r="11" spans="1:30">
      <c r="B11" s="335" t="s">
        <v>274</v>
      </c>
      <c r="C11" s="336" t="s">
        <v>203</v>
      </c>
      <c r="D11" s="343">
        <f t="shared" ref="D11:M11" si="6">D240</f>
        <v>0</v>
      </c>
      <c r="E11" s="337">
        <f t="shared" si="6"/>
        <v>0</v>
      </c>
      <c r="F11" s="337">
        <f t="shared" si="6"/>
        <v>0</v>
      </c>
      <c r="G11" s="337">
        <f t="shared" si="6"/>
        <v>0</v>
      </c>
      <c r="H11" s="338">
        <f t="shared" si="6"/>
        <v>0</v>
      </c>
      <c r="I11" s="337">
        <f t="shared" si="6"/>
        <v>0</v>
      </c>
      <c r="J11" s="339">
        <f t="shared" si="6"/>
        <v>0</v>
      </c>
      <c r="K11" s="339">
        <f t="shared" si="6"/>
        <v>0</v>
      </c>
      <c r="L11" s="339">
        <f t="shared" si="6"/>
        <v>0</v>
      </c>
      <c r="M11" s="338">
        <f t="shared" si="6"/>
        <v>0</v>
      </c>
      <c r="N11" s="316"/>
      <c r="O11" s="340">
        <f t="shared" si="1"/>
        <v>0</v>
      </c>
      <c r="P11" s="341">
        <f t="shared" si="2"/>
        <v>0</v>
      </c>
      <c r="Q11" s="342">
        <f t="shared" si="3"/>
        <v>0</v>
      </c>
      <c r="R11" s="319"/>
      <c r="S11" s="340">
        <f t="shared" si="4"/>
        <v>0</v>
      </c>
      <c r="T11" s="155" t="str">
        <f t="shared" si="5"/>
        <v>0</v>
      </c>
    </row>
    <row r="12" spans="1:30">
      <c r="B12" s="344" t="s">
        <v>275</v>
      </c>
      <c r="C12" s="336" t="s">
        <v>203</v>
      </c>
      <c r="D12" s="343">
        <f t="shared" ref="D12:M12" si="7">D263</f>
        <v>0</v>
      </c>
      <c r="E12" s="337">
        <f t="shared" si="7"/>
        <v>0</v>
      </c>
      <c r="F12" s="337">
        <f t="shared" si="7"/>
        <v>0</v>
      </c>
      <c r="G12" s="337">
        <f t="shared" si="7"/>
        <v>0</v>
      </c>
      <c r="H12" s="338">
        <f t="shared" si="7"/>
        <v>0</v>
      </c>
      <c r="I12" s="337">
        <f t="shared" si="7"/>
        <v>0</v>
      </c>
      <c r="J12" s="339">
        <f t="shared" si="7"/>
        <v>0</v>
      </c>
      <c r="K12" s="339">
        <f t="shared" si="7"/>
        <v>0</v>
      </c>
      <c r="L12" s="339">
        <f t="shared" si="7"/>
        <v>0</v>
      </c>
      <c r="M12" s="338">
        <f t="shared" si="7"/>
        <v>0</v>
      </c>
      <c r="N12" s="316"/>
      <c r="O12" s="340">
        <f t="shared" si="1"/>
        <v>0</v>
      </c>
      <c r="P12" s="341">
        <f t="shared" si="2"/>
        <v>0</v>
      </c>
      <c r="Q12" s="342">
        <f t="shared" si="3"/>
        <v>0</v>
      </c>
      <c r="R12" s="319"/>
      <c r="S12" s="340">
        <f t="shared" si="4"/>
        <v>0</v>
      </c>
      <c r="T12" s="155" t="str">
        <f t="shared" si="5"/>
        <v>0</v>
      </c>
    </row>
    <row r="13" spans="1:30">
      <c r="B13" s="335" t="s">
        <v>276</v>
      </c>
      <c r="C13" s="336" t="s">
        <v>203</v>
      </c>
      <c r="D13" s="345">
        <f t="shared" ref="D13:M13" si="8">D11-D12</f>
        <v>0</v>
      </c>
      <c r="E13" s="346">
        <f t="shared" si="8"/>
        <v>0</v>
      </c>
      <c r="F13" s="346">
        <f t="shared" si="8"/>
        <v>0</v>
      </c>
      <c r="G13" s="346">
        <f t="shared" si="8"/>
        <v>0</v>
      </c>
      <c r="H13" s="347">
        <f t="shared" si="8"/>
        <v>0</v>
      </c>
      <c r="I13" s="348">
        <f t="shared" si="8"/>
        <v>0</v>
      </c>
      <c r="J13" s="346">
        <f t="shared" si="8"/>
        <v>0</v>
      </c>
      <c r="K13" s="346">
        <f t="shared" si="8"/>
        <v>0</v>
      </c>
      <c r="L13" s="346">
        <f t="shared" si="8"/>
        <v>0</v>
      </c>
      <c r="M13" s="347">
        <f t="shared" si="8"/>
        <v>0</v>
      </c>
      <c r="N13" s="316"/>
      <c r="O13" s="340">
        <f t="shared" si="1"/>
        <v>0</v>
      </c>
      <c r="P13" s="341">
        <f t="shared" si="2"/>
        <v>0</v>
      </c>
      <c r="Q13" s="342">
        <f t="shared" si="3"/>
        <v>0</v>
      </c>
      <c r="R13" s="319"/>
      <c r="S13" s="340">
        <f t="shared" si="4"/>
        <v>0</v>
      </c>
      <c r="T13" s="155" t="str">
        <f t="shared" si="5"/>
        <v>0</v>
      </c>
    </row>
    <row r="14" spans="1:30">
      <c r="B14" s="335" t="s">
        <v>277</v>
      </c>
      <c r="C14" s="336" t="s">
        <v>203</v>
      </c>
      <c r="D14" s="349"/>
      <c r="E14" s="349"/>
      <c r="F14" s="349"/>
      <c r="G14" s="349"/>
      <c r="H14" s="349"/>
      <c r="I14" s="349"/>
      <c r="J14" s="349"/>
      <c r="K14" s="349"/>
      <c r="L14" s="349"/>
      <c r="M14" s="349">
        <v>0.3</v>
      </c>
      <c r="N14" s="316"/>
      <c r="O14" s="340">
        <f t="shared" si="1"/>
        <v>0</v>
      </c>
      <c r="P14" s="341">
        <f t="shared" si="2"/>
        <v>0</v>
      </c>
      <c r="Q14" s="342">
        <f t="shared" si="3"/>
        <v>0</v>
      </c>
      <c r="R14" s="319"/>
      <c r="S14" s="340">
        <f t="shared" si="4"/>
        <v>0.3</v>
      </c>
      <c r="T14" s="155" t="str">
        <f t="shared" si="5"/>
        <v>0</v>
      </c>
    </row>
    <row r="15" spans="1:30">
      <c r="B15" s="335" t="s">
        <v>278</v>
      </c>
      <c r="C15" s="336" t="s">
        <v>203</v>
      </c>
      <c r="D15" s="350">
        <f t="shared" ref="D15:M15" si="9">D13+D14</f>
        <v>0</v>
      </c>
      <c r="E15" s="351">
        <f t="shared" si="9"/>
        <v>0</v>
      </c>
      <c r="F15" s="351">
        <f t="shared" si="9"/>
        <v>0</v>
      </c>
      <c r="G15" s="351">
        <f t="shared" si="9"/>
        <v>0</v>
      </c>
      <c r="H15" s="352">
        <f t="shared" si="9"/>
        <v>0</v>
      </c>
      <c r="I15" s="351">
        <f t="shared" si="9"/>
        <v>0</v>
      </c>
      <c r="J15" s="353">
        <f t="shared" si="9"/>
        <v>0</v>
      </c>
      <c r="K15" s="353">
        <f t="shared" si="9"/>
        <v>0</v>
      </c>
      <c r="L15" s="353">
        <f t="shared" si="9"/>
        <v>0</v>
      </c>
      <c r="M15" s="352">
        <f t="shared" si="9"/>
        <v>0.3</v>
      </c>
      <c r="N15" s="316"/>
      <c r="O15" s="340">
        <f t="shared" si="1"/>
        <v>0</v>
      </c>
      <c r="P15" s="341">
        <f t="shared" si="2"/>
        <v>0</v>
      </c>
      <c r="Q15" s="342">
        <f t="shared" si="3"/>
        <v>0</v>
      </c>
      <c r="R15" s="319"/>
      <c r="S15" s="340">
        <f t="shared" si="4"/>
        <v>0.3</v>
      </c>
      <c r="T15" s="155" t="str">
        <f t="shared" si="5"/>
        <v>0</v>
      </c>
    </row>
    <row r="16" spans="1:30" ht="13.5" thickBot="1">
      <c r="B16" s="354" t="s">
        <v>279</v>
      </c>
      <c r="C16" s="355"/>
      <c r="D16" s="356" t="str">
        <f t="shared" ref="D16:M16" si="10">IF(D13-SUM(D31,D35,D39,D43)=0,"OK","ERROR")</f>
        <v>OK</v>
      </c>
      <c r="E16" s="357" t="str">
        <f t="shared" si="10"/>
        <v>OK</v>
      </c>
      <c r="F16" s="357" t="str">
        <f t="shared" si="10"/>
        <v>OK</v>
      </c>
      <c r="G16" s="357" t="str">
        <f t="shared" si="10"/>
        <v>OK</v>
      </c>
      <c r="H16" s="358" t="str">
        <f t="shared" si="10"/>
        <v>OK</v>
      </c>
      <c r="I16" s="357" t="str">
        <f t="shared" si="10"/>
        <v>OK</v>
      </c>
      <c r="J16" s="359" t="str">
        <f t="shared" si="10"/>
        <v>OK</v>
      </c>
      <c r="K16" s="359" t="str">
        <f t="shared" si="10"/>
        <v>OK</v>
      </c>
      <c r="L16" s="359" t="str">
        <f t="shared" si="10"/>
        <v>OK</v>
      </c>
      <c r="M16" s="358" t="str">
        <f t="shared" si="10"/>
        <v>OK</v>
      </c>
      <c r="N16" s="316"/>
      <c r="O16" s="360"/>
      <c r="P16" s="361"/>
      <c r="Q16" s="362"/>
      <c r="R16" s="319"/>
      <c r="S16" s="360"/>
      <c r="T16" s="363"/>
    </row>
    <row r="17" spans="2:20" ht="13.5" thickBot="1"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9"/>
      <c r="S17" s="316"/>
      <c r="T17" s="316"/>
    </row>
    <row r="18" spans="2:20">
      <c r="B18" s="364"/>
      <c r="C18" s="365"/>
      <c r="D18" s="321" t="s">
        <v>191</v>
      </c>
      <c r="E18" s="322"/>
      <c r="F18" s="322"/>
      <c r="G18" s="322"/>
      <c r="H18" s="323"/>
      <c r="I18" s="322" t="s">
        <v>192</v>
      </c>
      <c r="J18" s="324"/>
      <c r="K18" s="324"/>
      <c r="L18" s="324"/>
      <c r="M18" s="323"/>
      <c r="N18" s="316"/>
      <c r="O18" s="325" t="s">
        <v>191</v>
      </c>
      <c r="P18" s="326"/>
      <c r="Q18" s="327"/>
      <c r="R18" s="319"/>
      <c r="S18" s="325" t="s">
        <v>192</v>
      </c>
      <c r="T18" s="327"/>
    </row>
    <row r="19" spans="2:20">
      <c r="B19" s="366"/>
      <c r="C19" s="367" t="s">
        <v>190</v>
      </c>
      <c r="D19" s="328" t="s">
        <v>79</v>
      </c>
      <c r="E19" s="329" t="s">
        <v>80</v>
      </c>
      <c r="F19" s="329" t="s">
        <v>81</v>
      </c>
      <c r="G19" s="329" t="s">
        <v>82</v>
      </c>
      <c r="H19" s="330" t="s">
        <v>44</v>
      </c>
      <c r="I19" s="331" t="s">
        <v>193</v>
      </c>
      <c r="J19" s="329" t="s">
        <v>194</v>
      </c>
      <c r="K19" s="329" t="s">
        <v>195</v>
      </c>
      <c r="L19" s="329" t="s">
        <v>196</v>
      </c>
      <c r="M19" s="330" t="s">
        <v>197</v>
      </c>
      <c r="N19" s="316"/>
      <c r="O19" s="332" t="s">
        <v>198</v>
      </c>
      <c r="P19" s="333" t="s">
        <v>199</v>
      </c>
      <c r="Q19" s="334" t="s">
        <v>200</v>
      </c>
      <c r="R19" s="319"/>
      <c r="S19" s="332" t="s">
        <v>199</v>
      </c>
      <c r="T19" s="334" t="s">
        <v>201</v>
      </c>
    </row>
    <row r="20" spans="2:20">
      <c r="B20" s="335" t="s">
        <v>280</v>
      </c>
      <c r="C20" s="336" t="s">
        <v>203</v>
      </c>
      <c r="D20" s="349"/>
      <c r="E20" s="368"/>
      <c r="F20" s="368"/>
      <c r="G20" s="368"/>
      <c r="H20" s="369"/>
      <c r="I20" s="368"/>
      <c r="J20" s="370"/>
      <c r="K20" s="370"/>
      <c r="L20" s="370"/>
      <c r="M20" s="369"/>
      <c r="N20" s="316"/>
      <c r="O20" s="340">
        <f>SUM(D20:G20)</f>
        <v>0</v>
      </c>
      <c r="P20" s="341">
        <f>SUM(H20)</f>
        <v>0</v>
      </c>
      <c r="Q20" s="342">
        <f>SUM(D20:H20)</f>
        <v>0</v>
      </c>
      <c r="R20" s="319"/>
      <c r="S20" s="340">
        <f>SUM(I20:M20)</f>
        <v>0</v>
      </c>
      <c r="T20" s="155" t="str">
        <f>IF(Q20&lt;&gt;0,(S20-Q20)/Q20,"0")</f>
        <v>0</v>
      </c>
    </row>
    <row r="21" spans="2:20">
      <c r="B21" s="335" t="s">
        <v>281</v>
      </c>
      <c r="C21" s="336" t="s">
        <v>203</v>
      </c>
      <c r="D21" s="349"/>
      <c r="E21" s="368"/>
      <c r="F21" s="368"/>
      <c r="G21" s="368"/>
      <c r="H21" s="369"/>
      <c r="I21" s="368"/>
      <c r="J21" s="370"/>
      <c r="K21" s="370"/>
      <c r="L21" s="370"/>
      <c r="M21" s="369"/>
      <c r="N21" s="316"/>
      <c r="O21" s="340">
        <f>SUM(D21:G21)</f>
        <v>0</v>
      </c>
      <c r="P21" s="341">
        <f>SUM(H21)</f>
        <v>0</v>
      </c>
      <c r="Q21" s="342">
        <f>SUM(D21:H21)</f>
        <v>0</v>
      </c>
      <c r="R21" s="319"/>
      <c r="S21" s="340">
        <f>SUM(I21:M21)</f>
        <v>0</v>
      </c>
      <c r="T21" s="155" t="str">
        <f>IF(Q21&lt;&gt;0,(S21-Q21)/Q21,"0")</f>
        <v>0</v>
      </c>
    </row>
    <row r="22" spans="2:20" ht="13.5" thickBot="1">
      <c r="B22" s="354" t="s">
        <v>200</v>
      </c>
      <c r="C22" s="355" t="s">
        <v>203</v>
      </c>
      <c r="D22" s="371">
        <f t="shared" ref="D22:M22" si="11">D20+D21</f>
        <v>0</v>
      </c>
      <c r="E22" s="372">
        <f t="shared" si="11"/>
        <v>0</v>
      </c>
      <c r="F22" s="372">
        <f t="shared" si="11"/>
        <v>0</v>
      </c>
      <c r="G22" s="372">
        <f t="shared" si="11"/>
        <v>0</v>
      </c>
      <c r="H22" s="373">
        <f t="shared" si="11"/>
        <v>0</v>
      </c>
      <c r="I22" s="372">
        <f t="shared" si="11"/>
        <v>0</v>
      </c>
      <c r="J22" s="374">
        <f t="shared" si="11"/>
        <v>0</v>
      </c>
      <c r="K22" s="374">
        <f t="shared" si="11"/>
        <v>0</v>
      </c>
      <c r="L22" s="374">
        <f t="shared" si="11"/>
        <v>0</v>
      </c>
      <c r="M22" s="373">
        <f t="shared" si="11"/>
        <v>0</v>
      </c>
      <c r="N22" s="316"/>
      <c r="O22" s="375">
        <f>SUM(D22:G22)</f>
        <v>0</v>
      </c>
      <c r="P22" s="376">
        <f>SUM(H22)</f>
        <v>0</v>
      </c>
      <c r="Q22" s="377">
        <f>SUM(D22:H22)</f>
        <v>0</v>
      </c>
      <c r="R22" s="319"/>
      <c r="S22" s="375">
        <f>SUM(I22:M22)</f>
        <v>0</v>
      </c>
      <c r="T22" s="174" t="str">
        <f>IF(Q22&lt;&gt;0,(S22-Q22)/Q22,"0")</f>
        <v>0</v>
      </c>
    </row>
    <row r="23" spans="2:20"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9"/>
      <c r="S23" s="316"/>
      <c r="T23" s="316"/>
    </row>
    <row r="24" spans="2:20">
      <c r="B24" s="378" t="s">
        <v>282</v>
      </c>
      <c r="C24" s="379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19"/>
      <c r="O24" s="380"/>
      <c r="P24" s="380"/>
      <c r="Q24" s="380"/>
      <c r="R24" s="319"/>
      <c r="S24" s="380"/>
      <c r="T24" s="380"/>
    </row>
    <row r="25" spans="2:20" ht="13.5" thickBot="1">
      <c r="B25" s="378"/>
      <c r="C25" s="379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19"/>
      <c r="O25" s="380"/>
      <c r="P25" s="380"/>
      <c r="Q25" s="380"/>
      <c r="R25" s="319"/>
      <c r="S25" s="380"/>
      <c r="T25" s="380"/>
    </row>
    <row r="26" spans="2:20">
      <c r="B26" s="1513"/>
      <c r="C26" s="1511" t="s">
        <v>190</v>
      </c>
      <c r="D26" s="321" t="s">
        <v>191</v>
      </c>
      <c r="E26" s="322"/>
      <c r="F26" s="322"/>
      <c r="G26" s="322"/>
      <c r="H26" s="323"/>
      <c r="I26" s="322" t="s">
        <v>192</v>
      </c>
      <c r="J26" s="324"/>
      <c r="K26" s="324"/>
      <c r="L26" s="324"/>
      <c r="M26" s="323"/>
      <c r="N26" s="319"/>
      <c r="O26" s="325" t="s">
        <v>191</v>
      </c>
      <c r="P26" s="326"/>
      <c r="Q26" s="327"/>
      <c r="R26" s="319"/>
      <c r="S26" s="325" t="s">
        <v>192</v>
      </c>
      <c r="T26" s="327"/>
    </row>
    <row r="27" spans="2:20">
      <c r="B27" s="1514"/>
      <c r="C27" s="1512"/>
      <c r="D27" s="328" t="s">
        <v>79</v>
      </c>
      <c r="E27" s="329" t="s">
        <v>80</v>
      </c>
      <c r="F27" s="329" t="s">
        <v>81</v>
      </c>
      <c r="G27" s="329" t="s">
        <v>82</v>
      </c>
      <c r="H27" s="330" t="s">
        <v>44</v>
      </c>
      <c r="I27" s="331" t="s">
        <v>193</v>
      </c>
      <c r="J27" s="329" t="s">
        <v>194</v>
      </c>
      <c r="K27" s="329" t="s">
        <v>195</v>
      </c>
      <c r="L27" s="329" t="s">
        <v>196</v>
      </c>
      <c r="M27" s="330" t="s">
        <v>197</v>
      </c>
      <c r="N27" s="319"/>
      <c r="O27" s="332" t="s">
        <v>198</v>
      </c>
      <c r="P27" s="333" t="s">
        <v>199</v>
      </c>
      <c r="Q27" s="334" t="s">
        <v>200</v>
      </c>
      <c r="R27" s="319"/>
      <c r="S27" s="332" t="s">
        <v>199</v>
      </c>
      <c r="T27" s="334" t="s">
        <v>201</v>
      </c>
    </row>
    <row r="28" spans="2:20">
      <c r="B28" s="381" t="s">
        <v>258</v>
      </c>
      <c r="C28" s="382"/>
      <c r="D28" s="383"/>
      <c r="E28" s="384"/>
      <c r="F28" s="384"/>
      <c r="G28" s="384"/>
      <c r="H28" s="385"/>
      <c r="I28" s="384"/>
      <c r="J28" s="384"/>
      <c r="K28" s="384"/>
      <c r="L28" s="384"/>
      <c r="M28" s="385"/>
      <c r="N28" s="319"/>
      <c r="O28" s="386"/>
      <c r="P28" s="387"/>
      <c r="Q28" s="388"/>
      <c r="R28" s="319"/>
      <c r="S28" s="383"/>
      <c r="T28" s="385"/>
    </row>
    <row r="29" spans="2:20">
      <c r="B29" s="389" t="s">
        <v>283</v>
      </c>
      <c r="C29" s="390" t="s">
        <v>203</v>
      </c>
      <c r="D29" s="391"/>
      <c r="E29" s="392"/>
      <c r="F29" s="392"/>
      <c r="G29" s="392"/>
      <c r="H29" s="393"/>
      <c r="I29" s="394">
        <f t="shared" ref="I29:M30" si="12">I225-I248</f>
        <v>0</v>
      </c>
      <c r="J29" s="395">
        <f t="shared" si="12"/>
        <v>0</v>
      </c>
      <c r="K29" s="395">
        <f t="shared" si="12"/>
        <v>0</v>
      </c>
      <c r="L29" s="395">
        <f t="shared" si="12"/>
        <v>0</v>
      </c>
      <c r="M29" s="396">
        <f t="shared" si="12"/>
        <v>0</v>
      </c>
      <c r="N29" s="319"/>
      <c r="O29" s="360"/>
      <c r="P29" s="361"/>
      <c r="Q29" s="362"/>
      <c r="R29" s="319"/>
      <c r="S29" s="360"/>
      <c r="T29" s="363"/>
    </row>
    <row r="30" spans="2:20">
      <c r="B30" s="389" t="s">
        <v>284</v>
      </c>
      <c r="C30" s="390" t="s">
        <v>203</v>
      </c>
      <c r="D30" s="391"/>
      <c r="E30" s="392"/>
      <c r="F30" s="392"/>
      <c r="G30" s="392"/>
      <c r="H30" s="393"/>
      <c r="I30" s="394">
        <f t="shared" si="12"/>
        <v>0</v>
      </c>
      <c r="J30" s="395">
        <f t="shared" si="12"/>
        <v>0</v>
      </c>
      <c r="K30" s="395">
        <f t="shared" si="12"/>
        <v>0</v>
      </c>
      <c r="L30" s="395">
        <f t="shared" si="12"/>
        <v>0</v>
      </c>
      <c r="M30" s="396">
        <f t="shared" si="12"/>
        <v>0</v>
      </c>
      <c r="N30" s="319"/>
      <c r="O30" s="360"/>
      <c r="P30" s="361"/>
      <c r="Q30" s="362"/>
      <c r="R30" s="319"/>
      <c r="S30" s="360"/>
      <c r="T30" s="363"/>
    </row>
    <row r="31" spans="2:20">
      <c r="B31" s="397" t="s">
        <v>246</v>
      </c>
      <c r="C31" s="390" t="s">
        <v>203</v>
      </c>
      <c r="D31" s="340">
        <f>D227-D250</f>
        <v>0</v>
      </c>
      <c r="E31" s="398">
        <f>E227-E250</f>
        <v>0</v>
      </c>
      <c r="F31" s="398">
        <f>F227-F250</f>
        <v>0</v>
      </c>
      <c r="G31" s="398">
        <f>G227-G250</f>
        <v>0</v>
      </c>
      <c r="H31" s="342">
        <f>H227-H250</f>
        <v>0</v>
      </c>
      <c r="I31" s="398">
        <f>SUM(I29:I30)</f>
        <v>0</v>
      </c>
      <c r="J31" s="341">
        <f>SUM(J29:J30)</f>
        <v>0</v>
      </c>
      <c r="K31" s="341">
        <f>SUM(K29:K30)</f>
        <v>0</v>
      </c>
      <c r="L31" s="341">
        <f>SUM(L29:L30)</f>
        <v>0</v>
      </c>
      <c r="M31" s="342">
        <f>SUM(M29:M30)</f>
        <v>0</v>
      </c>
      <c r="N31" s="319"/>
      <c r="O31" s="340">
        <f>SUM(D31:G31)</f>
        <v>0</v>
      </c>
      <c r="P31" s="341">
        <f>SUM(H31)</f>
        <v>0</v>
      </c>
      <c r="Q31" s="342">
        <f>SUM(D31:H31)</f>
        <v>0</v>
      </c>
      <c r="R31" s="319"/>
      <c r="S31" s="340">
        <f>SUM(I31:M31)</f>
        <v>0</v>
      </c>
      <c r="T31" s="155" t="str">
        <f>IF(Q31&lt;&gt;0,(S31-Q31)/Q31,"0")</f>
        <v>0</v>
      </c>
    </row>
    <row r="32" spans="2:20">
      <c r="B32" s="381" t="s">
        <v>260</v>
      </c>
      <c r="C32" s="399"/>
      <c r="D32" s="400"/>
      <c r="E32" s="401"/>
      <c r="F32" s="401"/>
      <c r="G32" s="401"/>
      <c r="H32" s="402"/>
      <c r="I32" s="401"/>
      <c r="J32" s="401"/>
      <c r="K32" s="401"/>
      <c r="L32" s="401"/>
      <c r="M32" s="402"/>
      <c r="N32" s="319"/>
      <c r="O32" s="403"/>
      <c r="P32" s="401"/>
      <c r="Q32" s="402"/>
      <c r="R32" s="319"/>
      <c r="S32" s="400"/>
      <c r="T32" s="402"/>
    </row>
    <row r="33" spans="2:20">
      <c r="B33" s="389" t="s">
        <v>285</v>
      </c>
      <c r="C33" s="390" t="s">
        <v>203</v>
      </c>
      <c r="D33" s="391"/>
      <c r="E33" s="392"/>
      <c r="F33" s="392"/>
      <c r="G33" s="392"/>
      <c r="H33" s="393"/>
      <c r="I33" s="394">
        <f t="shared" ref="I33:M34" si="13">I229-I252</f>
        <v>0</v>
      </c>
      <c r="J33" s="395">
        <f t="shared" si="13"/>
        <v>0</v>
      </c>
      <c r="K33" s="395">
        <f t="shared" si="13"/>
        <v>0</v>
      </c>
      <c r="L33" s="395">
        <f t="shared" si="13"/>
        <v>0</v>
      </c>
      <c r="M33" s="396">
        <f t="shared" si="13"/>
        <v>0</v>
      </c>
      <c r="N33" s="319"/>
      <c r="O33" s="360"/>
      <c r="P33" s="361"/>
      <c r="Q33" s="362"/>
      <c r="R33" s="319"/>
      <c r="S33" s="360"/>
      <c r="T33" s="363"/>
    </row>
    <row r="34" spans="2:20">
      <c r="B34" s="389" t="s">
        <v>286</v>
      </c>
      <c r="C34" s="390" t="s">
        <v>203</v>
      </c>
      <c r="D34" s="391"/>
      <c r="E34" s="392"/>
      <c r="F34" s="392"/>
      <c r="G34" s="392"/>
      <c r="H34" s="393"/>
      <c r="I34" s="394">
        <f t="shared" si="13"/>
        <v>0</v>
      </c>
      <c r="J34" s="395">
        <f t="shared" si="13"/>
        <v>0</v>
      </c>
      <c r="K34" s="395">
        <f t="shared" si="13"/>
        <v>0</v>
      </c>
      <c r="L34" s="395">
        <f t="shared" si="13"/>
        <v>0</v>
      </c>
      <c r="M34" s="396">
        <f t="shared" si="13"/>
        <v>0</v>
      </c>
      <c r="N34" s="319"/>
      <c r="O34" s="360"/>
      <c r="P34" s="361"/>
      <c r="Q34" s="362"/>
      <c r="R34" s="319"/>
      <c r="S34" s="360"/>
      <c r="T34" s="363"/>
    </row>
    <row r="35" spans="2:20">
      <c r="B35" s="397" t="s">
        <v>248</v>
      </c>
      <c r="C35" s="390" t="s">
        <v>203</v>
      </c>
      <c r="D35" s="340">
        <f>D231-D254</f>
        <v>0</v>
      </c>
      <c r="E35" s="398">
        <f>E231-E254</f>
        <v>0</v>
      </c>
      <c r="F35" s="398">
        <f>F231-F254</f>
        <v>0</v>
      </c>
      <c r="G35" s="398">
        <f>G231-G254</f>
        <v>0</v>
      </c>
      <c r="H35" s="342">
        <f>H231-H254</f>
        <v>0</v>
      </c>
      <c r="I35" s="398">
        <f>SUM(I33:I34)</f>
        <v>0</v>
      </c>
      <c r="J35" s="341">
        <f>SUM(J33:J34)</f>
        <v>0</v>
      </c>
      <c r="K35" s="341">
        <f>SUM(K33:K34)</f>
        <v>0</v>
      </c>
      <c r="L35" s="341">
        <f>SUM(L33:L34)</f>
        <v>0</v>
      </c>
      <c r="M35" s="342">
        <f>SUM(M33:M34)</f>
        <v>0</v>
      </c>
      <c r="N35" s="319"/>
      <c r="O35" s="340">
        <f>SUM(D35:G35)</f>
        <v>0</v>
      </c>
      <c r="P35" s="341">
        <f>SUM(H35)</f>
        <v>0</v>
      </c>
      <c r="Q35" s="342">
        <f>SUM(D35:H35)</f>
        <v>0</v>
      </c>
      <c r="R35" s="319"/>
      <c r="S35" s="340">
        <f>SUM(I35:M35)</f>
        <v>0</v>
      </c>
      <c r="T35" s="155" t="str">
        <f>IF(Q35&lt;&gt;0,(S35-Q35)/Q35,"0")</f>
        <v>0</v>
      </c>
    </row>
    <row r="36" spans="2:20">
      <c r="B36" s="381" t="s">
        <v>261</v>
      </c>
      <c r="C36" s="399"/>
      <c r="D36" s="400"/>
      <c r="E36" s="401"/>
      <c r="F36" s="401"/>
      <c r="G36" s="401"/>
      <c r="H36" s="402"/>
      <c r="I36" s="401"/>
      <c r="J36" s="401"/>
      <c r="K36" s="401"/>
      <c r="L36" s="401"/>
      <c r="M36" s="402"/>
      <c r="N36" s="319"/>
      <c r="O36" s="400"/>
      <c r="P36" s="401"/>
      <c r="Q36" s="402"/>
      <c r="R36" s="319"/>
      <c r="S36" s="400"/>
      <c r="T36" s="402"/>
    </row>
    <row r="37" spans="2:20">
      <c r="B37" s="389" t="s">
        <v>287</v>
      </c>
      <c r="C37" s="390" t="s">
        <v>203</v>
      </c>
      <c r="D37" s="391"/>
      <c r="E37" s="392"/>
      <c r="F37" s="392"/>
      <c r="G37" s="392"/>
      <c r="H37" s="393"/>
      <c r="I37" s="394">
        <f t="shared" ref="I37:M38" si="14">I233-I256</f>
        <v>0</v>
      </c>
      <c r="J37" s="395">
        <f t="shared" si="14"/>
        <v>0</v>
      </c>
      <c r="K37" s="395">
        <f t="shared" si="14"/>
        <v>0</v>
      </c>
      <c r="L37" s="395">
        <f t="shared" si="14"/>
        <v>0</v>
      </c>
      <c r="M37" s="396">
        <f t="shared" si="14"/>
        <v>0</v>
      </c>
      <c r="N37" s="319"/>
      <c r="O37" s="360"/>
      <c r="P37" s="361"/>
      <c r="Q37" s="362"/>
      <c r="R37" s="319"/>
      <c r="S37" s="360"/>
      <c r="T37" s="363"/>
    </row>
    <row r="38" spans="2:20">
      <c r="B38" s="389" t="s">
        <v>288</v>
      </c>
      <c r="C38" s="390" t="s">
        <v>203</v>
      </c>
      <c r="D38" s="391"/>
      <c r="E38" s="392"/>
      <c r="F38" s="392"/>
      <c r="G38" s="392"/>
      <c r="H38" s="393"/>
      <c r="I38" s="394">
        <f t="shared" si="14"/>
        <v>0</v>
      </c>
      <c r="J38" s="395">
        <f t="shared" si="14"/>
        <v>0</v>
      </c>
      <c r="K38" s="395">
        <f t="shared" si="14"/>
        <v>0</v>
      </c>
      <c r="L38" s="395">
        <f t="shared" si="14"/>
        <v>0</v>
      </c>
      <c r="M38" s="396">
        <f t="shared" si="14"/>
        <v>0</v>
      </c>
      <c r="N38" s="319"/>
      <c r="O38" s="360"/>
      <c r="P38" s="361"/>
      <c r="Q38" s="362"/>
      <c r="R38" s="319"/>
      <c r="S38" s="360"/>
      <c r="T38" s="363"/>
    </row>
    <row r="39" spans="2:20">
      <c r="B39" s="397" t="s">
        <v>250</v>
      </c>
      <c r="C39" s="390" t="s">
        <v>203</v>
      </c>
      <c r="D39" s="340">
        <f>D235-D258</f>
        <v>0</v>
      </c>
      <c r="E39" s="398">
        <f>E235-E258</f>
        <v>0</v>
      </c>
      <c r="F39" s="398">
        <f>F235-F258</f>
        <v>0</v>
      </c>
      <c r="G39" s="398">
        <f>G235-G258</f>
        <v>0</v>
      </c>
      <c r="H39" s="342">
        <f>H235-H258</f>
        <v>0</v>
      </c>
      <c r="I39" s="398">
        <f>SUM(I37:I38)</f>
        <v>0</v>
      </c>
      <c r="J39" s="341">
        <f>SUM(J37:J38)</f>
        <v>0</v>
      </c>
      <c r="K39" s="341">
        <f>SUM(K37:K38)</f>
        <v>0</v>
      </c>
      <c r="L39" s="341">
        <f>SUM(L37:L38)</f>
        <v>0</v>
      </c>
      <c r="M39" s="342">
        <f>SUM(M37:M38)</f>
        <v>0</v>
      </c>
      <c r="N39" s="319"/>
      <c r="O39" s="340">
        <f>SUM(D39:G39)</f>
        <v>0</v>
      </c>
      <c r="P39" s="341">
        <f>SUM(H39)</f>
        <v>0</v>
      </c>
      <c r="Q39" s="342">
        <f>SUM(D39:H39)</f>
        <v>0</v>
      </c>
      <c r="R39" s="319"/>
      <c r="S39" s="340">
        <f>SUM(I39:M39)</f>
        <v>0</v>
      </c>
      <c r="T39" s="155" t="str">
        <f>IF(Q39&lt;&gt;0,(S39-Q39)/Q39,"0")</f>
        <v>0</v>
      </c>
    </row>
    <row r="40" spans="2:20">
      <c r="B40" s="381" t="s">
        <v>262</v>
      </c>
      <c r="C40" s="399"/>
      <c r="D40" s="400"/>
      <c r="E40" s="401"/>
      <c r="F40" s="401"/>
      <c r="G40" s="401"/>
      <c r="H40" s="402"/>
      <c r="I40" s="401"/>
      <c r="J40" s="401"/>
      <c r="K40" s="401"/>
      <c r="L40" s="401"/>
      <c r="M40" s="402"/>
      <c r="N40" s="319"/>
      <c r="O40" s="400"/>
      <c r="P40" s="401"/>
      <c r="Q40" s="402"/>
      <c r="R40" s="319"/>
      <c r="S40" s="400"/>
      <c r="T40" s="402"/>
    </row>
    <row r="41" spans="2:20">
      <c r="B41" s="389" t="s">
        <v>289</v>
      </c>
      <c r="C41" s="390" t="s">
        <v>203</v>
      </c>
      <c r="D41" s="391"/>
      <c r="E41" s="392"/>
      <c r="F41" s="392"/>
      <c r="G41" s="392"/>
      <c r="H41" s="393"/>
      <c r="I41" s="394">
        <f t="shared" ref="I41:M42" si="15">I237-I260</f>
        <v>0</v>
      </c>
      <c r="J41" s="395">
        <f t="shared" si="15"/>
        <v>0</v>
      </c>
      <c r="K41" s="395">
        <f t="shared" si="15"/>
        <v>0</v>
      </c>
      <c r="L41" s="395">
        <f t="shared" si="15"/>
        <v>0</v>
      </c>
      <c r="M41" s="396">
        <f t="shared" si="15"/>
        <v>0</v>
      </c>
      <c r="N41" s="319"/>
      <c r="O41" s="360"/>
      <c r="P41" s="361"/>
      <c r="Q41" s="362"/>
      <c r="R41" s="319"/>
      <c r="S41" s="360"/>
      <c r="T41" s="363"/>
    </row>
    <row r="42" spans="2:20">
      <c r="B42" s="389" t="s">
        <v>290</v>
      </c>
      <c r="C42" s="390" t="s">
        <v>203</v>
      </c>
      <c r="D42" s="391"/>
      <c r="E42" s="392"/>
      <c r="F42" s="392"/>
      <c r="G42" s="392"/>
      <c r="H42" s="393"/>
      <c r="I42" s="394">
        <f t="shared" si="15"/>
        <v>0</v>
      </c>
      <c r="J42" s="395">
        <f t="shared" si="15"/>
        <v>0</v>
      </c>
      <c r="K42" s="395">
        <f t="shared" si="15"/>
        <v>0</v>
      </c>
      <c r="L42" s="395">
        <f t="shared" si="15"/>
        <v>0</v>
      </c>
      <c r="M42" s="396">
        <f t="shared" si="15"/>
        <v>0</v>
      </c>
      <c r="N42" s="319"/>
      <c r="O42" s="360"/>
      <c r="P42" s="361"/>
      <c r="Q42" s="362"/>
      <c r="R42" s="319"/>
      <c r="S42" s="360"/>
      <c r="T42" s="363"/>
    </row>
    <row r="43" spans="2:20" ht="13.5" thickBot="1">
      <c r="B43" s="404" t="s">
        <v>252</v>
      </c>
      <c r="C43" s="405" t="s">
        <v>203</v>
      </c>
      <c r="D43" s="375">
        <f>D239-D262</f>
        <v>0</v>
      </c>
      <c r="E43" s="406">
        <f>E239-E262</f>
        <v>0</v>
      </c>
      <c r="F43" s="406">
        <f>F239-F262</f>
        <v>0</v>
      </c>
      <c r="G43" s="406">
        <f>G239-G262</f>
        <v>0</v>
      </c>
      <c r="H43" s="377">
        <f>H239-H262</f>
        <v>0</v>
      </c>
      <c r="I43" s="406">
        <f>SUM(I41:I42)</f>
        <v>0</v>
      </c>
      <c r="J43" s="376">
        <f>SUM(J41:J42)</f>
        <v>0</v>
      </c>
      <c r="K43" s="376">
        <f>SUM(K41:K42)</f>
        <v>0</v>
      </c>
      <c r="L43" s="376">
        <f>SUM(L41:L42)</f>
        <v>0</v>
      </c>
      <c r="M43" s="377">
        <f>SUM(M41:M42)</f>
        <v>0</v>
      </c>
      <c r="N43" s="319"/>
      <c r="O43" s="340">
        <f>SUM(D43:G43)</f>
        <v>0</v>
      </c>
      <c r="P43" s="341">
        <f>SUM(H43)</f>
        <v>0</v>
      </c>
      <c r="Q43" s="342">
        <f>SUM(D43:H43)</f>
        <v>0</v>
      </c>
      <c r="R43" s="319"/>
      <c r="S43" s="340">
        <f>SUM(I43:M43)</f>
        <v>0</v>
      </c>
      <c r="T43" s="155" t="str">
        <f>IF(Q43&lt;&gt;0,(S43-Q43)/Q43,"0")</f>
        <v>0</v>
      </c>
    </row>
    <row r="44" spans="2:20"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9"/>
      <c r="S44" s="316"/>
      <c r="T44" s="316"/>
    </row>
    <row r="45" spans="2:20">
      <c r="N45" s="319"/>
      <c r="O45" s="319"/>
      <c r="P45" s="319"/>
      <c r="Q45" s="319"/>
      <c r="R45" s="319"/>
      <c r="S45" s="319"/>
      <c r="T45" s="319"/>
    </row>
    <row r="46" spans="2:20">
      <c r="B46" s="320" t="s">
        <v>291</v>
      </c>
      <c r="N46" s="319"/>
      <c r="O46" s="319"/>
      <c r="P46" s="319"/>
      <c r="Q46" s="319"/>
      <c r="R46" s="319"/>
      <c r="S46" s="319"/>
      <c r="T46" s="319"/>
    </row>
    <row r="47" spans="2:20" ht="13.5" thickBot="1">
      <c r="B47" s="320"/>
      <c r="N47" s="319"/>
      <c r="O47" s="319"/>
      <c r="P47" s="319"/>
      <c r="Q47" s="319"/>
      <c r="R47" s="319"/>
      <c r="S47" s="319"/>
      <c r="T47" s="319"/>
    </row>
    <row r="48" spans="2:20">
      <c r="B48" s="1509"/>
      <c r="C48" s="1511" t="s">
        <v>190</v>
      </c>
      <c r="D48" s="321" t="s">
        <v>191</v>
      </c>
      <c r="E48" s="322"/>
      <c r="F48" s="322"/>
      <c r="G48" s="322"/>
      <c r="H48" s="323"/>
      <c r="I48" s="321" t="s">
        <v>192</v>
      </c>
      <c r="J48" s="324"/>
      <c r="K48" s="324"/>
      <c r="L48" s="324"/>
      <c r="M48" s="323"/>
      <c r="N48" s="319"/>
      <c r="O48" s="319"/>
      <c r="P48" s="319"/>
      <c r="Q48" s="319"/>
      <c r="R48" s="319"/>
      <c r="S48" s="319"/>
      <c r="T48" s="319"/>
    </row>
    <row r="49" spans="2:20">
      <c r="B49" s="1510"/>
      <c r="C49" s="1512"/>
      <c r="D49" s="328" t="s">
        <v>79</v>
      </c>
      <c r="E49" s="329" t="s">
        <v>80</v>
      </c>
      <c r="F49" s="329" t="s">
        <v>81</v>
      </c>
      <c r="G49" s="329" t="s">
        <v>82</v>
      </c>
      <c r="H49" s="330" t="s">
        <v>44</v>
      </c>
      <c r="I49" s="328" t="s">
        <v>193</v>
      </c>
      <c r="J49" s="329" t="s">
        <v>194</v>
      </c>
      <c r="K49" s="329" t="s">
        <v>195</v>
      </c>
      <c r="L49" s="329" t="s">
        <v>196</v>
      </c>
      <c r="M49" s="330" t="s">
        <v>197</v>
      </c>
      <c r="N49" s="319"/>
      <c r="O49" s="319"/>
      <c r="P49" s="319"/>
      <c r="Q49" s="319"/>
      <c r="R49" s="319"/>
      <c r="S49" s="319"/>
      <c r="T49" s="319"/>
    </row>
    <row r="50" spans="2:20">
      <c r="B50" s="407" t="s">
        <v>292</v>
      </c>
      <c r="C50" s="408"/>
      <c r="D50" s="409"/>
      <c r="E50" s="410"/>
      <c r="F50" s="410"/>
      <c r="G50" s="410"/>
      <c r="H50" s="411"/>
      <c r="I50" s="412"/>
      <c r="J50" s="413"/>
      <c r="K50" s="413"/>
      <c r="L50" s="413"/>
      <c r="M50" s="414"/>
      <c r="N50" s="415"/>
      <c r="O50" s="319"/>
      <c r="P50" s="319"/>
      <c r="Q50" s="319"/>
      <c r="R50" s="319"/>
      <c r="S50" s="319"/>
      <c r="T50" s="319"/>
    </row>
    <row r="51" spans="2:20">
      <c r="B51" s="416" t="s">
        <v>293</v>
      </c>
      <c r="C51" s="390"/>
      <c r="D51" s="417"/>
      <c r="E51" s="418"/>
      <c r="F51" s="418"/>
      <c r="G51" s="418"/>
      <c r="H51" s="419"/>
      <c r="I51" s="420"/>
      <c r="J51" s="421"/>
      <c r="K51" s="421"/>
      <c r="L51" s="421"/>
      <c r="M51" s="422"/>
      <c r="N51" s="415"/>
      <c r="O51" s="319"/>
      <c r="P51" s="319"/>
      <c r="Q51" s="319"/>
      <c r="R51" s="319"/>
      <c r="S51" s="319"/>
      <c r="T51" s="319"/>
    </row>
    <row r="52" spans="2:20">
      <c r="B52" s="423" t="s">
        <v>232</v>
      </c>
      <c r="C52" s="390" t="s">
        <v>233</v>
      </c>
      <c r="D52" s="424">
        <f t="shared" ref="D52:M56" si="16">D83+D114</f>
        <v>0</v>
      </c>
      <c r="E52" s="425">
        <f t="shared" si="16"/>
        <v>0</v>
      </c>
      <c r="F52" s="425">
        <f t="shared" si="16"/>
        <v>0</v>
      </c>
      <c r="G52" s="425">
        <f t="shared" si="16"/>
        <v>0</v>
      </c>
      <c r="H52" s="426">
        <f t="shared" si="16"/>
        <v>0</v>
      </c>
      <c r="I52" s="424">
        <f t="shared" si="16"/>
        <v>0</v>
      </c>
      <c r="J52" s="427">
        <f t="shared" si="16"/>
        <v>0</v>
      </c>
      <c r="K52" s="427">
        <f t="shared" si="16"/>
        <v>0</v>
      </c>
      <c r="L52" s="427">
        <f t="shared" si="16"/>
        <v>0</v>
      </c>
      <c r="M52" s="426">
        <f t="shared" si="16"/>
        <v>0</v>
      </c>
      <c r="N52" s="319"/>
      <c r="O52" s="319"/>
      <c r="P52" s="319"/>
      <c r="Q52" s="319"/>
      <c r="R52" s="319"/>
      <c r="S52" s="319"/>
      <c r="T52" s="319"/>
    </row>
    <row r="53" spans="2:20">
      <c r="B53" s="428" t="s">
        <v>294</v>
      </c>
      <c r="C53" s="390"/>
      <c r="D53" s="424">
        <f t="shared" si="16"/>
        <v>0</v>
      </c>
      <c r="E53" s="425">
        <f t="shared" si="16"/>
        <v>0</v>
      </c>
      <c r="F53" s="425">
        <f t="shared" si="16"/>
        <v>0</v>
      </c>
      <c r="G53" s="425">
        <f t="shared" si="16"/>
        <v>0</v>
      </c>
      <c r="H53" s="426">
        <f t="shared" si="16"/>
        <v>0</v>
      </c>
      <c r="I53" s="424">
        <f t="shared" si="16"/>
        <v>0</v>
      </c>
      <c r="J53" s="427">
        <f t="shared" si="16"/>
        <v>0</v>
      </c>
      <c r="K53" s="427">
        <f t="shared" si="16"/>
        <v>0</v>
      </c>
      <c r="L53" s="427">
        <f t="shared" si="16"/>
        <v>0</v>
      </c>
      <c r="M53" s="426">
        <f t="shared" si="16"/>
        <v>0</v>
      </c>
      <c r="N53" s="319"/>
      <c r="O53" s="319"/>
      <c r="P53" s="319"/>
      <c r="Q53" s="319"/>
      <c r="R53" s="319"/>
      <c r="S53" s="319"/>
      <c r="T53" s="319"/>
    </row>
    <row r="54" spans="2:20">
      <c r="B54" s="389" t="s">
        <v>295</v>
      </c>
      <c r="C54" s="390"/>
      <c r="D54" s="429"/>
      <c r="E54" s="430"/>
      <c r="F54" s="430"/>
      <c r="G54" s="430"/>
      <c r="H54" s="431"/>
      <c r="I54" s="424">
        <f t="shared" si="16"/>
        <v>0</v>
      </c>
      <c r="J54" s="427">
        <f t="shared" si="16"/>
        <v>0</v>
      </c>
      <c r="K54" s="427">
        <f t="shared" si="16"/>
        <v>0</v>
      </c>
      <c r="L54" s="427">
        <f t="shared" si="16"/>
        <v>0</v>
      </c>
      <c r="M54" s="426">
        <f t="shared" si="16"/>
        <v>0</v>
      </c>
      <c r="N54" s="319"/>
      <c r="O54" s="319"/>
      <c r="P54" s="319"/>
      <c r="Q54" s="319"/>
      <c r="R54" s="319"/>
      <c r="S54" s="319"/>
      <c r="T54" s="319"/>
    </row>
    <row r="55" spans="2:20">
      <c r="B55" s="389" t="s">
        <v>296</v>
      </c>
      <c r="C55" s="390" t="s">
        <v>233</v>
      </c>
      <c r="D55" s="429"/>
      <c r="E55" s="430"/>
      <c r="F55" s="430"/>
      <c r="G55" s="430"/>
      <c r="H55" s="431"/>
      <c r="I55" s="424">
        <f t="shared" si="16"/>
        <v>0</v>
      </c>
      <c r="J55" s="427">
        <f t="shared" si="16"/>
        <v>0</v>
      </c>
      <c r="K55" s="427">
        <f t="shared" si="16"/>
        <v>0</v>
      </c>
      <c r="L55" s="427">
        <f t="shared" si="16"/>
        <v>0</v>
      </c>
      <c r="M55" s="426">
        <f t="shared" si="16"/>
        <v>0</v>
      </c>
      <c r="N55" s="319"/>
      <c r="O55" s="319"/>
      <c r="P55" s="319"/>
      <c r="Q55" s="319"/>
      <c r="R55" s="319"/>
      <c r="S55" s="319"/>
      <c r="T55" s="319"/>
    </row>
    <row r="56" spans="2:20">
      <c r="B56" s="389" t="s">
        <v>297</v>
      </c>
      <c r="C56" s="390"/>
      <c r="D56" s="424">
        <f>D87+D118</f>
        <v>0</v>
      </c>
      <c r="E56" s="427">
        <f>E87+E118</f>
        <v>0</v>
      </c>
      <c r="F56" s="427">
        <f>F87+F118</f>
        <v>0</v>
      </c>
      <c r="G56" s="427">
        <f>G87+G118</f>
        <v>0</v>
      </c>
      <c r="H56" s="426">
        <f>H87+H118</f>
        <v>0</v>
      </c>
      <c r="I56" s="424">
        <f t="shared" si="16"/>
        <v>0</v>
      </c>
      <c r="J56" s="427">
        <f t="shared" si="16"/>
        <v>0</v>
      </c>
      <c r="K56" s="427">
        <f t="shared" si="16"/>
        <v>0</v>
      </c>
      <c r="L56" s="427">
        <f t="shared" si="16"/>
        <v>0</v>
      </c>
      <c r="M56" s="426">
        <f t="shared" si="16"/>
        <v>0</v>
      </c>
      <c r="N56" s="319"/>
      <c r="O56" s="319"/>
      <c r="P56" s="319"/>
      <c r="Q56" s="319"/>
      <c r="R56" s="319"/>
      <c r="S56" s="319"/>
      <c r="T56" s="319"/>
    </row>
    <row r="57" spans="2:20">
      <c r="B57" s="432" t="s">
        <v>298</v>
      </c>
      <c r="C57" s="390"/>
      <c r="D57" s="433"/>
      <c r="E57" s="434"/>
      <c r="F57" s="434"/>
      <c r="G57" s="434"/>
      <c r="H57" s="435"/>
      <c r="I57" s="436"/>
      <c r="J57" s="437"/>
      <c r="K57" s="437"/>
      <c r="L57" s="437"/>
      <c r="M57" s="438"/>
      <c r="N57" s="415"/>
      <c r="O57" s="319"/>
      <c r="P57" s="319"/>
      <c r="Q57" s="319"/>
      <c r="R57" s="319"/>
      <c r="S57" s="319"/>
      <c r="T57" s="319"/>
    </row>
    <row r="58" spans="2:20">
      <c r="B58" s="439" t="s">
        <v>232</v>
      </c>
      <c r="C58" s="390" t="s">
        <v>233</v>
      </c>
      <c r="D58" s="424">
        <f t="shared" ref="D58:M62" si="17">D89+D120</f>
        <v>0</v>
      </c>
      <c r="E58" s="425">
        <f t="shared" si="17"/>
        <v>0</v>
      </c>
      <c r="F58" s="425">
        <f t="shared" si="17"/>
        <v>0</v>
      </c>
      <c r="G58" s="425">
        <f t="shared" si="17"/>
        <v>0</v>
      </c>
      <c r="H58" s="426">
        <f t="shared" si="17"/>
        <v>0</v>
      </c>
      <c r="I58" s="424">
        <f t="shared" si="17"/>
        <v>0</v>
      </c>
      <c r="J58" s="427">
        <f t="shared" si="17"/>
        <v>0</v>
      </c>
      <c r="K58" s="427">
        <f t="shared" si="17"/>
        <v>0</v>
      </c>
      <c r="L58" s="427">
        <f t="shared" si="17"/>
        <v>0</v>
      </c>
      <c r="M58" s="426">
        <f t="shared" si="17"/>
        <v>0</v>
      </c>
      <c r="N58" s="319"/>
      <c r="O58" s="319"/>
      <c r="P58" s="319"/>
      <c r="Q58" s="319"/>
      <c r="R58" s="319"/>
      <c r="S58" s="319"/>
      <c r="T58" s="319"/>
    </row>
    <row r="59" spans="2:20">
      <c r="B59" s="440" t="s">
        <v>294</v>
      </c>
      <c r="C59" s="390"/>
      <c r="D59" s="424">
        <f t="shared" si="17"/>
        <v>0</v>
      </c>
      <c r="E59" s="425">
        <f t="shared" si="17"/>
        <v>0</v>
      </c>
      <c r="F59" s="425">
        <f t="shared" si="17"/>
        <v>0</v>
      </c>
      <c r="G59" s="425">
        <f t="shared" si="17"/>
        <v>0</v>
      </c>
      <c r="H59" s="426">
        <f t="shared" si="17"/>
        <v>0</v>
      </c>
      <c r="I59" s="424">
        <f t="shared" si="17"/>
        <v>0</v>
      </c>
      <c r="J59" s="427">
        <f t="shared" si="17"/>
        <v>0</v>
      </c>
      <c r="K59" s="427">
        <f t="shared" si="17"/>
        <v>0</v>
      </c>
      <c r="L59" s="427">
        <f t="shared" si="17"/>
        <v>0</v>
      </c>
      <c r="M59" s="426">
        <f t="shared" si="17"/>
        <v>0</v>
      </c>
      <c r="N59" s="319"/>
      <c r="O59" s="319"/>
      <c r="P59" s="319"/>
      <c r="Q59" s="319"/>
      <c r="R59" s="319"/>
      <c r="S59" s="319"/>
      <c r="T59" s="319"/>
    </row>
    <row r="60" spans="2:20">
      <c r="B60" s="389" t="s">
        <v>285</v>
      </c>
      <c r="C60" s="390"/>
      <c r="D60" s="441"/>
      <c r="E60" s="442"/>
      <c r="F60" s="442"/>
      <c r="G60" s="442"/>
      <c r="H60" s="443"/>
      <c r="I60" s="424">
        <f t="shared" si="17"/>
        <v>0</v>
      </c>
      <c r="J60" s="427">
        <f t="shared" si="17"/>
        <v>0</v>
      </c>
      <c r="K60" s="427">
        <f t="shared" si="17"/>
        <v>0</v>
      </c>
      <c r="L60" s="427">
        <f t="shared" si="17"/>
        <v>0</v>
      </c>
      <c r="M60" s="426">
        <f t="shared" si="17"/>
        <v>0</v>
      </c>
      <c r="N60" s="319"/>
      <c r="O60" s="319"/>
      <c r="P60" s="319"/>
      <c r="Q60" s="319"/>
      <c r="R60" s="319"/>
      <c r="S60" s="319"/>
      <c r="T60" s="319"/>
    </row>
    <row r="61" spans="2:20">
      <c r="B61" s="389" t="s">
        <v>286</v>
      </c>
      <c r="C61" s="390" t="s">
        <v>233</v>
      </c>
      <c r="D61" s="441"/>
      <c r="E61" s="442"/>
      <c r="F61" s="442"/>
      <c r="G61" s="442"/>
      <c r="H61" s="443"/>
      <c r="I61" s="424">
        <f t="shared" si="17"/>
        <v>0</v>
      </c>
      <c r="J61" s="427">
        <f t="shared" si="17"/>
        <v>0</v>
      </c>
      <c r="K61" s="427">
        <f t="shared" si="17"/>
        <v>0</v>
      </c>
      <c r="L61" s="427">
        <f t="shared" si="17"/>
        <v>0</v>
      </c>
      <c r="M61" s="426">
        <f t="shared" si="17"/>
        <v>0</v>
      </c>
      <c r="N61" s="319"/>
      <c r="O61" s="319"/>
      <c r="P61" s="319"/>
      <c r="Q61" s="319"/>
      <c r="R61" s="319"/>
      <c r="S61" s="319"/>
      <c r="T61" s="319"/>
    </row>
    <row r="62" spans="2:20">
      <c r="B62" s="389" t="s">
        <v>299</v>
      </c>
      <c r="C62" s="390"/>
      <c r="D62" s="424">
        <f>D93+D124</f>
        <v>0</v>
      </c>
      <c r="E62" s="427">
        <f>E93+E124</f>
        <v>0</v>
      </c>
      <c r="F62" s="427">
        <f>F93+F124</f>
        <v>0</v>
      </c>
      <c r="G62" s="427">
        <f>G93+G124</f>
        <v>0</v>
      </c>
      <c r="H62" s="426">
        <f>H93+H124</f>
        <v>0</v>
      </c>
      <c r="I62" s="424">
        <f t="shared" si="17"/>
        <v>0</v>
      </c>
      <c r="J62" s="427">
        <f t="shared" si="17"/>
        <v>0</v>
      </c>
      <c r="K62" s="427">
        <f t="shared" si="17"/>
        <v>0</v>
      </c>
      <c r="L62" s="427">
        <f t="shared" si="17"/>
        <v>0</v>
      </c>
      <c r="M62" s="426">
        <f t="shared" si="17"/>
        <v>0</v>
      </c>
      <c r="N62" s="319"/>
      <c r="O62" s="319"/>
      <c r="P62" s="319"/>
      <c r="Q62" s="319"/>
      <c r="R62" s="319"/>
      <c r="S62" s="319"/>
      <c r="T62" s="319"/>
    </row>
    <row r="63" spans="2:20">
      <c r="B63" s="432" t="s">
        <v>300</v>
      </c>
      <c r="C63" s="390"/>
      <c r="D63" s="433"/>
      <c r="E63" s="434"/>
      <c r="F63" s="434"/>
      <c r="G63" s="434"/>
      <c r="H63" s="435"/>
      <c r="I63" s="444"/>
      <c r="J63" s="445"/>
      <c r="K63" s="445"/>
      <c r="L63" s="445"/>
      <c r="M63" s="446"/>
      <c r="N63" s="415"/>
      <c r="O63" s="319"/>
      <c r="P63" s="319"/>
      <c r="Q63" s="319"/>
      <c r="R63" s="319"/>
      <c r="S63" s="319"/>
      <c r="T63" s="319"/>
    </row>
    <row r="64" spans="2:20">
      <c r="B64" s="439" t="s">
        <v>232</v>
      </c>
      <c r="C64" s="390" t="s">
        <v>233</v>
      </c>
      <c r="D64" s="424">
        <f t="shared" ref="D64:M68" si="18">D95+D126</f>
        <v>0</v>
      </c>
      <c r="E64" s="425">
        <f t="shared" si="18"/>
        <v>0</v>
      </c>
      <c r="F64" s="425">
        <f t="shared" si="18"/>
        <v>0</v>
      </c>
      <c r="G64" s="425">
        <f t="shared" si="18"/>
        <v>0</v>
      </c>
      <c r="H64" s="426">
        <f t="shared" si="18"/>
        <v>0</v>
      </c>
      <c r="I64" s="424">
        <f t="shared" si="18"/>
        <v>0</v>
      </c>
      <c r="J64" s="427">
        <f t="shared" si="18"/>
        <v>0</v>
      </c>
      <c r="K64" s="427">
        <f t="shared" si="18"/>
        <v>0</v>
      </c>
      <c r="L64" s="427">
        <f t="shared" si="18"/>
        <v>0</v>
      </c>
      <c r="M64" s="426">
        <f t="shared" si="18"/>
        <v>0</v>
      </c>
      <c r="N64" s="319"/>
      <c r="O64" s="319"/>
      <c r="P64" s="319"/>
      <c r="Q64" s="319"/>
      <c r="R64" s="319"/>
      <c r="S64" s="319"/>
      <c r="T64" s="319"/>
    </row>
    <row r="65" spans="1:20">
      <c r="B65" s="440" t="s">
        <v>294</v>
      </c>
      <c r="C65" s="390"/>
      <c r="D65" s="424">
        <f t="shared" si="18"/>
        <v>0</v>
      </c>
      <c r="E65" s="425">
        <f t="shared" si="18"/>
        <v>0</v>
      </c>
      <c r="F65" s="425">
        <f t="shared" si="18"/>
        <v>0</v>
      </c>
      <c r="G65" s="425">
        <f t="shared" si="18"/>
        <v>0</v>
      </c>
      <c r="H65" s="426">
        <f t="shared" si="18"/>
        <v>0</v>
      </c>
      <c r="I65" s="424">
        <f t="shared" si="18"/>
        <v>0</v>
      </c>
      <c r="J65" s="427">
        <f t="shared" si="18"/>
        <v>0</v>
      </c>
      <c r="K65" s="427">
        <f t="shared" si="18"/>
        <v>0</v>
      </c>
      <c r="L65" s="427">
        <f t="shared" si="18"/>
        <v>0</v>
      </c>
      <c r="M65" s="426">
        <f t="shared" si="18"/>
        <v>0</v>
      </c>
      <c r="N65" s="319"/>
      <c r="O65" s="319"/>
      <c r="P65" s="319"/>
      <c r="Q65" s="319"/>
      <c r="R65" s="319"/>
      <c r="S65" s="319"/>
      <c r="T65" s="319"/>
    </row>
    <row r="66" spans="1:20">
      <c r="B66" s="389" t="s">
        <v>287</v>
      </c>
      <c r="C66" s="390"/>
      <c r="D66" s="441"/>
      <c r="E66" s="442"/>
      <c r="F66" s="442"/>
      <c r="G66" s="442"/>
      <c r="H66" s="443"/>
      <c r="I66" s="424">
        <f t="shared" si="18"/>
        <v>0</v>
      </c>
      <c r="J66" s="427">
        <f t="shared" si="18"/>
        <v>0</v>
      </c>
      <c r="K66" s="427">
        <f t="shared" si="18"/>
        <v>0</v>
      </c>
      <c r="L66" s="427">
        <f t="shared" si="18"/>
        <v>0</v>
      </c>
      <c r="M66" s="426">
        <f t="shared" si="18"/>
        <v>0</v>
      </c>
      <c r="N66" s="319"/>
      <c r="O66" s="319"/>
      <c r="P66" s="319"/>
      <c r="Q66" s="319"/>
      <c r="R66" s="319"/>
      <c r="S66" s="319"/>
      <c r="T66" s="319"/>
    </row>
    <row r="67" spans="1:20">
      <c r="B67" s="389" t="s">
        <v>288</v>
      </c>
      <c r="C67" s="390" t="s">
        <v>233</v>
      </c>
      <c r="D67" s="441"/>
      <c r="E67" s="442"/>
      <c r="F67" s="442"/>
      <c r="G67" s="442"/>
      <c r="H67" s="443"/>
      <c r="I67" s="424">
        <f t="shared" si="18"/>
        <v>0</v>
      </c>
      <c r="J67" s="427">
        <f t="shared" si="18"/>
        <v>0</v>
      </c>
      <c r="K67" s="427">
        <f t="shared" si="18"/>
        <v>0</v>
      </c>
      <c r="L67" s="427">
        <f t="shared" si="18"/>
        <v>0</v>
      </c>
      <c r="M67" s="426">
        <f t="shared" si="18"/>
        <v>0</v>
      </c>
      <c r="N67" s="319"/>
      <c r="O67" s="319"/>
      <c r="P67" s="319"/>
      <c r="Q67" s="319"/>
      <c r="R67" s="319"/>
      <c r="S67" s="319"/>
      <c r="T67" s="319"/>
    </row>
    <row r="68" spans="1:20">
      <c r="B68" s="389" t="s">
        <v>301</v>
      </c>
      <c r="C68" s="390"/>
      <c r="D68" s="424">
        <f>D99+D130</f>
        <v>0</v>
      </c>
      <c r="E68" s="427">
        <f>E99+E130</f>
        <v>0</v>
      </c>
      <c r="F68" s="427">
        <f>F99+F130</f>
        <v>0</v>
      </c>
      <c r="G68" s="427">
        <f>G99+G130</f>
        <v>0</v>
      </c>
      <c r="H68" s="426">
        <f>H99+H130</f>
        <v>0</v>
      </c>
      <c r="I68" s="424">
        <f t="shared" si="18"/>
        <v>0</v>
      </c>
      <c r="J68" s="427">
        <f t="shared" si="18"/>
        <v>0</v>
      </c>
      <c r="K68" s="427">
        <f t="shared" si="18"/>
        <v>0</v>
      </c>
      <c r="L68" s="427">
        <f t="shared" si="18"/>
        <v>0</v>
      </c>
      <c r="M68" s="426">
        <f t="shared" si="18"/>
        <v>0</v>
      </c>
      <c r="N68" s="319"/>
      <c r="O68" s="319"/>
      <c r="P68" s="319"/>
      <c r="Q68" s="319"/>
      <c r="R68" s="319"/>
      <c r="S68" s="319"/>
      <c r="T68" s="319"/>
    </row>
    <row r="69" spans="1:20">
      <c r="B69" s="432" t="s">
        <v>302</v>
      </c>
      <c r="C69" s="390"/>
      <c r="D69" s="433"/>
      <c r="E69" s="434"/>
      <c r="F69" s="434"/>
      <c r="G69" s="434"/>
      <c r="H69" s="435"/>
      <c r="I69" s="444"/>
      <c r="J69" s="445"/>
      <c r="K69" s="445"/>
      <c r="L69" s="445"/>
      <c r="M69" s="446"/>
      <c r="N69" s="415"/>
      <c r="O69" s="319"/>
      <c r="P69" s="319"/>
      <c r="Q69" s="319"/>
      <c r="R69" s="319"/>
      <c r="S69" s="319"/>
      <c r="T69" s="319"/>
    </row>
    <row r="70" spans="1:20">
      <c r="B70" s="439" t="s">
        <v>232</v>
      </c>
      <c r="C70" s="390" t="s">
        <v>233</v>
      </c>
      <c r="D70" s="447">
        <f t="shared" ref="D70:M74" si="19">D101+D132</f>
        <v>0</v>
      </c>
      <c r="E70" s="448">
        <f t="shared" si="19"/>
        <v>0</v>
      </c>
      <c r="F70" s="448">
        <f t="shared" si="19"/>
        <v>0</v>
      </c>
      <c r="G70" s="448">
        <f t="shared" si="19"/>
        <v>0</v>
      </c>
      <c r="H70" s="449">
        <f t="shared" si="19"/>
        <v>0</v>
      </c>
      <c r="I70" s="447">
        <f t="shared" si="19"/>
        <v>0</v>
      </c>
      <c r="J70" s="450">
        <f t="shared" si="19"/>
        <v>0</v>
      </c>
      <c r="K70" s="450">
        <f t="shared" si="19"/>
        <v>0</v>
      </c>
      <c r="L70" s="450">
        <f t="shared" si="19"/>
        <v>0</v>
      </c>
      <c r="M70" s="449">
        <f t="shared" si="19"/>
        <v>0</v>
      </c>
      <c r="N70" s="319"/>
      <c r="O70" s="319"/>
      <c r="P70" s="319"/>
      <c r="Q70" s="319"/>
      <c r="R70" s="319"/>
      <c r="S70" s="319"/>
      <c r="T70" s="319"/>
    </row>
    <row r="71" spans="1:20">
      <c r="B71" s="440" t="s">
        <v>294</v>
      </c>
      <c r="C71" s="390"/>
      <c r="D71" s="447">
        <f t="shared" si="19"/>
        <v>0</v>
      </c>
      <c r="E71" s="448">
        <f t="shared" si="19"/>
        <v>0</v>
      </c>
      <c r="F71" s="448">
        <f t="shared" si="19"/>
        <v>0</v>
      </c>
      <c r="G71" s="448">
        <f t="shared" si="19"/>
        <v>0</v>
      </c>
      <c r="H71" s="449">
        <f t="shared" si="19"/>
        <v>0</v>
      </c>
      <c r="I71" s="447">
        <f t="shared" si="19"/>
        <v>0</v>
      </c>
      <c r="J71" s="450">
        <f t="shared" si="19"/>
        <v>0</v>
      </c>
      <c r="K71" s="450">
        <f t="shared" si="19"/>
        <v>0</v>
      </c>
      <c r="L71" s="450">
        <f t="shared" si="19"/>
        <v>0</v>
      </c>
      <c r="M71" s="449">
        <f t="shared" si="19"/>
        <v>0</v>
      </c>
      <c r="N71" s="319"/>
      <c r="O71" s="319"/>
      <c r="P71" s="319"/>
      <c r="Q71" s="319"/>
      <c r="R71" s="319"/>
      <c r="S71" s="319"/>
      <c r="T71" s="319"/>
    </row>
    <row r="72" spans="1:20">
      <c r="B72" s="389" t="s">
        <v>289</v>
      </c>
      <c r="C72" s="390"/>
      <c r="D72" s="451"/>
      <c r="E72" s="452"/>
      <c r="F72" s="452"/>
      <c r="G72" s="452"/>
      <c r="H72" s="453"/>
      <c r="I72" s="447">
        <f t="shared" si="19"/>
        <v>0</v>
      </c>
      <c r="J72" s="450">
        <f t="shared" si="19"/>
        <v>0</v>
      </c>
      <c r="K72" s="450">
        <f t="shared" si="19"/>
        <v>0</v>
      </c>
      <c r="L72" s="450">
        <f t="shared" si="19"/>
        <v>0</v>
      </c>
      <c r="M72" s="449">
        <f t="shared" si="19"/>
        <v>0</v>
      </c>
      <c r="N72" s="319"/>
      <c r="O72" s="319"/>
      <c r="P72" s="319"/>
      <c r="Q72" s="319"/>
      <c r="R72" s="319"/>
      <c r="S72" s="319"/>
      <c r="T72" s="319"/>
    </row>
    <row r="73" spans="1:20">
      <c r="B73" s="389" t="s">
        <v>290</v>
      </c>
      <c r="C73" s="390" t="s">
        <v>233</v>
      </c>
      <c r="D73" s="451"/>
      <c r="E73" s="452"/>
      <c r="F73" s="452"/>
      <c r="G73" s="452"/>
      <c r="H73" s="453"/>
      <c r="I73" s="447">
        <f t="shared" si="19"/>
        <v>0</v>
      </c>
      <c r="J73" s="450">
        <f t="shared" si="19"/>
        <v>0</v>
      </c>
      <c r="K73" s="450">
        <f t="shared" si="19"/>
        <v>0</v>
      </c>
      <c r="L73" s="450">
        <f t="shared" si="19"/>
        <v>0</v>
      </c>
      <c r="M73" s="449">
        <f t="shared" si="19"/>
        <v>0</v>
      </c>
      <c r="N73" s="319"/>
      <c r="O73" s="319"/>
      <c r="P73" s="319"/>
      <c r="Q73" s="319"/>
      <c r="R73" s="319"/>
      <c r="S73" s="319"/>
      <c r="T73" s="319"/>
    </row>
    <row r="74" spans="1:20">
      <c r="B74" s="389" t="s">
        <v>303</v>
      </c>
      <c r="C74" s="390"/>
      <c r="D74" s="447">
        <f>D105+D136</f>
        <v>0</v>
      </c>
      <c r="E74" s="448">
        <f>E105+E136</f>
        <v>0</v>
      </c>
      <c r="F74" s="448">
        <f>F105+F136</f>
        <v>0</v>
      </c>
      <c r="G74" s="448">
        <f>G105+G136</f>
        <v>0</v>
      </c>
      <c r="H74" s="449">
        <f>H105+H136</f>
        <v>0</v>
      </c>
      <c r="I74" s="447">
        <f t="shared" si="19"/>
        <v>0</v>
      </c>
      <c r="J74" s="450">
        <f t="shared" si="19"/>
        <v>0</v>
      </c>
      <c r="K74" s="450">
        <f t="shared" si="19"/>
        <v>0</v>
      </c>
      <c r="L74" s="450">
        <f t="shared" si="19"/>
        <v>0</v>
      </c>
      <c r="M74" s="449">
        <f t="shared" si="19"/>
        <v>0</v>
      </c>
      <c r="N74" s="319"/>
      <c r="O74" s="319"/>
      <c r="P74" s="319"/>
      <c r="Q74" s="319"/>
      <c r="R74" s="319"/>
      <c r="S74" s="319"/>
      <c r="T74" s="319"/>
    </row>
    <row r="75" spans="1:20" ht="13.5" thickBot="1">
      <c r="B75" s="454" t="s">
        <v>239</v>
      </c>
      <c r="C75" s="405" t="s">
        <v>233</v>
      </c>
      <c r="D75" s="455">
        <f t="shared" ref="D75:M75" si="20">SUM(D52:D55,D58:D61,D64:D67,D70:D73)</f>
        <v>0</v>
      </c>
      <c r="E75" s="456">
        <f t="shared" si="20"/>
        <v>0</v>
      </c>
      <c r="F75" s="456">
        <f t="shared" si="20"/>
        <v>0</v>
      </c>
      <c r="G75" s="456">
        <f t="shared" si="20"/>
        <v>0</v>
      </c>
      <c r="H75" s="457">
        <f t="shared" si="20"/>
        <v>0</v>
      </c>
      <c r="I75" s="455">
        <f t="shared" si="20"/>
        <v>0</v>
      </c>
      <c r="J75" s="456">
        <f t="shared" si="20"/>
        <v>0</v>
      </c>
      <c r="K75" s="456">
        <f t="shared" si="20"/>
        <v>0</v>
      </c>
      <c r="L75" s="456">
        <f t="shared" si="20"/>
        <v>0</v>
      </c>
      <c r="M75" s="457">
        <f t="shared" si="20"/>
        <v>0</v>
      </c>
      <c r="N75" s="458"/>
      <c r="O75" s="319"/>
      <c r="P75" s="319"/>
      <c r="Q75" s="319"/>
      <c r="R75" s="319"/>
      <c r="S75" s="319"/>
      <c r="T75" s="319"/>
    </row>
    <row r="76" spans="1:20">
      <c r="B76" s="459"/>
      <c r="C76" s="460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</row>
    <row r="77" spans="1:20">
      <c r="B77" s="320" t="s">
        <v>304</v>
      </c>
      <c r="N77" s="319"/>
      <c r="O77" s="319"/>
      <c r="P77" s="319"/>
      <c r="Q77" s="319"/>
      <c r="R77" s="319"/>
      <c r="S77" s="319"/>
      <c r="T77" s="319"/>
    </row>
    <row r="78" spans="1:20" ht="13.5" thickBot="1">
      <c r="B78" s="320"/>
      <c r="N78" s="319"/>
      <c r="O78" s="319"/>
      <c r="P78" s="319"/>
      <c r="Q78" s="319"/>
      <c r="R78" s="319"/>
      <c r="S78" s="319"/>
      <c r="T78" s="319"/>
    </row>
    <row r="79" spans="1:20">
      <c r="A79" s="461"/>
      <c r="B79" s="1509"/>
      <c r="C79" s="1511" t="s">
        <v>190</v>
      </c>
      <c r="D79" s="321" t="s">
        <v>191</v>
      </c>
      <c r="E79" s="322"/>
      <c r="F79" s="322"/>
      <c r="G79" s="322"/>
      <c r="H79" s="323"/>
      <c r="I79" s="321" t="s">
        <v>192</v>
      </c>
      <c r="J79" s="324"/>
      <c r="K79" s="324"/>
      <c r="L79" s="323"/>
      <c r="M79" s="323"/>
      <c r="N79" s="319"/>
      <c r="O79" s="319"/>
      <c r="P79" s="319"/>
      <c r="Q79" s="319"/>
      <c r="R79" s="319"/>
      <c r="S79" s="319"/>
      <c r="T79" s="319"/>
    </row>
    <row r="80" spans="1:20">
      <c r="A80" s="461"/>
      <c r="B80" s="1510"/>
      <c r="C80" s="1512"/>
      <c r="D80" s="328" t="s">
        <v>79</v>
      </c>
      <c r="E80" s="329" t="s">
        <v>80</v>
      </c>
      <c r="F80" s="329" t="s">
        <v>81</v>
      </c>
      <c r="G80" s="329" t="s">
        <v>82</v>
      </c>
      <c r="H80" s="330" t="s">
        <v>44</v>
      </c>
      <c r="I80" s="328" t="s">
        <v>193</v>
      </c>
      <c r="J80" s="329" t="s">
        <v>194</v>
      </c>
      <c r="K80" s="329" t="s">
        <v>195</v>
      </c>
      <c r="L80" s="333" t="s">
        <v>196</v>
      </c>
      <c r="M80" s="462" t="s">
        <v>197</v>
      </c>
      <c r="N80" s="319"/>
      <c r="O80" s="319"/>
      <c r="P80" s="319"/>
      <c r="Q80" s="319"/>
      <c r="R80" s="319"/>
      <c r="S80" s="319"/>
      <c r="T80" s="319"/>
    </row>
    <row r="81" spans="1:20">
      <c r="A81" s="461"/>
      <c r="B81" s="407" t="s">
        <v>292</v>
      </c>
      <c r="C81" s="408"/>
      <c r="D81" s="409"/>
      <c r="E81" s="410"/>
      <c r="F81" s="410"/>
      <c r="G81" s="410"/>
      <c r="H81" s="411"/>
      <c r="I81" s="412"/>
      <c r="J81" s="413"/>
      <c r="K81" s="413"/>
      <c r="L81" s="463"/>
      <c r="M81" s="414"/>
      <c r="N81" s="415"/>
      <c r="O81" s="319"/>
      <c r="P81" s="319"/>
      <c r="Q81" s="319"/>
      <c r="R81" s="319"/>
      <c r="S81" s="319"/>
      <c r="T81" s="319"/>
    </row>
    <row r="82" spans="1:20">
      <c r="A82" s="461"/>
      <c r="B82" s="464" t="s">
        <v>293</v>
      </c>
      <c r="C82" s="465"/>
      <c r="D82" s="417"/>
      <c r="E82" s="418"/>
      <c r="F82" s="418"/>
      <c r="G82" s="418"/>
      <c r="H82" s="419"/>
      <c r="I82" s="420"/>
      <c r="J82" s="421"/>
      <c r="K82" s="421"/>
      <c r="L82" s="466"/>
      <c r="M82" s="422"/>
      <c r="N82" s="415"/>
      <c r="O82" s="319"/>
      <c r="P82" s="319"/>
      <c r="Q82" s="319"/>
      <c r="R82" s="319"/>
      <c r="S82" s="319"/>
      <c r="T82" s="319"/>
    </row>
    <row r="83" spans="1:20">
      <c r="A83" s="461"/>
      <c r="B83" s="423" t="s">
        <v>232</v>
      </c>
      <c r="C83" s="390" t="s">
        <v>233</v>
      </c>
      <c r="D83" s="467"/>
      <c r="E83" s="468"/>
      <c r="F83" s="468"/>
      <c r="G83" s="468"/>
      <c r="H83" s="469"/>
      <c r="I83" s="467"/>
      <c r="J83" s="470"/>
      <c r="K83" s="470"/>
      <c r="L83" s="470"/>
      <c r="M83" s="471"/>
      <c r="N83" s="319"/>
      <c r="O83" s="319"/>
      <c r="P83" s="319"/>
      <c r="Q83" s="319"/>
      <c r="R83" s="319"/>
      <c r="S83" s="319"/>
      <c r="T83" s="319"/>
    </row>
    <row r="84" spans="1:20">
      <c r="A84" s="461"/>
      <c r="B84" s="428" t="s">
        <v>294</v>
      </c>
      <c r="C84" s="390"/>
      <c r="D84" s="467"/>
      <c r="E84" s="468"/>
      <c r="F84" s="468"/>
      <c r="G84" s="468"/>
      <c r="H84" s="469"/>
      <c r="I84" s="467"/>
      <c r="J84" s="470"/>
      <c r="K84" s="470"/>
      <c r="L84" s="470"/>
      <c r="M84" s="471"/>
      <c r="N84" s="319"/>
      <c r="O84" s="319"/>
      <c r="P84" s="319"/>
      <c r="Q84" s="319"/>
      <c r="R84" s="319"/>
      <c r="S84" s="319"/>
      <c r="T84" s="319"/>
    </row>
    <row r="85" spans="1:20">
      <c r="A85" s="461"/>
      <c r="B85" s="389" t="s">
        <v>295</v>
      </c>
      <c r="C85" s="390"/>
      <c r="D85" s="441"/>
      <c r="E85" s="442"/>
      <c r="F85" s="442"/>
      <c r="G85" s="442"/>
      <c r="H85" s="443"/>
      <c r="I85" s="467"/>
      <c r="J85" s="470"/>
      <c r="K85" s="470"/>
      <c r="L85" s="470"/>
      <c r="M85" s="471"/>
      <c r="N85" s="319"/>
      <c r="O85" s="319"/>
      <c r="P85" s="319"/>
      <c r="Q85" s="319"/>
      <c r="R85" s="319"/>
      <c r="S85" s="319"/>
      <c r="T85" s="319"/>
    </row>
    <row r="86" spans="1:20">
      <c r="A86" s="461"/>
      <c r="B86" s="389" t="s">
        <v>296</v>
      </c>
      <c r="C86" s="390" t="s">
        <v>233</v>
      </c>
      <c r="D86" s="441"/>
      <c r="E86" s="442"/>
      <c r="F86" s="442"/>
      <c r="G86" s="442"/>
      <c r="H86" s="443"/>
      <c r="I86" s="467"/>
      <c r="J86" s="470"/>
      <c r="K86" s="470"/>
      <c r="L86" s="470"/>
      <c r="M86" s="471"/>
      <c r="N86" s="319"/>
      <c r="O86" s="319"/>
      <c r="P86" s="319"/>
      <c r="Q86" s="319"/>
      <c r="R86" s="319"/>
      <c r="S86" s="319"/>
      <c r="T86" s="319"/>
    </row>
    <row r="87" spans="1:20">
      <c r="A87" s="461"/>
      <c r="B87" s="389" t="s">
        <v>297</v>
      </c>
      <c r="C87" s="390"/>
      <c r="D87" s="467"/>
      <c r="E87" s="470"/>
      <c r="F87" s="470"/>
      <c r="G87" s="470"/>
      <c r="H87" s="469"/>
      <c r="I87" s="472">
        <f>SUM(I85:I86)</f>
        <v>0</v>
      </c>
      <c r="J87" s="473">
        <f>SUM(J85:J86)</f>
        <v>0</v>
      </c>
      <c r="K87" s="473">
        <f>SUM(K85:K86)</f>
        <v>0</v>
      </c>
      <c r="L87" s="473">
        <f>SUM(L85:L86)</f>
        <v>0</v>
      </c>
      <c r="M87" s="474">
        <f>SUM(M85:M86)</f>
        <v>0</v>
      </c>
      <c r="N87" s="319"/>
      <c r="O87" s="319"/>
      <c r="P87" s="319"/>
      <c r="Q87" s="319"/>
      <c r="R87" s="319"/>
      <c r="S87" s="319"/>
      <c r="T87" s="319"/>
    </row>
    <row r="88" spans="1:20">
      <c r="A88" s="461"/>
      <c r="B88" s="432" t="s">
        <v>305</v>
      </c>
      <c r="C88" s="390"/>
      <c r="D88" s="433"/>
      <c r="E88" s="434"/>
      <c r="F88" s="434"/>
      <c r="G88" s="434"/>
      <c r="H88" s="435"/>
      <c r="I88" s="436"/>
      <c r="J88" s="437"/>
      <c r="K88" s="437"/>
      <c r="L88" s="475"/>
      <c r="M88" s="438"/>
      <c r="N88" s="415"/>
      <c r="O88" s="319"/>
      <c r="P88" s="319"/>
      <c r="Q88" s="319"/>
      <c r="R88" s="319"/>
      <c r="S88" s="319"/>
      <c r="T88" s="319"/>
    </row>
    <row r="89" spans="1:20">
      <c r="A89" s="461"/>
      <c r="B89" s="439" t="s">
        <v>232</v>
      </c>
      <c r="C89" s="390" t="s">
        <v>233</v>
      </c>
      <c r="D89" s="467"/>
      <c r="E89" s="468"/>
      <c r="F89" s="468"/>
      <c r="G89" s="468"/>
      <c r="H89" s="469"/>
      <c r="I89" s="467"/>
      <c r="J89" s="470"/>
      <c r="K89" s="470"/>
      <c r="L89" s="470"/>
      <c r="M89" s="471"/>
      <c r="N89" s="319"/>
      <c r="O89" s="319"/>
      <c r="P89" s="319"/>
      <c r="Q89" s="319"/>
      <c r="R89" s="319"/>
      <c r="S89" s="319"/>
      <c r="T89" s="319"/>
    </row>
    <row r="90" spans="1:20">
      <c r="A90" s="461"/>
      <c r="B90" s="440" t="s">
        <v>294</v>
      </c>
      <c r="C90" s="390"/>
      <c r="D90" s="467"/>
      <c r="E90" s="468"/>
      <c r="F90" s="468"/>
      <c r="G90" s="468"/>
      <c r="H90" s="469"/>
      <c r="I90" s="467"/>
      <c r="J90" s="470"/>
      <c r="K90" s="470"/>
      <c r="L90" s="470"/>
      <c r="M90" s="471"/>
      <c r="N90" s="319"/>
      <c r="O90" s="319"/>
      <c r="P90" s="319"/>
      <c r="Q90" s="319"/>
      <c r="R90" s="319"/>
      <c r="S90" s="319"/>
      <c r="T90" s="319"/>
    </row>
    <row r="91" spans="1:20">
      <c r="A91" s="461"/>
      <c r="B91" s="389" t="s">
        <v>285</v>
      </c>
      <c r="C91" s="390"/>
      <c r="D91" s="441"/>
      <c r="E91" s="442"/>
      <c r="F91" s="442"/>
      <c r="G91" s="442"/>
      <c r="H91" s="443"/>
      <c r="I91" s="467"/>
      <c r="J91" s="470"/>
      <c r="K91" s="470"/>
      <c r="L91" s="470"/>
      <c r="M91" s="471"/>
      <c r="N91" s="319"/>
      <c r="O91" s="319"/>
      <c r="P91" s="319"/>
      <c r="Q91" s="319"/>
      <c r="R91" s="319"/>
      <c r="S91" s="319"/>
      <c r="T91" s="319"/>
    </row>
    <row r="92" spans="1:20">
      <c r="A92" s="461"/>
      <c r="B92" s="389" t="s">
        <v>286</v>
      </c>
      <c r="C92" s="390" t="s">
        <v>233</v>
      </c>
      <c r="D92" s="441"/>
      <c r="E92" s="442"/>
      <c r="F92" s="442"/>
      <c r="G92" s="442"/>
      <c r="H92" s="443"/>
      <c r="I92" s="467"/>
      <c r="J92" s="470"/>
      <c r="K92" s="470"/>
      <c r="L92" s="470"/>
      <c r="M92" s="471"/>
      <c r="N92" s="319"/>
      <c r="O92" s="319"/>
      <c r="P92" s="319"/>
      <c r="Q92" s="319"/>
      <c r="R92" s="319"/>
      <c r="S92" s="319"/>
      <c r="T92" s="319"/>
    </row>
    <row r="93" spans="1:20">
      <c r="A93" s="461"/>
      <c r="B93" s="389" t="s">
        <v>299</v>
      </c>
      <c r="C93" s="390"/>
      <c r="D93" s="467"/>
      <c r="E93" s="470"/>
      <c r="F93" s="470"/>
      <c r="G93" s="470"/>
      <c r="H93" s="469"/>
      <c r="I93" s="472">
        <f>SUM(I91:I92)</f>
        <v>0</v>
      </c>
      <c r="J93" s="472">
        <f>SUM(J91:J92)</f>
        <v>0</v>
      </c>
      <c r="K93" s="472">
        <f>SUM(K91:K92)</f>
        <v>0</v>
      </c>
      <c r="L93" s="472">
        <f>SUM(L91:L92)</f>
        <v>0</v>
      </c>
      <c r="M93" s="472">
        <f>SUM(M91:M92)</f>
        <v>0</v>
      </c>
      <c r="N93" s="319"/>
      <c r="O93" s="319"/>
      <c r="P93" s="319"/>
      <c r="Q93" s="319"/>
      <c r="R93" s="319"/>
      <c r="S93" s="319"/>
      <c r="T93" s="319"/>
    </row>
    <row r="94" spans="1:20">
      <c r="A94" s="461"/>
      <c r="B94" s="432" t="s">
        <v>306</v>
      </c>
      <c r="C94" s="390"/>
      <c r="D94" s="433"/>
      <c r="E94" s="434"/>
      <c r="F94" s="434"/>
      <c r="G94" s="434"/>
      <c r="H94" s="435"/>
      <c r="I94" s="436"/>
      <c r="J94" s="437"/>
      <c r="K94" s="437"/>
      <c r="L94" s="475"/>
      <c r="M94" s="438"/>
      <c r="N94" s="415"/>
      <c r="O94" s="319"/>
      <c r="P94" s="319"/>
      <c r="Q94" s="319"/>
      <c r="R94" s="319"/>
      <c r="S94" s="319"/>
      <c r="T94" s="319"/>
    </row>
    <row r="95" spans="1:20">
      <c r="A95" s="461"/>
      <c r="B95" s="439" t="s">
        <v>232</v>
      </c>
      <c r="C95" s="390" t="s">
        <v>233</v>
      </c>
      <c r="D95" s="467"/>
      <c r="E95" s="468"/>
      <c r="F95" s="468"/>
      <c r="G95" s="468"/>
      <c r="H95" s="469"/>
      <c r="I95" s="467"/>
      <c r="J95" s="470"/>
      <c r="K95" s="470"/>
      <c r="L95" s="470"/>
      <c r="M95" s="471"/>
      <c r="N95" s="319"/>
      <c r="O95" s="319"/>
      <c r="P95" s="319"/>
      <c r="Q95" s="319"/>
      <c r="R95" s="319"/>
      <c r="S95" s="319"/>
      <c r="T95" s="319"/>
    </row>
    <row r="96" spans="1:20">
      <c r="A96" s="461"/>
      <c r="B96" s="440" t="s">
        <v>294</v>
      </c>
      <c r="C96" s="390"/>
      <c r="D96" s="467"/>
      <c r="E96" s="468"/>
      <c r="F96" s="468"/>
      <c r="G96" s="468"/>
      <c r="H96" s="469"/>
      <c r="I96" s="467"/>
      <c r="J96" s="470"/>
      <c r="K96" s="470"/>
      <c r="L96" s="470"/>
      <c r="M96" s="471"/>
      <c r="N96" s="319"/>
      <c r="O96" s="319"/>
      <c r="P96" s="319"/>
      <c r="Q96" s="319"/>
      <c r="R96" s="319"/>
      <c r="S96" s="319"/>
      <c r="T96" s="319"/>
    </row>
    <row r="97" spans="1:20">
      <c r="A97" s="461"/>
      <c r="B97" s="389" t="s">
        <v>287</v>
      </c>
      <c r="C97" s="390"/>
      <c r="D97" s="429"/>
      <c r="E97" s="430"/>
      <c r="F97" s="430"/>
      <c r="G97" s="430"/>
      <c r="H97" s="431"/>
      <c r="I97" s="467"/>
      <c r="J97" s="470"/>
      <c r="K97" s="470"/>
      <c r="L97" s="470"/>
      <c r="M97" s="471"/>
      <c r="N97" s="319"/>
      <c r="O97" s="319"/>
      <c r="P97" s="319"/>
      <c r="Q97" s="319"/>
      <c r="R97" s="319"/>
      <c r="S97" s="319"/>
      <c r="T97" s="319"/>
    </row>
    <row r="98" spans="1:20">
      <c r="A98" s="461"/>
      <c r="B98" s="389" t="s">
        <v>288</v>
      </c>
      <c r="C98" s="390" t="s">
        <v>233</v>
      </c>
      <c r="D98" s="429"/>
      <c r="E98" s="430"/>
      <c r="F98" s="430"/>
      <c r="G98" s="430"/>
      <c r="H98" s="431"/>
      <c r="I98" s="467"/>
      <c r="J98" s="470"/>
      <c r="K98" s="470"/>
      <c r="L98" s="470"/>
      <c r="M98" s="471"/>
      <c r="N98" s="319"/>
      <c r="O98" s="319"/>
      <c r="P98" s="319"/>
      <c r="Q98" s="319"/>
      <c r="R98" s="319"/>
      <c r="S98" s="319"/>
      <c r="T98" s="319"/>
    </row>
    <row r="99" spans="1:20">
      <c r="A99" s="461"/>
      <c r="B99" s="389" t="s">
        <v>301</v>
      </c>
      <c r="C99" s="390"/>
      <c r="D99" s="467"/>
      <c r="E99" s="470"/>
      <c r="F99" s="470"/>
      <c r="G99" s="470"/>
      <c r="H99" s="469"/>
      <c r="I99" s="472">
        <f>SUM(I97:I98)</f>
        <v>0</v>
      </c>
      <c r="J99" s="472">
        <f>SUM(J97:J98)</f>
        <v>0</v>
      </c>
      <c r="K99" s="472">
        <f>SUM(K97:K98)</f>
        <v>0</v>
      </c>
      <c r="L99" s="472">
        <f>SUM(L97:L98)</f>
        <v>0</v>
      </c>
      <c r="M99" s="472">
        <f>SUM(M97:M98)</f>
        <v>0</v>
      </c>
      <c r="N99" s="319"/>
      <c r="O99" s="319"/>
      <c r="P99" s="319"/>
      <c r="Q99" s="319"/>
      <c r="R99" s="319"/>
      <c r="S99" s="319"/>
      <c r="T99" s="319"/>
    </row>
    <row r="100" spans="1:20">
      <c r="A100" s="461"/>
      <c r="B100" s="432" t="s">
        <v>307</v>
      </c>
      <c r="C100" s="390"/>
      <c r="D100" s="433"/>
      <c r="E100" s="434"/>
      <c r="F100" s="434"/>
      <c r="G100" s="434"/>
      <c r="H100" s="435"/>
      <c r="I100" s="436"/>
      <c r="J100" s="437"/>
      <c r="K100" s="437"/>
      <c r="L100" s="475"/>
      <c r="M100" s="438"/>
      <c r="N100" s="415"/>
      <c r="O100" s="319"/>
      <c r="P100" s="319"/>
      <c r="Q100" s="319"/>
      <c r="R100" s="319"/>
      <c r="S100" s="319"/>
      <c r="T100" s="319"/>
    </row>
    <row r="101" spans="1:20">
      <c r="A101" s="461"/>
      <c r="B101" s="439" t="s">
        <v>232</v>
      </c>
      <c r="C101" s="390" t="s">
        <v>233</v>
      </c>
      <c r="D101" s="476"/>
      <c r="E101" s="477"/>
      <c r="F101" s="477"/>
      <c r="G101" s="477"/>
      <c r="H101" s="478"/>
      <c r="I101" s="476"/>
      <c r="J101" s="479"/>
      <c r="K101" s="479"/>
      <c r="L101" s="479"/>
      <c r="M101" s="480"/>
      <c r="N101" s="319"/>
      <c r="O101" s="319"/>
      <c r="P101" s="319"/>
      <c r="Q101" s="319"/>
      <c r="R101" s="319"/>
      <c r="S101" s="319"/>
      <c r="T101" s="319"/>
    </row>
    <row r="102" spans="1:20">
      <c r="A102" s="461"/>
      <c r="B102" s="440" t="s">
        <v>294</v>
      </c>
      <c r="C102" s="390"/>
      <c r="D102" s="476"/>
      <c r="E102" s="477"/>
      <c r="F102" s="477"/>
      <c r="G102" s="477"/>
      <c r="H102" s="478"/>
      <c r="I102" s="476"/>
      <c r="J102" s="479"/>
      <c r="K102" s="479"/>
      <c r="L102" s="479"/>
      <c r="M102" s="480"/>
      <c r="N102" s="319"/>
      <c r="O102" s="319"/>
      <c r="P102" s="319"/>
      <c r="Q102" s="319"/>
      <c r="R102" s="319"/>
      <c r="S102" s="319"/>
      <c r="T102" s="319"/>
    </row>
    <row r="103" spans="1:20">
      <c r="A103" s="461"/>
      <c r="B103" s="389" t="s">
        <v>289</v>
      </c>
      <c r="C103" s="390"/>
      <c r="D103" s="481"/>
      <c r="E103" s="482"/>
      <c r="F103" s="482"/>
      <c r="G103" s="482"/>
      <c r="H103" s="483"/>
      <c r="I103" s="476"/>
      <c r="J103" s="479"/>
      <c r="K103" s="479"/>
      <c r="L103" s="479"/>
      <c r="M103" s="480"/>
      <c r="N103" s="319"/>
      <c r="O103" s="319"/>
      <c r="P103" s="319"/>
      <c r="Q103" s="319"/>
      <c r="R103" s="319"/>
      <c r="S103" s="319"/>
      <c r="T103" s="319"/>
    </row>
    <row r="104" spans="1:20">
      <c r="A104" s="461"/>
      <c r="B104" s="389" t="s">
        <v>290</v>
      </c>
      <c r="C104" s="390" t="s">
        <v>233</v>
      </c>
      <c r="D104" s="481"/>
      <c r="E104" s="482"/>
      <c r="F104" s="482"/>
      <c r="G104" s="482"/>
      <c r="H104" s="483"/>
      <c r="I104" s="476"/>
      <c r="J104" s="479"/>
      <c r="K104" s="479"/>
      <c r="L104" s="479"/>
      <c r="M104" s="480"/>
      <c r="N104" s="319"/>
      <c r="O104" s="319"/>
      <c r="P104" s="319"/>
      <c r="Q104" s="319"/>
      <c r="R104" s="319"/>
      <c r="S104" s="319"/>
      <c r="T104" s="319"/>
    </row>
    <row r="105" spans="1:20">
      <c r="A105" s="461"/>
      <c r="B105" s="389" t="s">
        <v>303</v>
      </c>
      <c r="C105" s="390"/>
      <c r="D105" s="476"/>
      <c r="E105" s="477"/>
      <c r="F105" s="477"/>
      <c r="G105" s="477"/>
      <c r="H105" s="478"/>
      <c r="I105" s="484">
        <f>SUM(I103:I104)</f>
        <v>0</v>
      </c>
      <c r="J105" s="484">
        <f>SUM(J103:J104)</f>
        <v>0</v>
      </c>
      <c r="K105" s="484">
        <f>SUM(K103:K104)</f>
        <v>0</v>
      </c>
      <c r="L105" s="484">
        <f>SUM(L103:L104)</f>
        <v>0</v>
      </c>
      <c r="M105" s="484">
        <f>SUM(M103:M104)</f>
        <v>0</v>
      </c>
      <c r="N105" s="319"/>
      <c r="O105" s="319"/>
      <c r="P105" s="319"/>
      <c r="Q105" s="319"/>
      <c r="R105" s="319"/>
      <c r="S105" s="319"/>
      <c r="T105" s="319"/>
    </row>
    <row r="106" spans="1:20" ht="13.5" thickBot="1">
      <c r="A106" s="461"/>
      <c r="B106" s="454" t="s">
        <v>239</v>
      </c>
      <c r="C106" s="405" t="s">
        <v>233</v>
      </c>
      <c r="D106" s="455">
        <f t="shared" ref="D106:M106" si="21">SUM(D83:D84,D87,D89:D90,D93,D95:D96,D99,D101:D102,D105)</f>
        <v>0</v>
      </c>
      <c r="E106" s="456">
        <f t="shared" si="21"/>
        <v>0</v>
      </c>
      <c r="F106" s="456">
        <f t="shared" si="21"/>
        <v>0</v>
      </c>
      <c r="G106" s="456">
        <f t="shared" si="21"/>
        <v>0</v>
      </c>
      <c r="H106" s="457">
        <f t="shared" si="21"/>
        <v>0</v>
      </c>
      <c r="I106" s="455">
        <f t="shared" si="21"/>
        <v>0</v>
      </c>
      <c r="J106" s="456">
        <f t="shared" si="21"/>
        <v>0</v>
      </c>
      <c r="K106" s="456">
        <f t="shared" si="21"/>
        <v>0</v>
      </c>
      <c r="L106" s="456">
        <f t="shared" si="21"/>
        <v>0</v>
      </c>
      <c r="M106" s="485">
        <f t="shared" si="21"/>
        <v>0</v>
      </c>
      <c r="N106" s="458"/>
      <c r="O106" s="319"/>
      <c r="P106" s="319"/>
      <c r="Q106" s="319"/>
      <c r="R106" s="319"/>
      <c r="S106" s="319"/>
      <c r="T106" s="319"/>
    </row>
    <row r="107" spans="1:20">
      <c r="B107" s="486"/>
      <c r="C107" s="379"/>
      <c r="D107" s="380"/>
      <c r="E107" s="380"/>
      <c r="F107" s="380"/>
      <c r="G107" s="380"/>
      <c r="H107" s="380"/>
      <c r="I107" s="380"/>
      <c r="J107" s="380"/>
      <c r="K107" s="380"/>
      <c r="L107" s="380"/>
      <c r="M107" s="380"/>
      <c r="N107" s="319"/>
      <c r="O107" s="380"/>
      <c r="P107" s="380"/>
      <c r="Q107" s="380"/>
      <c r="R107" s="319"/>
      <c r="S107" s="380"/>
      <c r="T107" s="380"/>
    </row>
    <row r="108" spans="1:20">
      <c r="B108" s="320" t="s">
        <v>308</v>
      </c>
      <c r="N108" s="319"/>
      <c r="O108" s="319"/>
      <c r="P108" s="319"/>
      <c r="Q108" s="319"/>
      <c r="R108" s="319"/>
      <c r="S108" s="319"/>
      <c r="T108" s="319"/>
    </row>
    <row r="109" spans="1:20" ht="13.5" thickBot="1">
      <c r="B109" s="320"/>
      <c r="F109" s="421"/>
      <c r="N109" s="319"/>
      <c r="O109" s="319"/>
      <c r="P109" s="319"/>
      <c r="Q109" s="319"/>
      <c r="R109" s="319"/>
      <c r="S109" s="319"/>
      <c r="T109" s="319"/>
    </row>
    <row r="110" spans="1:20">
      <c r="B110" s="1509"/>
      <c r="C110" s="1511" t="s">
        <v>190</v>
      </c>
      <c r="D110" s="321" t="s">
        <v>191</v>
      </c>
      <c r="E110" s="322"/>
      <c r="F110" s="322"/>
      <c r="G110" s="322"/>
      <c r="H110" s="323"/>
      <c r="I110" s="322" t="s">
        <v>192</v>
      </c>
      <c r="J110" s="324"/>
      <c r="K110" s="324"/>
      <c r="L110" s="324"/>
      <c r="M110" s="323"/>
      <c r="N110" s="319"/>
      <c r="O110" s="319"/>
      <c r="P110" s="319"/>
      <c r="Q110" s="319"/>
      <c r="R110" s="319"/>
      <c r="S110" s="319"/>
      <c r="T110" s="319"/>
    </row>
    <row r="111" spans="1:20">
      <c r="B111" s="1510"/>
      <c r="C111" s="1512"/>
      <c r="D111" s="328" t="s">
        <v>79</v>
      </c>
      <c r="E111" s="329" t="s">
        <v>80</v>
      </c>
      <c r="F111" s="329" t="s">
        <v>81</v>
      </c>
      <c r="G111" s="329" t="s">
        <v>82</v>
      </c>
      <c r="H111" s="330" t="s">
        <v>44</v>
      </c>
      <c r="I111" s="331" t="s">
        <v>193</v>
      </c>
      <c r="J111" s="329" t="s">
        <v>194</v>
      </c>
      <c r="K111" s="329" t="s">
        <v>195</v>
      </c>
      <c r="L111" s="329" t="s">
        <v>196</v>
      </c>
      <c r="M111" s="330" t="s">
        <v>197</v>
      </c>
      <c r="N111" s="319"/>
      <c r="O111" s="319"/>
      <c r="P111" s="319"/>
      <c r="Q111" s="319"/>
      <c r="R111" s="319"/>
      <c r="S111" s="319"/>
      <c r="T111" s="319"/>
    </row>
    <row r="112" spans="1:20">
      <c r="B112" s="407" t="s">
        <v>292</v>
      </c>
      <c r="C112" s="408"/>
      <c r="D112" s="409"/>
      <c r="E112" s="410"/>
      <c r="F112" s="410"/>
      <c r="G112" s="410"/>
      <c r="H112" s="411"/>
      <c r="I112" s="413"/>
      <c r="J112" s="413"/>
      <c r="K112" s="413"/>
      <c r="L112" s="413"/>
      <c r="M112" s="414"/>
      <c r="N112" s="415"/>
      <c r="O112" s="319"/>
      <c r="P112" s="319"/>
      <c r="Q112" s="319"/>
      <c r="R112" s="319"/>
      <c r="S112" s="319"/>
      <c r="T112" s="319"/>
    </row>
    <row r="113" spans="2:20">
      <c r="B113" s="464" t="s">
        <v>293</v>
      </c>
      <c r="C113" s="390"/>
      <c r="D113" s="417"/>
      <c r="E113" s="418"/>
      <c r="F113" s="418"/>
      <c r="G113" s="418"/>
      <c r="H113" s="419"/>
      <c r="I113" s="421"/>
      <c r="J113" s="421"/>
      <c r="K113" s="421"/>
      <c r="L113" s="421"/>
      <c r="M113" s="422"/>
      <c r="N113" s="415"/>
      <c r="O113" s="319"/>
      <c r="P113" s="319"/>
      <c r="Q113" s="319"/>
      <c r="R113" s="319"/>
      <c r="S113" s="319"/>
      <c r="T113" s="319"/>
    </row>
    <row r="114" spans="2:20">
      <c r="B114" s="423" t="s">
        <v>232</v>
      </c>
      <c r="C114" s="390" t="s">
        <v>233</v>
      </c>
      <c r="D114" s="467"/>
      <c r="E114" s="468"/>
      <c r="F114" s="468"/>
      <c r="G114" s="468"/>
      <c r="H114" s="469"/>
      <c r="I114" s="467"/>
      <c r="J114" s="470"/>
      <c r="K114" s="470"/>
      <c r="L114" s="470"/>
      <c r="M114" s="471"/>
      <c r="N114" s="319"/>
      <c r="O114" s="319"/>
      <c r="P114" s="319"/>
      <c r="Q114" s="319"/>
      <c r="R114" s="319"/>
      <c r="S114" s="319"/>
      <c r="T114" s="319"/>
    </row>
    <row r="115" spans="2:20">
      <c r="B115" s="428" t="s">
        <v>294</v>
      </c>
      <c r="C115" s="390"/>
      <c r="D115" s="467"/>
      <c r="E115" s="468"/>
      <c r="F115" s="468"/>
      <c r="G115" s="468"/>
      <c r="H115" s="469"/>
      <c r="I115" s="467"/>
      <c r="J115" s="470"/>
      <c r="K115" s="470"/>
      <c r="L115" s="470"/>
      <c r="M115" s="471"/>
      <c r="N115" s="319"/>
      <c r="O115" s="319"/>
      <c r="P115" s="319"/>
      <c r="Q115" s="319"/>
      <c r="R115" s="319"/>
      <c r="S115" s="319"/>
      <c r="T115" s="319"/>
    </row>
    <row r="116" spans="2:20">
      <c r="B116" s="389" t="s">
        <v>295</v>
      </c>
      <c r="C116" s="390"/>
      <c r="D116" s="441"/>
      <c r="E116" s="442"/>
      <c r="F116" s="442"/>
      <c r="G116" s="442"/>
      <c r="H116" s="443"/>
      <c r="I116" s="467"/>
      <c r="J116" s="470"/>
      <c r="K116" s="470"/>
      <c r="L116" s="470"/>
      <c r="M116" s="471"/>
      <c r="N116" s="319"/>
      <c r="O116" s="319"/>
      <c r="P116" s="319"/>
      <c r="Q116" s="319"/>
      <c r="R116" s="319"/>
      <c r="S116" s="319"/>
      <c r="T116" s="319"/>
    </row>
    <row r="117" spans="2:20">
      <c r="B117" s="389" t="s">
        <v>296</v>
      </c>
      <c r="C117" s="390" t="s">
        <v>233</v>
      </c>
      <c r="D117" s="441"/>
      <c r="E117" s="442"/>
      <c r="F117" s="442"/>
      <c r="G117" s="442"/>
      <c r="H117" s="443"/>
      <c r="I117" s="467"/>
      <c r="J117" s="470"/>
      <c r="K117" s="470"/>
      <c r="L117" s="470"/>
      <c r="M117" s="471"/>
      <c r="N117" s="319"/>
      <c r="O117" s="319"/>
      <c r="P117" s="319"/>
      <c r="Q117" s="319"/>
      <c r="R117" s="319"/>
      <c r="S117" s="319"/>
      <c r="T117" s="319"/>
    </row>
    <row r="118" spans="2:20">
      <c r="B118" s="389" t="s">
        <v>297</v>
      </c>
      <c r="C118" s="390"/>
      <c r="D118" s="467"/>
      <c r="E118" s="470"/>
      <c r="F118" s="470"/>
      <c r="G118" s="470"/>
      <c r="H118" s="469"/>
      <c r="I118" s="472">
        <f>SUM(I116:I117)</f>
        <v>0</v>
      </c>
      <c r="J118" s="473">
        <f>SUM(J116:J117)</f>
        <v>0</v>
      </c>
      <c r="K118" s="473">
        <f>SUM(K116:K117)</f>
        <v>0</v>
      </c>
      <c r="L118" s="473">
        <f>SUM(L116:L117)</f>
        <v>0</v>
      </c>
      <c r="M118" s="474">
        <f>SUM(M116:M117)</f>
        <v>0</v>
      </c>
      <c r="N118" s="319"/>
      <c r="O118" s="319"/>
      <c r="P118" s="319"/>
      <c r="Q118" s="319"/>
      <c r="R118" s="319"/>
      <c r="S118" s="319"/>
      <c r="T118" s="319"/>
    </row>
    <row r="119" spans="2:20">
      <c r="B119" s="432" t="s">
        <v>305</v>
      </c>
      <c r="C119" s="390"/>
      <c r="D119" s="433"/>
      <c r="E119" s="434"/>
      <c r="F119" s="434"/>
      <c r="G119" s="434"/>
      <c r="H119" s="435"/>
      <c r="I119" s="436"/>
      <c r="J119" s="437"/>
      <c r="K119" s="437"/>
      <c r="L119" s="475"/>
      <c r="M119" s="438"/>
      <c r="N119" s="415"/>
      <c r="O119" s="319"/>
      <c r="P119" s="319"/>
      <c r="Q119" s="319"/>
      <c r="R119" s="319"/>
      <c r="S119" s="319"/>
      <c r="T119" s="319"/>
    </row>
    <row r="120" spans="2:20">
      <c r="B120" s="439" t="s">
        <v>232</v>
      </c>
      <c r="C120" s="390" t="s">
        <v>233</v>
      </c>
      <c r="D120" s="467"/>
      <c r="E120" s="468"/>
      <c r="F120" s="468"/>
      <c r="G120" s="468"/>
      <c r="H120" s="469"/>
      <c r="I120" s="467"/>
      <c r="J120" s="470"/>
      <c r="K120" s="470"/>
      <c r="L120" s="470"/>
      <c r="M120" s="471"/>
      <c r="N120" s="319"/>
      <c r="O120" s="319"/>
      <c r="P120" s="319"/>
      <c r="Q120" s="319"/>
      <c r="R120" s="319"/>
      <c r="S120" s="319"/>
      <c r="T120" s="319"/>
    </row>
    <row r="121" spans="2:20">
      <c r="B121" s="440" t="s">
        <v>294</v>
      </c>
      <c r="C121" s="390"/>
      <c r="D121" s="467"/>
      <c r="E121" s="468"/>
      <c r="F121" s="468"/>
      <c r="G121" s="468"/>
      <c r="H121" s="469"/>
      <c r="I121" s="467"/>
      <c r="J121" s="470"/>
      <c r="K121" s="470"/>
      <c r="L121" s="470"/>
      <c r="M121" s="471"/>
      <c r="N121" s="319"/>
      <c r="O121" s="319"/>
      <c r="P121" s="319"/>
      <c r="Q121" s="319"/>
      <c r="R121" s="319"/>
      <c r="S121" s="319"/>
      <c r="T121" s="319"/>
    </row>
    <row r="122" spans="2:20">
      <c r="B122" s="389" t="s">
        <v>285</v>
      </c>
      <c r="C122" s="390"/>
      <c r="D122" s="441"/>
      <c r="E122" s="442"/>
      <c r="F122" s="442"/>
      <c r="G122" s="442"/>
      <c r="H122" s="443"/>
      <c r="I122" s="467"/>
      <c r="J122" s="470"/>
      <c r="K122" s="470"/>
      <c r="L122" s="470"/>
      <c r="M122" s="471"/>
      <c r="N122" s="319"/>
      <c r="O122" s="319"/>
      <c r="P122" s="319"/>
      <c r="Q122" s="319"/>
      <c r="R122" s="319"/>
      <c r="S122" s="319"/>
      <c r="T122" s="319"/>
    </row>
    <row r="123" spans="2:20">
      <c r="B123" s="389" t="s">
        <v>286</v>
      </c>
      <c r="C123" s="390" t="s">
        <v>233</v>
      </c>
      <c r="D123" s="441"/>
      <c r="E123" s="442"/>
      <c r="F123" s="442"/>
      <c r="G123" s="442"/>
      <c r="H123" s="443"/>
      <c r="I123" s="467"/>
      <c r="J123" s="470"/>
      <c r="K123" s="470"/>
      <c r="L123" s="470"/>
      <c r="M123" s="471"/>
      <c r="N123" s="319"/>
      <c r="O123" s="319"/>
      <c r="P123" s="319"/>
      <c r="Q123" s="319"/>
      <c r="R123" s="319"/>
      <c r="S123" s="319"/>
      <c r="T123" s="319"/>
    </row>
    <row r="124" spans="2:20">
      <c r="B124" s="389" t="s">
        <v>299</v>
      </c>
      <c r="C124" s="390"/>
      <c r="D124" s="467"/>
      <c r="E124" s="470"/>
      <c r="F124" s="470"/>
      <c r="G124" s="470"/>
      <c r="H124" s="469"/>
      <c r="I124" s="472">
        <f>SUM(I122:I123)</f>
        <v>0</v>
      </c>
      <c r="J124" s="472">
        <f>SUM(J122:J123)</f>
        <v>0</v>
      </c>
      <c r="K124" s="472">
        <f>SUM(K122:K123)</f>
        <v>0</v>
      </c>
      <c r="L124" s="472">
        <f>SUM(L122:L123)</f>
        <v>0</v>
      </c>
      <c r="M124" s="487">
        <f>SUM(M122:M123)</f>
        <v>0</v>
      </c>
      <c r="N124" s="319"/>
      <c r="O124" s="319"/>
      <c r="P124" s="319"/>
      <c r="Q124" s="319"/>
      <c r="R124" s="319"/>
      <c r="S124" s="319"/>
      <c r="T124" s="319"/>
    </row>
    <row r="125" spans="2:20">
      <c r="B125" s="432" t="s">
        <v>306</v>
      </c>
      <c r="C125" s="390"/>
      <c r="D125" s="433"/>
      <c r="E125" s="434"/>
      <c r="F125" s="434"/>
      <c r="G125" s="434"/>
      <c r="H125" s="435"/>
      <c r="I125" s="436"/>
      <c r="J125" s="437"/>
      <c r="K125" s="437"/>
      <c r="L125" s="475"/>
      <c r="M125" s="438"/>
      <c r="N125" s="415"/>
      <c r="O125" s="319"/>
      <c r="P125" s="319"/>
      <c r="Q125" s="319"/>
      <c r="R125" s="319"/>
      <c r="S125" s="319"/>
      <c r="T125" s="319"/>
    </row>
    <row r="126" spans="2:20">
      <c r="B126" s="439" t="s">
        <v>232</v>
      </c>
      <c r="C126" s="390" t="s">
        <v>233</v>
      </c>
      <c r="D126" s="467"/>
      <c r="E126" s="468"/>
      <c r="F126" s="468"/>
      <c r="G126" s="468"/>
      <c r="H126" s="469"/>
      <c r="I126" s="467"/>
      <c r="J126" s="470"/>
      <c r="K126" s="470"/>
      <c r="L126" s="470"/>
      <c r="M126" s="471"/>
      <c r="N126" s="319"/>
      <c r="O126" s="319"/>
      <c r="P126" s="319"/>
      <c r="Q126" s="319"/>
      <c r="R126" s="319"/>
      <c r="S126" s="319"/>
      <c r="T126" s="319"/>
    </row>
    <row r="127" spans="2:20">
      <c r="B127" s="440" t="s">
        <v>294</v>
      </c>
      <c r="C127" s="390"/>
      <c r="D127" s="467"/>
      <c r="E127" s="468"/>
      <c r="F127" s="468"/>
      <c r="G127" s="468"/>
      <c r="H127" s="469"/>
      <c r="I127" s="467"/>
      <c r="J127" s="470"/>
      <c r="K127" s="470"/>
      <c r="L127" s="470"/>
      <c r="M127" s="471"/>
      <c r="N127" s="319"/>
      <c r="O127" s="319"/>
      <c r="P127" s="319"/>
      <c r="Q127" s="319"/>
      <c r="R127" s="319"/>
      <c r="S127" s="319"/>
      <c r="T127" s="319"/>
    </row>
    <row r="128" spans="2:20">
      <c r="B128" s="389" t="s">
        <v>287</v>
      </c>
      <c r="C128" s="390"/>
      <c r="D128" s="429"/>
      <c r="E128" s="430"/>
      <c r="F128" s="430"/>
      <c r="G128" s="430"/>
      <c r="H128" s="431"/>
      <c r="I128" s="467"/>
      <c r="J128" s="470"/>
      <c r="K128" s="470"/>
      <c r="L128" s="470"/>
      <c r="M128" s="471"/>
      <c r="N128" s="319"/>
      <c r="O128" s="319"/>
      <c r="P128" s="319"/>
      <c r="Q128" s="319"/>
      <c r="R128" s="319"/>
      <c r="S128" s="319"/>
      <c r="T128" s="319"/>
    </row>
    <row r="129" spans="2:20">
      <c r="B129" s="389" t="s">
        <v>288</v>
      </c>
      <c r="C129" s="390" t="s">
        <v>233</v>
      </c>
      <c r="D129" s="429"/>
      <c r="E129" s="430"/>
      <c r="F129" s="430"/>
      <c r="G129" s="430"/>
      <c r="H129" s="431"/>
      <c r="I129" s="467"/>
      <c r="J129" s="470"/>
      <c r="K129" s="470"/>
      <c r="L129" s="470"/>
      <c r="M129" s="471"/>
      <c r="N129" s="319"/>
      <c r="O129" s="319"/>
      <c r="P129" s="319"/>
      <c r="Q129" s="319"/>
      <c r="R129" s="319"/>
      <c r="S129" s="319"/>
      <c r="T129" s="319"/>
    </row>
    <row r="130" spans="2:20">
      <c r="B130" s="389" t="s">
        <v>301</v>
      </c>
      <c r="C130" s="390"/>
      <c r="D130" s="467"/>
      <c r="E130" s="470"/>
      <c r="F130" s="470"/>
      <c r="G130" s="470"/>
      <c r="H130" s="469"/>
      <c r="I130" s="472">
        <f>SUM(I128:I129)</f>
        <v>0</v>
      </c>
      <c r="J130" s="472">
        <f>SUM(J128:J129)</f>
        <v>0</v>
      </c>
      <c r="K130" s="472">
        <f>SUM(K128:K129)</f>
        <v>0</v>
      </c>
      <c r="L130" s="472">
        <f>SUM(L128:L129)</f>
        <v>0</v>
      </c>
      <c r="M130" s="487">
        <f>SUM(M128:M129)</f>
        <v>0</v>
      </c>
      <c r="N130" s="319"/>
      <c r="O130" s="319"/>
      <c r="P130" s="319"/>
      <c r="Q130" s="319"/>
      <c r="R130" s="319"/>
      <c r="S130" s="319"/>
      <c r="T130" s="319"/>
    </row>
    <row r="131" spans="2:20">
      <c r="B131" s="432" t="s">
        <v>307</v>
      </c>
      <c r="C131" s="390"/>
      <c r="D131" s="433"/>
      <c r="E131" s="434"/>
      <c r="F131" s="434"/>
      <c r="G131" s="434"/>
      <c r="H131" s="435"/>
      <c r="I131" s="436"/>
      <c r="J131" s="437"/>
      <c r="K131" s="437"/>
      <c r="L131" s="475"/>
      <c r="M131" s="438"/>
      <c r="N131" s="415"/>
      <c r="O131" s="319"/>
      <c r="P131" s="319"/>
      <c r="Q131" s="319"/>
      <c r="R131" s="319"/>
      <c r="S131" s="319"/>
      <c r="T131" s="319"/>
    </row>
    <row r="132" spans="2:20">
      <c r="B132" s="439" t="s">
        <v>232</v>
      </c>
      <c r="C132" s="390" t="s">
        <v>233</v>
      </c>
      <c r="D132" s="476"/>
      <c r="E132" s="477"/>
      <c r="F132" s="477"/>
      <c r="G132" s="477"/>
      <c r="H132" s="478"/>
      <c r="I132" s="476"/>
      <c r="J132" s="479"/>
      <c r="K132" s="479"/>
      <c r="L132" s="479"/>
      <c r="M132" s="480"/>
      <c r="N132" s="319"/>
      <c r="O132" s="319"/>
      <c r="P132" s="319"/>
      <c r="Q132" s="319"/>
      <c r="R132" s="319"/>
      <c r="S132" s="319"/>
      <c r="T132" s="319"/>
    </row>
    <row r="133" spans="2:20">
      <c r="B133" s="440" t="s">
        <v>294</v>
      </c>
      <c r="C133" s="390"/>
      <c r="D133" s="476"/>
      <c r="E133" s="477"/>
      <c r="F133" s="477"/>
      <c r="G133" s="477"/>
      <c r="H133" s="478"/>
      <c r="I133" s="476"/>
      <c r="J133" s="479"/>
      <c r="K133" s="479"/>
      <c r="L133" s="479"/>
      <c r="M133" s="480"/>
      <c r="N133" s="319"/>
      <c r="O133" s="319"/>
      <c r="P133" s="319"/>
      <c r="Q133" s="319"/>
      <c r="R133" s="319"/>
      <c r="S133" s="319"/>
      <c r="T133" s="319"/>
    </row>
    <row r="134" spans="2:20">
      <c r="B134" s="389" t="s">
        <v>289</v>
      </c>
      <c r="C134" s="390"/>
      <c r="D134" s="481"/>
      <c r="E134" s="482"/>
      <c r="F134" s="482"/>
      <c r="G134" s="482"/>
      <c r="H134" s="483"/>
      <c r="I134" s="476"/>
      <c r="J134" s="479"/>
      <c r="K134" s="479"/>
      <c r="L134" s="479"/>
      <c r="M134" s="480"/>
      <c r="N134" s="319"/>
      <c r="O134" s="319"/>
      <c r="P134" s="319"/>
      <c r="Q134" s="319"/>
      <c r="R134" s="319"/>
      <c r="S134" s="319"/>
      <c r="T134" s="319"/>
    </row>
    <row r="135" spans="2:20">
      <c r="B135" s="389" t="s">
        <v>290</v>
      </c>
      <c r="C135" s="390" t="s">
        <v>233</v>
      </c>
      <c r="D135" s="481"/>
      <c r="E135" s="482"/>
      <c r="F135" s="482"/>
      <c r="G135" s="482"/>
      <c r="H135" s="483"/>
      <c r="I135" s="476"/>
      <c r="J135" s="479"/>
      <c r="K135" s="479"/>
      <c r="L135" s="479"/>
      <c r="M135" s="480"/>
      <c r="N135" s="319"/>
      <c r="O135" s="319"/>
      <c r="P135" s="319"/>
      <c r="Q135" s="319"/>
      <c r="R135" s="319"/>
      <c r="S135" s="319"/>
      <c r="T135" s="319"/>
    </row>
    <row r="136" spans="2:20">
      <c r="B136" s="389" t="s">
        <v>303</v>
      </c>
      <c r="C136" s="390"/>
      <c r="D136" s="476"/>
      <c r="E136" s="477"/>
      <c r="F136" s="477"/>
      <c r="G136" s="477"/>
      <c r="H136" s="478"/>
      <c r="I136" s="484">
        <f>SUM(I134:I135)</f>
        <v>0</v>
      </c>
      <c r="J136" s="484">
        <f>SUM(J134:J135)</f>
        <v>0</v>
      </c>
      <c r="K136" s="484">
        <f>SUM(K134:K135)</f>
        <v>0</v>
      </c>
      <c r="L136" s="484">
        <f>SUM(L134:L135)</f>
        <v>0</v>
      </c>
      <c r="M136" s="488">
        <f>SUM(M134:M135)</f>
        <v>0</v>
      </c>
      <c r="N136" s="319"/>
      <c r="O136" s="319"/>
      <c r="P136" s="319"/>
      <c r="Q136" s="319"/>
      <c r="R136" s="319"/>
      <c r="S136" s="319"/>
      <c r="T136" s="319"/>
    </row>
    <row r="137" spans="2:20" ht="13.5" thickBot="1">
      <c r="B137" s="454" t="s">
        <v>239</v>
      </c>
      <c r="C137" s="405" t="s">
        <v>233</v>
      </c>
      <c r="D137" s="455">
        <f t="shared" ref="D137:M137" si="22">SUM(D114:D115,D118,D120:D121,D124,D126:D127,D130,D132:D133,D136)</f>
        <v>0</v>
      </c>
      <c r="E137" s="456">
        <f t="shared" si="22"/>
        <v>0</v>
      </c>
      <c r="F137" s="456">
        <f t="shared" si="22"/>
        <v>0</v>
      </c>
      <c r="G137" s="456">
        <f t="shared" si="22"/>
        <v>0</v>
      </c>
      <c r="H137" s="457">
        <f t="shared" si="22"/>
        <v>0</v>
      </c>
      <c r="I137" s="455">
        <f t="shared" si="22"/>
        <v>0</v>
      </c>
      <c r="J137" s="456">
        <f t="shared" si="22"/>
        <v>0</v>
      </c>
      <c r="K137" s="456">
        <f t="shared" si="22"/>
        <v>0</v>
      </c>
      <c r="L137" s="456">
        <f t="shared" si="22"/>
        <v>0</v>
      </c>
      <c r="M137" s="485">
        <f t="shared" si="22"/>
        <v>0</v>
      </c>
      <c r="N137" s="458"/>
      <c r="O137" s="319"/>
      <c r="P137" s="319"/>
      <c r="Q137" s="319"/>
      <c r="R137" s="319"/>
      <c r="S137" s="319"/>
      <c r="T137" s="319"/>
    </row>
    <row r="138" spans="2:20">
      <c r="B138" s="486"/>
      <c r="C138" s="379"/>
      <c r="D138" s="380"/>
      <c r="E138" s="380"/>
      <c r="F138" s="380"/>
      <c r="G138" s="380"/>
      <c r="H138" s="380"/>
      <c r="I138" s="380"/>
      <c r="J138" s="380"/>
      <c r="K138" s="380"/>
      <c r="L138" s="380"/>
      <c r="M138" s="380"/>
      <c r="N138" s="319"/>
      <c r="O138" s="380"/>
      <c r="P138" s="380"/>
      <c r="Q138" s="380"/>
      <c r="R138" s="319"/>
      <c r="S138" s="380"/>
      <c r="T138" s="380"/>
    </row>
    <row r="139" spans="2:20">
      <c r="B139" s="486"/>
      <c r="C139" s="379"/>
      <c r="D139" s="380"/>
      <c r="E139" s="380"/>
      <c r="F139" s="380"/>
      <c r="G139" s="380"/>
      <c r="H139" s="380"/>
      <c r="I139" s="380"/>
      <c r="J139" s="380"/>
      <c r="K139" s="380"/>
      <c r="L139" s="380"/>
      <c r="M139" s="380"/>
      <c r="N139" s="319"/>
      <c r="O139" s="380"/>
      <c r="P139" s="380"/>
      <c r="Q139" s="380"/>
      <c r="R139" s="319"/>
      <c r="S139" s="380"/>
      <c r="T139" s="380"/>
    </row>
    <row r="140" spans="2:20">
      <c r="B140" s="486"/>
      <c r="C140" s="379"/>
      <c r="D140" s="380"/>
      <c r="E140" s="380"/>
      <c r="F140" s="380"/>
      <c r="G140" s="380"/>
      <c r="H140" s="380"/>
      <c r="I140" s="380"/>
      <c r="J140" s="380"/>
      <c r="K140" s="380"/>
      <c r="L140" s="380"/>
      <c r="M140" s="380"/>
      <c r="N140" s="319"/>
      <c r="O140" s="380"/>
      <c r="P140" s="380"/>
      <c r="Q140" s="380"/>
      <c r="R140" s="319"/>
      <c r="S140" s="380"/>
      <c r="T140" s="380"/>
    </row>
    <row r="141" spans="2:20">
      <c r="B141" s="378" t="s">
        <v>309</v>
      </c>
      <c r="C141" s="379"/>
      <c r="D141" s="380"/>
      <c r="E141" s="380"/>
      <c r="F141" s="380"/>
      <c r="G141" s="380"/>
      <c r="H141" s="380"/>
      <c r="I141" s="380"/>
      <c r="J141" s="380"/>
      <c r="K141" s="380"/>
      <c r="L141" s="380"/>
      <c r="M141" s="380"/>
      <c r="N141" s="319"/>
      <c r="O141" s="380"/>
      <c r="P141" s="380"/>
      <c r="Q141" s="380"/>
      <c r="R141" s="319"/>
      <c r="S141" s="380"/>
      <c r="T141" s="380"/>
    </row>
    <row r="142" spans="2:20" ht="13.5" thickBot="1">
      <c r="B142" s="378"/>
      <c r="C142" s="379"/>
      <c r="D142" s="380"/>
      <c r="E142" s="380"/>
      <c r="F142" s="380"/>
      <c r="G142" s="380"/>
      <c r="H142" s="380"/>
      <c r="I142" s="380"/>
      <c r="J142" s="380"/>
      <c r="K142" s="380"/>
      <c r="L142" s="380"/>
      <c r="M142" s="380"/>
      <c r="N142" s="319"/>
      <c r="O142" s="380"/>
      <c r="P142" s="380"/>
      <c r="Q142" s="380"/>
      <c r="R142" s="319"/>
      <c r="S142" s="380"/>
      <c r="T142" s="380"/>
    </row>
    <row r="143" spans="2:20">
      <c r="B143" s="1513"/>
      <c r="C143" s="1511" t="s">
        <v>190</v>
      </c>
      <c r="D143" s="321" t="s">
        <v>191</v>
      </c>
      <c r="E143" s="322"/>
      <c r="F143" s="322"/>
      <c r="G143" s="322"/>
      <c r="H143" s="323"/>
      <c r="I143" s="322" t="s">
        <v>192</v>
      </c>
      <c r="J143" s="324"/>
      <c r="K143" s="324"/>
      <c r="L143" s="324"/>
      <c r="M143" s="323"/>
      <c r="N143" s="319"/>
      <c r="O143" s="325" t="s">
        <v>191</v>
      </c>
      <c r="P143" s="326"/>
      <c r="Q143" s="327"/>
      <c r="R143" s="319"/>
      <c r="S143" s="325" t="s">
        <v>192</v>
      </c>
      <c r="T143" s="327"/>
    </row>
    <row r="144" spans="2:20">
      <c r="B144" s="1514"/>
      <c r="C144" s="1512"/>
      <c r="D144" s="328" t="s">
        <v>79</v>
      </c>
      <c r="E144" s="329" t="s">
        <v>80</v>
      </c>
      <c r="F144" s="329" t="s">
        <v>81</v>
      </c>
      <c r="G144" s="329" t="s">
        <v>82</v>
      </c>
      <c r="H144" s="330" t="s">
        <v>44</v>
      </c>
      <c r="I144" s="331" t="s">
        <v>193</v>
      </c>
      <c r="J144" s="329" t="s">
        <v>194</v>
      </c>
      <c r="K144" s="329" t="s">
        <v>195</v>
      </c>
      <c r="L144" s="329" t="s">
        <v>196</v>
      </c>
      <c r="M144" s="330" t="s">
        <v>197</v>
      </c>
      <c r="N144" s="319"/>
      <c r="O144" s="332" t="s">
        <v>198</v>
      </c>
      <c r="P144" s="333" t="s">
        <v>199</v>
      </c>
      <c r="Q144" s="334" t="s">
        <v>200</v>
      </c>
      <c r="R144" s="319"/>
      <c r="S144" s="332" t="s">
        <v>199</v>
      </c>
      <c r="T144" s="334" t="s">
        <v>201</v>
      </c>
    </row>
    <row r="145" spans="2:20">
      <c r="B145" s="489" t="s">
        <v>242</v>
      </c>
      <c r="C145" s="490"/>
      <c r="D145" s="409"/>
      <c r="E145" s="410"/>
      <c r="F145" s="410"/>
      <c r="G145" s="410"/>
      <c r="H145" s="411"/>
      <c r="I145" s="413"/>
      <c r="J145" s="413"/>
      <c r="K145" s="413"/>
      <c r="L145" s="413"/>
      <c r="M145" s="414"/>
      <c r="N145" s="319"/>
      <c r="O145" s="412"/>
      <c r="P145" s="413"/>
      <c r="Q145" s="414"/>
      <c r="R145" s="319"/>
      <c r="S145" s="412"/>
      <c r="T145" s="414"/>
    </row>
    <row r="146" spans="2:20">
      <c r="B146" s="381" t="s">
        <v>243</v>
      </c>
      <c r="C146" s="382"/>
      <c r="D146" s="383"/>
      <c r="E146" s="384"/>
      <c r="F146" s="384"/>
      <c r="G146" s="384"/>
      <c r="H146" s="385"/>
      <c r="I146" s="384"/>
      <c r="J146" s="384"/>
      <c r="K146" s="384"/>
      <c r="L146" s="384"/>
      <c r="M146" s="385"/>
      <c r="N146" s="319"/>
      <c r="O146" s="386"/>
      <c r="P146" s="387"/>
      <c r="Q146" s="388"/>
      <c r="R146" s="319"/>
      <c r="S146" s="383"/>
      <c r="T146" s="385"/>
    </row>
    <row r="147" spans="2:20">
      <c r="B147" s="389" t="s">
        <v>283</v>
      </c>
      <c r="C147" s="390" t="s">
        <v>203</v>
      </c>
      <c r="D147" s="491"/>
      <c r="E147" s="492"/>
      <c r="F147" s="492"/>
      <c r="G147" s="492"/>
      <c r="H147" s="493"/>
      <c r="I147" s="368"/>
      <c r="J147" s="370"/>
      <c r="K147" s="370"/>
      <c r="L147" s="370"/>
      <c r="M147" s="369"/>
      <c r="N147" s="319"/>
      <c r="O147" s="360"/>
      <c r="P147" s="361"/>
      <c r="Q147" s="362"/>
      <c r="R147" s="319"/>
      <c r="S147" s="360"/>
      <c r="T147" s="363"/>
    </row>
    <row r="148" spans="2:20">
      <c r="B148" s="389" t="s">
        <v>310</v>
      </c>
      <c r="C148" s="390" t="s">
        <v>311</v>
      </c>
      <c r="D148" s="494"/>
      <c r="E148" s="495"/>
      <c r="F148" s="495"/>
      <c r="G148" s="495"/>
      <c r="H148" s="496"/>
      <c r="I148" s="497"/>
      <c r="J148" s="498"/>
      <c r="K148" s="498"/>
      <c r="L148" s="498"/>
      <c r="M148" s="499"/>
      <c r="N148" s="319"/>
      <c r="O148" s="360"/>
      <c r="P148" s="361"/>
      <c r="Q148" s="362"/>
      <c r="R148" s="319"/>
      <c r="S148" s="360"/>
      <c r="T148" s="363"/>
    </row>
    <row r="149" spans="2:20">
      <c r="B149" s="389" t="s">
        <v>312</v>
      </c>
      <c r="C149" s="390" t="s">
        <v>311</v>
      </c>
      <c r="D149" s="494"/>
      <c r="E149" s="495"/>
      <c r="F149" s="495"/>
      <c r="G149" s="495"/>
      <c r="H149" s="496"/>
      <c r="I149" s="500">
        <f>1-I148</f>
        <v>1</v>
      </c>
      <c r="J149" s="501">
        <f>1-J148</f>
        <v>1</v>
      </c>
      <c r="K149" s="501">
        <f>1-K148</f>
        <v>1</v>
      </c>
      <c r="L149" s="501">
        <f>1-L148</f>
        <v>1</v>
      </c>
      <c r="M149" s="502">
        <f>1-M148</f>
        <v>1</v>
      </c>
      <c r="N149" s="319"/>
      <c r="O149" s="360"/>
      <c r="P149" s="361"/>
      <c r="Q149" s="362"/>
      <c r="R149" s="319"/>
      <c r="S149" s="360"/>
      <c r="T149" s="363"/>
    </row>
    <row r="150" spans="2:20">
      <c r="B150" s="389" t="s">
        <v>284</v>
      </c>
      <c r="C150" s="390" t="s">
        <v>203</v>
      </c>
      <c r="D150" s="491"/>
      <c r="E150" s="492"/>
      <c r="F150" s="492"/>
      <c r="G150" s="492"/>
      <c r="H150" s="493"/>
      <c r="I150" s="368"/>
      <c r="J150" s="370"/>
      <c r="K150" s="370"/>
      <c r="L150" s="370"/>
      <c r="M150" s="369"/>
      <c r="N150" s="319"/>
      <c r="O150" s="360"/>
      <c r="P150" s="361"/>
      <c r="Q150" s="362"/>
      <c r="R150" s="319"/>
      <c r="S150" s="360"/>
      <c r="T150" s="363"/>
    </row>
    <row r="151" spans="2:20">
      <c r="B151" s="389" t="s">
        <v>313</v>
      </c>
      <c r="C151" s="390" t="s">
        <v>311</v>
      </c>
      <c r="D151" s="491"/>
      <c r="E151" s="492"/>
      <c r="F151" s="492"/>
      <c r="G151" s="492"/>
      <c r="H151" s="493"/>
      <c r="I151" s="368"/>
      <c r="J151" s="370"/>
      <c r="K151" s="370"/>
      <c r="L151" s="370"/>
      <c r="M151" s="369"/>
      <c r="N151" s="319"/>
      <c r="O151" s="360"/>
      <c r="P151" s="361"/>
      <c r="Q151" s="362"/>
      <c r="R151" s="319"/>
      <c r="S151" s="360"/>
      <c r="T151" s="363"/>
    </row>
    <row r="152" spans="2:20">
      <c r="B152" s="389" t="s">
        <v>314</v>
      </c>
      <c r="C152" s="390" t="s">
        <v>311</v>
      </c>
      <c r="D152" s="494"/>
      <c r="E152" s="495"/>
      <c r="F152" s="495"/>
      <c r="G152" s="495"/>
      <c r="H152" s="496"/>
      <c r="I152" s="500">
        <f>1-I151</f>
        <v>1</v>
      </c>
      <c r="J152" s="501">
        <f>1-J151</f>
        <v>1</v>
      </c>
      <c r="K152" s="501">
        <f>1-K151</f>
        <v>1</v>
      </c>
      <c r="L152" s="501">
        <f>1-L151</f>
        <v>1</v>
      </c>
      <c r="M152" s="502">
        <f>1-M151</f>
        <v>1</v>
      </c>
      <c r="N152" s="319"/>
      <c r="O152" s="360"/>
      <c r="P152" s="361"/>
      <c r="Q152" s="362"/>
      <c r="R152" s="319"/>
      <c r="S152" s="360"/>
      <c r="T152" s="363"/>
    </row>
    <row r="153" spans="2:20">
      <c r="B153" s="397" t="s">
        <v>246</v>
      </c>
      <c r="C153" s="390" t="s">
        <v>203</v>
      </c>
      <c r="D153" s="349"/>
      <c r="E153" s="368"/>
      <c r="F153" s="368"/>
      <c r="G153" s="368"/>
      <c r="H153" s="369"/>
      <c r="I153" s="398">
        <f>SUM(I147,I150)</f>
        <v>0</v>
      </c>
      <c r="J153" s="341">
        <f>SUM(J147,J150)</f>
        <v>0</v>
      </c>
      <c r="K153" s="341">
        <f>SUM(K147,K150)</f>
        <v>0</v>
      </c>
      <c r="L153" s="341">
        <f>SUM(L147,L150)</f>
        <v>0</v>
      </c>
      <c r="M153" s="342">
        <f>SUM(M147,M150)</f>
        <v>0</v>
      </c>
      <c r="N153" s="319"/>
      <c r="O153" s="340">
        <f>SUM(D153:G153)</f>
        <v>0</v>
      </c>
      <c r="P153" s="341">
        <f>SUM(H153)</f>
        <v>0</v>
      </c>
      <c r="Q153" s="342">
        <f>SUM(D153:H153)</f>
        <v>0</v>
      </c>
      <c r="R153" s="319"/>
      <c r="S153" s="340">
        <f>SUM(I153:M153)</f>
        <v>0</v>
      </c>
      <c r="T153" s="155" t="str">
        <f>IF(Q153&lt;&gt;0,(S153-Q153)/Q153,"0")</f>
        <v>0</v>
      </c>
    </row>
    <row r="154" spans="2:20">
      <c r="B154" s="381" t="s">
        <v>315</v>
      </c>
      <c r="C154" s="399"/>
      <c r="D154" s="400"/>
      <c r="E154" s="401"/>
      <c r="F154" s="401"/>
      <c r="G154" s="401"/>
      <c r="H154" s="402"/>
      <c r="I154" s="401"/>
      <c r="J154" s="401"/>
      <c r="K154" s="401"/>
      <c r="L154" s="401"/>
      <c r="M154" s="402"/>
      <c r="N154" s="319"/>
      <c r="O154" s="403"/>
      <c r="P154" s="401"/>
      <c r="Q154" s="402"/>
      <c r="R154" s="319"/>
      <c r="S154" s="400"/>
      <c r="T154" s="402"/>
    </row>
    <row r="155" spans="2:20">
      <c r="B155" s="389" t="s">
        <v>285</v>
      </c>
      <c r="C155" s="390" t="s">
        <v>203</v>
      </c>
      <c r="D155" s="491"/>
      <c r="E155" s="492"/>
      <c r="F155" s="492"/>
      <c r="G155" s="492"/>
      <c r="H155" s="493"/>
      <c r="I155" s="368"/>
      <c r="J155" s="370"/>
      <c r="K155" s="370"/>
      <c r="L155" s="370"/>
      <c r="M155" s="369"/>
      <c r="N155" s="319"/>
      <c r="O155" s="360"/>
      <c r="P155" s="361"/>
      <c r="Q155" s="362"/>
      <c r="R155" s="319"/>
      <c r="S155" s="360"/>
      <c r="T155" s="363"/>
    </row>
    <row r="156" spans="2:20">
      <c r="B156" s="389" t="s">
        <v>316</v>
      </c>
      <c r="C156" s="390" t="s">
        <v>311</v>
      </c>
      <c r="D156" s="494"/>
      <c r="E156" s="495"/>
      <c r="F156" s="495"/>
      <c r="G156" s="495"/>
      <c r="H156" s="496"/>
      <c r="I156" s="497"/>
      <c r="J156" s="498"/>
      <c r="K156" s="498"/>
      <c r="L156" s="498"/>
      <c r="M156" s="499"/>
      <c r="N156" s="319"/>
      <c r="O156" s="360"/>
      <c r="P156" s="361"/>
      <c r="Q156" s="362"/>
      <c r="R156" s="319"/>
      <c r="S156" s="360"/>
      <c r="T156" s="363"/>
    </row>
    <row r="157" spans="2:20">
      <c r="B157" s="389" t="s">
        <v>317</v>
      </c>
      <c r="C157" s="390" t="s">
        <v>311</v>
      </c>
      <c r="D157" s="494"/>
      <c r="E157" s="495"/>
      <c r="F157" s="495"/>
      <c r="G157" s="495"/>
      <c r="H157" s="496"/>
      <c r="I157" s="500">
        <f>1-I156</f>
        <v>1</v>
      </c>
      <c r="J157" s="501">
        <f>1-J156</f>
        <v>1</v>
      </c>
      <c r="K157" s="501">
        <f>1-K156</f>
        <v>1</v>
      </c>
      <c r="L157" s="501">
        <f>1-L156</f>
        <v>1</v>
      </c>
      <c r="M157" s="502">
        <f>1-M156</f>
        <v>1</v>
      </c>
      <c r="N157" s="319"/>
      <c r="O157" s="360"/>
      <c r="P157" s="361"/>
      <c r="Q157" s="362"/>
      <c r="R157" s="319"/>
      <c r="S157" s="360"/>
      <c r="T157" s="363"/>
    </row>
    <row r="158" spans="2:20">
      <c r="B158" s="389" t="s">
        <v>286</v>
      </c>
      <c r="C158" s="390" t="s">
        <v>203</v>
      </c>
      <c r="D158" s="491"/>
      <c r="E158" s="492"/>
      <c r="F158" s="492"/>
      <c r="G158" s="492"/>
      <c r="H158" s="493"/>
      <c r="I158" s="368"/>
      <c r="J158" s="370"/>
      <c r="K158" s="370"/>
      <c r="L158" s="370"/>
      <c r="M158" s="369"/>
      <c r="N158" s="319"/>
      <c r="O158" s="360"/>
      <c r="P158" s="361"/>
      <c r="Q158" s="362"/>
      <c r="R158" s="319"/>
      <c r="S158" s="360"/>
      <c r="T158" s="363"/>
    </row>
    <row r="159" spans="2:20">
      <c r="B159" s="389" t="s">
        <v>318</v>
      </c>
      <c r="C159" s="390" t="s">
        <v>311</v>
      </c>
      <c r="D159" s="491"/>
      <c r="E159" s="492"/>
      <c r="F159" s="492"/>
      <c r="G159" s="492"/>
      <c r="H159" s="493"/>
      <c r="I159" s="368"/>
      <c r="J159" s="370"/>
      <c r="K159" s="370"/>
      <c r="L159" s="370"/>
      <c r="M159" s="369"/>
      <c r="N159" s="319"/>
      <c r="O159" s="360"/>
      <c r="P159" s="361"/>
      <c r="Q159" s="362"/>
      <c r="R159" s="319"/>
      <c r="S159" s="360"/>
      <c r="T159" s="363"/>
    </row>
    <row r="160" spans="2:20">
      <c r="B160" s="389" t="s">
        <v>319</v>
      </c>
      <c r="C160" s="390" t="s">
        <v>311</v>
      </c>
      <c r="D160" s="494"/>
      <c r="E160" s="495"/>
      <c r="F160" s="495"/>
      <c r="G160" s="495"/>
      <c r="H160" s="496"/>
      <c r="I160" s="500">
        <f>1-I159</f>
        <v>1</v>
      </c>
      <c r="J160" s="501">
        <f>1-J159</f>
        <v>1</v>
      </c>
      <c r="K160" s="501">
        <f>1-K159</f>
        <v>1</v>
      </c>
      <c r="L160" s="501">
        <f>1-L159</f>
        <v>1</v>
      </c>
      <c r="M160" s="502">
        <f>1-M159</f>
        <v>1</v>
      </c>
      <c r="N160" s="319"/>
      <c r="O160" s="360"/>
      <c r="P160" s="361"/>
      <c r="Q160" s="362"/>
      <c r="R160" s="319"/>
      <c r="S160" s="360"/>
      <c r="T160" s="363"/>
    </row>
    <row r="161" spans="2:20">
      <c r="B161" s="397" t="s">
        <v>248</v>
      </c>
      <c r="C161" s="390" t="s">
        <v>203</v>
      </c>
      <c r="D161" s="349"/>
      <c r="E161" s="368"/>
      <c r="F161" s="368"/>
      <c r="G161" s="368"/>
      <c r="H161" s="369"/>
      <c r="I161" s="398">
        <f>SUM(I155,I158)</f>
        <v>0</v>
      </c>
      <c r="J161" s="341">
        <f>SUM(J155,J158)</f>
        <v>0</v>
      </c>
      <c r="K161" s="341">
        <f>SUM(K155,K158)</f>
        <v>0</v>
      </c>
      <c r="L161" s="341">
        <f>SUM(L155,L158)</f>
        <v>0</v>
      </c>
      <c r="M161" s="342">
        <f>SUM(M155,M158)</f>
        <v>0</v>
      </c>
      <c r="N161" s="319"/>
      <c r="O161" s="340">
        <f>SUM(D161:G161)</f>
        <v>0</v>
      </c>
      <c r="P161" s="341">
        <f>SUM(H161)</f>
        <v>0</v>
      </c>
      <c r="Q161" s="342">
        <f>SUM(D161:H161)</f>
        <v>0</v>
      </c>
      <c r="R161" s="319"/>
      <c r="S161" s="340">
        <f>SUM(I161:M161)</f>
        <v>0</v>
      </c>
      <c r="T161" s="155" t="str">
        <f>IF(Q161&lt;&gt;0,(S161-Q161)/Q161,"0")</f>
        <v>0</v>
      </c>
    </row>
    <row r="162" spans="2:20">
      <c r="B162" s="381" t="s">
        <v>320</v>
      </c>
      <c r="C162" s="399"/>
      <c r="D162" s="400"/>
      <c r="E162" s="401"/>
      <c r="F162" s="401"/>
      <c r="G162" s="401"/>
      <c r="H162" s="402"/>
      <c r="I162" s="401"/>
      <c r="J162" s="401"/>
      <c r="K162" s="401"/>
      <c r="L162" s="401"/>
      <c r="M162" s="402"/>
      <c r="N162" s="319"/>
      <c r="O162" s="400"/>
      <c r="P162" s="401"/>
      <c r="Q162" s="402"/>
      <c r="R162" s="319"/>
      <c r="S162" s="400"/>
      <c r="T162" s="402"/>
    </row>
    <row r="163" spans="2:20">
      <c r="B163" s="389" t="s">
        <v>287</v>
      </c>
      <c r="C163" s="390" t="s">
        <v>203</v>
      </c>
      <c r="D163" s="491"/>
      <c r="E163" s="492"/>
      <c r="F163" s="492"/>
      <c r="G163" s="492"/>
      <c r="H163" s="493"/>
      <c r="I163" s="368"/>
      <c r="J163" s="370"/>
      <c r="K163" s="370"/>
      <c r="L163" s="370"/>
      <c r="M163" s="369"/>
      <c r="N163" s="319"/>
      <c r="O163" s="360"/>
      <c r="P163" s="361"/>
      <c r="Q163" s="362"/>
      <c r="R163" s="319"/>
      <c r="S163" s="360"/>
      <c r="T163" s="363"/>
    </row>
    <row r="164" spans="2:20">
      <c r="B164" s="389" t="s">
        <v>321</v>
      </c>
      <c r="C164" s="390" t="s">
        <v>311</v>
      </c>
      <c r="D164" s="494"/>
      <c r="E164" s="495"/>
      <c r="F164" s="495"/>
      <c r="G164" s="495"/>
      <c r="H164" s="496"/>
      <c r="I164" s="497"/>
      <c r="J164" s="498"/>
      <c r="K164" s="498"/>
      <c r="L164" s="498"/>
      <c r="M164" s="499"/>
      <c r="N164" s="319"/>
      <c r="O164" s="360"/>
      <c r="P164" s="361"/>
      <c r="Q164" s="362"/>
      <c r="R164" s="319"/>
      <c r="S164" s="360"/>
      <c r="T164" s="363"/>
    </row>
    <row r="165" spans="2:20">
      <c r="B165" s="389" t="s">
        <v>322</v>
      </c>
      <c r="C165" s="390" t="s">
        <v>311</v>
      </c>
      <c r="D165" s="494"/>
      <c r="E165" s="495"/>
      <c r="F165" s="495"/>
      <c r="G165" s="495"/>
      <c r="H165" s="496"/>
      <c r="I165" s="500">
        <f>1-I164</f>
        <v>1</v>
      </c>
      <c r="J165" s="501">
        <f>1-J164</f>
        <v>1</v>
      </c>
      <c r="K165" s="501">
        <f>1-K164</f>
        <v>1</v>
      </c>
      <c r="L165" s="501">
        <f>1-L164</f>
        <v>1</v>
      </c>
      <c r="M165" s="502">
        <f>1-M164</f>
        <v>1</v>
      </c>
      <c r="N165" s="319"/>
      <c r="O165" s="360"/>
      <c r="P165" s="361"/>
      <c r="Q165" s="362"/>
      <c r="R165" s="319"/>
      <c r="S165" s="360"/>
      <c r="T165" s="363"/>
    </row>
    <row r="166" spans="2:20">
      <c r="B166" s="389" t="s">
        <v>288</v>
      </c>
      <c r="C166" s="390" t="s">
        <v>203</v>
      </c>
      <c r="D166" s="491"/>
      <c r="E166" s="492"/>
      <c r="F166" s="492"/>
      <c r="G166" s="492"/>
      <c r="H166" s="493"/>
      <c r="I166" s="368"/>
      <c r="J166" s="370"/>
      <c r="K166" s="370"/>
      <c r="L166" s="370"/>
      <c r="M166" s="369"/>
      <c r="N166" s="319"/>
      <c r="O166" s="360"/>
      <c r="P166" s="361"/>
      <c r="Q166" s="362"/>
      <c r="R166" s="319"/>
      <c r="S166" s="360"/>
      <c r="T166" s="363"/>
    </row>
    <row r="167" spans="2:20">
      <c r="B167" s="389" t="s">
        <v>323</v>
      </c>
      <c r="C167" s="390" t="s">
        <v>311</v>
      </c>
      <c r="D167" s="503"/>
      <c r="E167" s="504"/>
      <c r="F167" s="504"/>
      <c r="G167" s="504"/>
      <c r="H167" s="505"/>
      <c r="I167" s="506"/>
      <c r="J167" s="507"/>
      <c r="K167" s="507"/>
      <c r="L167" s="507"/>
      <c r="M167" s="508"/>
      <c r="N167" s="319"/>
      <c r="O167" s="360"/>
      <c r="P167" s="361"/>
      <c r="Q167" s="362"/>
      <c r="R167" s="319"/>
      <c r="S167" s="360"/>
      <c r="T167" s="363"/>
    </row>
    <row r="168" spans="2:20">
      <c r="B168" s="389" t="s">
        <v>324</v>
      </c>
      <c r="C168" s="390" t="s">
        <v>311</v>
      </c>
      <c r="D168" s="494"/>
      <c r="E168" s="495"/>
      <c r="F168" s="495"/>
      <c r="G168" s="495"/>
      <c r="H168" s="496"/>
      <c r="I168" s="500">
        <f>1-I167</f>
        <v>1</v>
      </c>
      <c r="J168" s="501">
        <f>1-J167</f>
        <v>1</v>
      </c>
      <c r="K168" s="501">
        <f>1-K167</f>
        <v>1</v>
      </c>
      <c r="L168" s="501">
        <f>1-L167</f>
        <v>1</v>
      </c>
      <c r="M168" s="502">
        <f>1-M167</f>
        <v>1</v>
      </c>
      <c r="N168" s="319"/>
      <c r="O168" s="360"/>
      <c r="P168" s="361"/>
      <c r="Q168" s="362"/>
      <c r="R168" s="319"/>
      <c r="S168" s="360"/>
      <c r="T168" s="363"/>
    </row>
    <row r="169" spans="2:20">
      <c r="B169" s="397" t="s">
        <v>250</v>
      </c>
      <c r="C169" s="390" t="s">
        <v>203</v>
      </c>
      <c r="D169" s="349"/>
      <c r="E169" s="368"/>
      <c r="F169" s="368"/>
      <c r="G169" s="368"/>
      <c r="H169" s="369"/>
      <c r="I169" s="398">
        <f>SUM(I163,I166)</f>
        <v>0</v>
      </c>
      <c r="J169" s="341">
        <f>SUM(J163,J166)</f>
        <v>0</v>
      </c>
      <c r="K169" s="341">
        <f>SUM(K163,K166)</f>
        <v>0</v>
      </c>
      <c r="L169" s="341">
        <f>SUM(L163,L166)</f>
        <v>0</v>
      </c>
      <c r="M169" s="342">
        <f>SUM(M163,M166)</f>
        <v>0</v>
      </c>
      <c r="N169" s="319"/>
      <c r="O169" s="340">
        <f>SUM(D169:G169)</f>
        <v>0</v>
      </c>
      <c r="P169" s="341">
        <f>SUM(H169)</f>
        <v>0</v>
      </c>
      <c r="Q169" s="342">
        <f>SUM(D169:H169)</f>
        <v>0</v>
      </c>
      <c r="R169" s="319"/>
      <c r="S169" s="340">
        <f>SUM(I169:M169)</f>
        <v>0</v>
      </c>
      <c r="T169" s="155" t="str">
        <f>IF(Q169&lt;&gt;0,(S169-Q169)/Q169,"0")</f>
        <v>0</v>
      </c>
    </row>
    <row r="170" spans="2:20">
      <c r="B170" s="381" t="s">
        <v>325</v>
      </c>
      <c r="C170" s="399"/>
      <c r="D170" s="400"/>
      <c r="E170" s="401"/>
      <c r="F170" s="401"/>
      <c r="G170" s="401"/>
      <c r="H170" s="402"/>
      <c r="I170" s="401"/>
      <c r="J170" s="401"/>
      <c r="K170" s="401"/>
      <c r="L170" s="401"/>
      <c r="M170" s="402"/>
      <c r="N170" s="319"/>
      <c r="O170" s="400"/>
      <c r="P170" s="401"/>
      <c r="Q170" s="402"/>
      <c r="R170" s="319"/>
      <c r="S170" s="400"/>
      <c r="T170" s="402"/>
    </row>
    <row r="171" spans="2:20">
      <c r="B171" s="389" t="s">
        <v>289</v>
      </c>
      <c r="C171" s="390" t="s">
        <v>203</v>
      </c>
      <c r="D171" s="491"/>
      <c r="E171" s="492"/>
      <c r="F171" s="492"/>
      <c r="G171" s="492"/>
      <c r="H171" s="493"/>
      <c r="I171" s="368"/>
      <c r="J171" s="370"/>
      <c r="K171" s="370"/>
      <c r="L171" s="370"/>
      <c r="M171" s="369"/>
      <c r="N171" s="319"/>
      <c r="O171" s="360"/>
      <c r="P171" s="361"/>
      <c r="Q171" s="362"/>
      <c r="R171" s="319"/>
      <c r="S171" s="360"/>
      <c r="T171" s="363"/>
    </row>
    <row r="172" spans="2:20">
      <c r="B172" s="389" t="s">
        <v>326</v>
      </c>
      <c r="C172" s="390" t="s">
        <v>311</v>
      </c>
      <c r="D172" s="494"/>
      <c r="E172" s="495"/>
      <c r="F172" s="495"/>
      <c r="G172" s="495"/>
      <c r="H172" s="496"/>
      <c r="I172" s="497"/>
      <c r="J172" s="498"/>
      <c r="K172" s="498"/>
      <c r="L172" s="498"/>
      <c r="M172" s="499"/>
      <c r="N172" s="319"/>
      <c r="O172" s="360"/>
      <c r="P172" s="361"/>
      <c r="Q172" s="362"/>
      <c r="R172" s="319"/>
      <c r="S172" s="360"/>
      <c r="T172" s="363"/>
    </row>
    <row r="173" spans="2:20">
      <c r="B173" s="389" t="s">
        <v>327</v>
      </c>
      <c r="C173" s="390" t="s">
        <v>311</v>
      </c>
      <c r="D173" s="494"/>
      <c r="E173" s="495"/>
      <c r="F173" s="495"/>
      <c r="G173" s="495"/>
      <c r="H173" s="496"/>
      <c r="I173" s="500">
        <f>1-I172</f>
        <v>1</v>
      </c>
      <c r="J173" s="501">
        <f>1-J172</f>
        <v>1</v>
      </c>
      <c r="K173" s="501">
        <f>1-K172</f>
        <v>1</v>
      </c>
      <c r="L173" s="501">
        <f>1-L172</f>
        <v>1</v>
      </c>
      <c r="M173" s="502">
        <f>1-M172</f>
        <v>1</v>
      </c>
      <c r="N173" s="319"/>
      <c r="O173" s="360"/>
      <c r="P173" s="361"/>
      <c r="Q173" s="362"/>
      <c r="R173" s="319"/>
      <c r="S173" s="360"/>
      <c r="T173" s="363"/>
    </row>
    <row r="174" spans="2:20">
      <c r="B174" s="389" t="s">
        <v>290</v>
      </c>
      <c r="C174" s="390" t="s">
        <v>203</v>
      </c>
      <c r="D174" s="491"/>
      <c r="E174" s="492"/>
      <c r="F174" s="492"/>
      <c r="G174" s="492"/>
      <c r="H174" s="493"/>
      <c r="I174" s="368"/>
      <c r="J174" s="370"/>
      <c r="K174" s="370"/>
      <c r="L174" s="370"/>
      <c r="M174" s="369"/>
      <c r="N174" s="319"/>
      <c r="O174" s="360"/>
      <c r="P174" s="361"/>
      <c r="Q174" s="362"/>
      <c r="R174" s="319"/>
      <c r="S174" s="360"/>
      <c r="T174" s="363"/>
    </row>
    <row r="175" spans="2:20">
      <c r="B175" s="389" t="s">
        <v>328</v>
      </c>
      <c r="C175" s="390" t="s">
        <v>311</v>
      </c>
      <c r="D175" s="503"/>
      <c r="E175" s="504"/>
      <c r="F175" s="504"/>
      <c r="G175" s="504"/>
      <c r="H175" s="505"/>
      <c r="I175" s="506"/>
      <c r="J175" s="507"/>
      <c r="K175" s="507"/>
      <c r="L175" s="507"/>
      <c r="M175" s="508"/>
      <c r="N175" s="319"/>
      <c r="O175" s="360"/>
      <c r="P175" s="361"/>
      <c r="Q175" s="362"/>
      <c r="R175" s="319"/>
      <c r="S175" s="360"/>
      <c r="T175" s="363"/>
    </row>
    <row r="176" spans="2:20">
      <c r="B176" s="389" t="s">
        <v>329</v>
      </c>
      <c r="C176" s="390" t="s">
        <v>311</v>
      </c>
      <c r="D176" s="494"/>
      <c r="E176" s="495"/>
      <c r="F176" s="495"/>
      <c r="G176" s="495"/>
      <c r="H176" s="496"/>
      <c r="I176" s="500">
        <f>1-I175</f>
        <v>1</v>
      </c>
      <c r="J176" s="501">
        <f>1-J175</f>
        <v>1</v>
      </c>
      <c r="K176" s="501">
        <f>1-K175</f>
        <v>1</v>
      </c>
      <c r="L176" s="501">
        <f>1-L175</f>
        <v>1</v>
      </c>
      <c r="M176" s="502">
        <f>1-M175</f>
        <v>1</v>
      </c>
      <c r="N176" s="319"/>
      <c r="O176" s="360"/>
      <c r="P176" s="361"/>
      <c r="Q176" s="362"/>
      <c r="R176" s="319"/>
      <c r="S176" s="360"/>
      <c r="T176" s="363"/>
    </row>
    <row r="177" spans="2:20">
      <c r="B177" s="509" t="s">
        <v>252</v>
      </c>
      <c r="C177" s="390" t="s">
        <v>203</v>
      </c>
      <c r="D177" s="510"/>
      <c r="E177" s="511"/>
      <c r="F177" s="511"/>
      <c r="G177" s="511"/>
      <c r="H177" s="512"/>
      <c r="I177" s="513">
        <f>SUM(I171,I174)</f>
        <v>0</v>
      </c>
      <c r="J177" s="514">
        <f>SUM(J171,J174)</f>
        <v>0</v>
      </c>
      <c r="K177" s="514">
        <f>SUM(K171,K174)</f>
        <v>0</v>
      </c>
      <c r="L177" s="514">
        <f>SUM(L171,L174)</f>
        <v>0</v>
      </c>
      <c r="M177" s="515">
        <f>SUM(M171,M174)</f>
        <v>0</v>
      </c>
      <c r="N177" s="319"/>
      <c r="O177" s="340">
        <f>SUM(D177:G177)</f>
        <v>0</v>
      </c>
      <c r="P177" s="341">
        <f>SUM(H177)</f>
        <v>0</v>
      </c>
      <c r="Q177" s="342">
        <f>SUM(D177:H177)</f>
        <v>0</v>
      </c>
      <c r="R177" s="319"/>
      <c r="S177" s="340">
        <f>SUM(I177:M177)</f>
        <v>0</v>
      </c>
      <c r="T177" s="155" t="str">
        <f>IF(Q177&lt;&gt;0,(S177-Q177)/Q177,"0")</f>
        <v>0</v>
      </c>
    </row>
    <row r="178" spans="2:20" ht="13.5" thickBot="1">
      <c r="B178" s="516" t="s">
        <v>330</v>
      </c>
      <c r="C178" s="517"/>
      <c r="D178" s="518">
        <f t="shared" ref="D178:M178" si="23">SUM(D153,D161,D169,D177)</f>
        <v>0</v>
      </c>
      <c r="E178" s="518">
        <f t="shared" si="23"/>
        <v>0</v>
      </c>
      <c r="F178" s="518">
        <f t="shared" si="23"/>
        <v>0</v>
      </c>
      <c r="G178" s="518">
        <f t="shared" si="23"/>
        <v>0</v>
      </c>
      <c r="H178" s="518">
        <f t="shared" si="23"/>
        <v>0</v>
      </c>
      <c r="I178" s="519">
        <f t="shared" si="23"/>
        <v>0</v>
      </c>
      <c r="J178" s="519">
        <f t="shared" si="23"/>
        <v>0</v>
      </c>
      <c r="K178" s="519">
        <f t="shared" si="23"/>
        <v>0</v>
      </c>
      <c r="L178" s="519">
        <f t="shared" si="23"/>
        <v>0</v>
      </c>
      <c r="M178" s="520">
        <f t="shared" si="23"/>
        <v>0</v>
      </c>
      <c r="N178" s="319"/>
      <c r="O178" s="375">
        <f>SUM(O153,O161,O169,O177)</f>
        <v>0</v>
      </c>
      <c r="P178" s="376">
        <f>SUM(P153,P161,P169,P177)</f>
        <v>0</v>
      </c>
      <c r="Q178" s="377">
        <f>SUM(Q153,Q161,Q169,Q177)</f>
        <v>0</v>
      </c>
      <c r="R178" s="319"/>
      <c r="S178" s="375">
        <f>SUM(S153,S161,S169,S177)</f>
        <v>0</v>
      </c>
      <c r="T178" s="174" t="str">
        <f>IF(Q178&lt;&gt;0,(S178-Q178)/Q178,"0")</f>
        <v>0</v>
      </c>
    </row>
    <row r="179" spans="2:20"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16"/>
      <c r="R179" s="316"/>
      <c r="S179" s="316"/>
      <c r="T179" s="316"/>
    </row>
    <row r="180" spans="2:20">
      <c r="B180" s="378" t="s">
        <v>331</v>
      </c>
      <c r="C180" s="379"/>
      <c r="D180" s="380"/>
      <c r="E180" s="380"/>
      <c r="F180" s="380"/>
      <c r="G180" s="380"/>
      <c r="H180" s="380"/>
      <c r="I180" s="380"/>
      <c r="J180" s="380"/>
      <c r="K180" s="380"/>
      <c r="L180" s="380"/>
      <c r="M180" s="380"/>
      <c r="N180" s="319"/>
      <c r="O180" s="380"/>
      <c r="P180" s="380"/>
      <c r="Q180" s="380"/>
      <c r="R180" s="319"/>
      <c r="S180" s="380"/>
      <c r="T180" s="380"/>
    </row>
    <row r="181" spans="2:20" ht="13.5" thickBot="1">
      <c r="B181" s="378"/>
      <c r="C181" s="379"/>
      <c r="D181" s="380"/>
      <c r="E181" s="380"/>
      <c r="F181" s="380"/>
      <c r="G181" s="380"/>
      <c r="H181" s="380"/>
      <c r="I181" s="380"/>
      <c r="J181" s="380"/>
      <c r="K181" s="380"/>
      <c r="L181" s="380"/>
      <c r="M181" s="380"/>
      <c r="N181" s="319"/>
      <c r="O181" s="380"/>
      <c r="P181" s="380"/>
      <c r="Q181" s="380"/>
      <c r="R181" s="319"/>
      <c r="S181" s="380"/>
      <c r="T181" s="380"/>
    </row>
    <row r="182" spans="2:20">
      <c r="B182" s="521"/>
      <c r="C182" s="522"/>
      <c r="D182" s="321" t="s">
        <v>191</v>
      </c>
      <c r="E182" s="322"/>
      <c r="F182" s="322"/>
      <c r="G182" s="322"/>
      <c r="H182" s="323"/>
      <c r="I182" s="322" t="s">
        <v>192</v>
      </c>
      <c r="J182" s="324"/>
      <c r="K182" s="324"/>
      <c r="L182" s="324"/>
      <c r="M182" s="323"/>
      <c r="N182" s="319"/>
      <c r="O182" s="325" t="s">
        <v>191</v>
      </c>
      <c r="P182" s="326"/>
      <c r="Q182" s="327"/>
      <c r="R182" s="319"/>
      <c r="S182" s="325" t="s">
        <v>192</v>
      </c>
      <c r="T182" s="327"/>
    </row>
    <row r="183" spans="2:20" ht="13.5" thickBot="1">
      <c r="B183" s="523" t="s">
        <v>241</v>
      </c>
      <c r="C183" s="524" t="s">
        <v>190</v>
      </c>
      <c r="D183" s="328" t="s">
        <v>79</v>
      </c>
      <c r="E183" s="329" t="s">
        <v>80</v>
      </c>
      <c r="F183" s="329" t="s">
        <v>81</v>
      </c>
      <c r="G183" s="329" t="s">
        <v>82</v>
      </c>
      <c r="H183" s="330" t="s">
        <v>44</v>
      </c>
      <c r="I183" s="331" t="s">
        <v>193</v>
      </c>
      <c r="J183" s="329" t="s">
        <v>194</v>
      </c>
      <c r="K183" s="329" t="s">
        <v>195</v>
      </c>
      <c r="L183" s="329" t="s">
        <v>196</v>
      </c>
      <c r="M183" s="330" t="s">
        <v>197</v>
      </c>
      <c r="N183" s="319"/>
      <c r="O183" s="332" t="s">
        <v>198</v>
      </c>
      <c r="P183" s="333" t="s">
        <v>199</v>
      </c>
      <c r="Q183" s="334" t="s">
        <v>200</v>
      </c>
      <c r="R183" s="319"/>
      <c r="S183" s="332" t="s">
        <v>199</v>
      </c>
      <c r="T183" s="334" t="s">
        <v>201</v>
      </c>
    </row>
    <row r="184" spans="2:20">
      <c r="B184" s="525" t="s">
        <v>242</v>
      </c>
      <c r="C184" s="526"/>
      <c r="D184" s="409"/>
      <c r="E184" s="410"/>
      <c r="F184" s="410"/>
      <c r="G184" s="410"/>
      <c r="H184" s="411"/>
      <c r="I184" s="413"/>
      <c r="J184" s="413"/>
      <c r="K184" s="413"/>
      <c r="L184" s="413"/>
      <c r="M184" s="414"/>
      <c r="N184" s="319"/>
      <c r="O184" s="412"/>
      <c r="P184" s="413"/>
      <c r="Q184" s="414"/>
      <c r="R184" s="319"/>
      <c r="S184" s="412"/>
      <c r="T184" s="414"/>
    </row>
    <row r="185" spans="2:20">
      <c r="B185" s="432" t="s">
        <v>243</v>
      </c>
      <c r="C185" s="527"/>
      <c r="D185" s="383"/>
      <c r="E185" s="384"/>
      <c r="F185" s="384"/>
      <c r="G185" s="384"/>
      <c r="H185" s="385"/>
      <c r="I185" s="384"/>
      <c r="J185" s="384"/>
      <c r="K185" s="384"/>
      <c r="L185" s="384"/>
      <c r="M185" s="385"/>
      <c r="N185" s="319"/>
      <c r="O185" s="386"/>
      <c r="P185" s="387"/>
      <c r="Q185" s="388"/>
      <c r="R185" s="319"/>
      <c r="S185" s="383"/>
      <c r="T185" s="385"/>
    </row>
    <row r="186" spans="2:20">
      <c r="B186" s="528" t="s">
        <v>283</v>
      </c>
      <c r="C186" s="465" t="s">
        <v>203</v>
      </c>
      <c r="D186" s="491"/>
      <c r="E186" s="492"/>
      <c r="F186" s="492"/>
      <c r="G186" s="492"/>
      <c r="H186" s="493"/>
      <c r="I186" s="368"/>
      <c r="J186" s="370"/>
      <c r="K186" s="370"/>
      <c r="L186" s="370"/>
      <c r="M186" s="369"/>
      <c r="N186" s="319"/>
      <c r="O186" s="360"/>
      <c r="P186" s="361"/>
      <c r="Q186" s="362"/>
      <c r="R186" s="319"/>
      <c r="S186" s="360"/>
      <c r="T186" s="363"/>
    </row>
    <row r="187" spans="2:20">
      <c r="B187" s="528" t="s">
        <v>310</v>
      </c>
      <c r="C187" s="465" t="s">
        <v>311</v>
      </c>
      <c r="D187" s="494"/>
      <c r="E187" s="495"/>
      <c r="F187" s="495"/>
      <c r="G187" s="495"/>
      <c r="H187" s="496"/>
      <c r="I187" s="497"/>
      <c r="J187" s="498"/>
      <c r="K187" s="498"/>
      <c r="L187" s="498"/>
      <c r="M187" s="499"/>
      <c r="N187" s="319"/>
      <c r="O187" s="360"/>
      <c r="P187" s="361"/>
      <c r="Q187" s="362"/>
      <c r="R187" s="319"/>
      <c r="S187" s="360"/>
      <c r="T187" s="363"/>
    </row>
    <row r="188" spans="2:20">
      <c r="B188" s="528" t="s">
        <v>312</v>
      </c>
      <c r="C188" s="465" t="s">
        <v>311</v>
      </c>
      <c r="D188" s="494"/>
      <c r="E188" s="495"/>
      <c r="F188" s="495"/>
      <c r="G188" s="495"/>
      <c r="H188" s="496"/>
      <c r="I188" s="500">
        <f>1-I187</f>
        <v>1</v>
      </c>
      <c r="J188" s="501">
        <f>1-J187</f>
        <v>1</v>
      </c>
      <c r="K188" s="501">
        <f>1-K187</f>
        <v>1</v>
      </c>
      <c r="L188" s="501">
        <f>1-L187</f>
        <v>1</v>
      </c>
      <c r="M188" s="502">
        <f>1-M187</f>
        <v>1</v>
      </c>
      <c r="N188" s="319"/>
      <c r="O188" s="360"/>
      <c r="P188" s="361"/>
      <c r="Q188" s="362"/>
      <c r="R188" s="319"/>
      <c r="S188" s="360"/>
      <c r="T188" s="363"/>
    </row>
    <row r="189" spans="2:20">
      <c r="B189" s="528" t="s">
        <v>284</v>
      </c>
      <c r="C189" s="465" t="s">
        <v>203</v>
      </c>
      <c r="D189" s="491"/>
      <c r="E189" s="492"/>
      <c r="F189" s="492"/>
      <c r="G189" s="492"/>
      <c r="H189" s="493"/>
      <c r="I189" s="368"/>
      <c r="J189" s="370"/>
      <c r="K189" s="370"/>
      <c r="L189" s="370"/>
      <c r="M189" s="369"/>
      <c r="N189" s="319"/>
      <c r="O189" s="360"/>
      <c r="P189" s="361"/>
      <c r="Q189" s="362"/>
      <c r="R189" s="319"/>
      <c r="S189" s="360"/>
      <c r="T189" s="363"/>
    </row>
    <row r="190" spans="2:20">
      <c r="B190" s="528" t="s">
        <v>313</v>
      </c>
      <c r="C190" s="465" t="s">
        <v>311</v>
      </c>
      <c r="D190" s="491"/>
      <c r="E190" s="492"/>
      <c r="F190" s="492"/>
      <c r="G190" s="492"/>
      <c r="H190" s="493"/>
      <c r="I190" s="368"/>
      <c r="J190" s="370"/>
      <c r="K190" s="370"/>
      <c r="L190" s="370"/>
      <c r="M190" s="369"/>
      <c r="N190" s="319"/>
      <c r="O190" s="360"/>
      <c r="P190" s="361"/>
      <c r="Q190" s="362"/>
      <c r="R190" s="319"/>
      <c r="S190" s="360"/>
      <c r="T190" s="363"/>
    </row>
    <row r="191" spans="2:20">
      <c r="B191" s="528" t="s">
        <v>314</v>
      </c>
      <c r="C191" s="465" t="s">
        <v>311</v>
      </c>
      <c r="D191" s="494"/>
      <c r="E191" s="495"/>
      <c r="F191" s="495"/>
      <c r="G191" s="495"/>
      <c r="H191" s="496"/>
      <c r="I191" s="500">
        <f>1-I190</f>
        <v>1</v>
      </c>
      <c r="J191" s="501">
        <f>1-J190</f>
        <v>1</v>
      </c>
      <c r="K191" s="501">
        <f>1-K190</f>
        <v>1</v>
      </c>
      <c r="L191" s="501">
        <f>1-L190</f>
        <v>1</v>
      </c>
      <c r="M191" s="502">
        <f>1-M190</f>
        <v>1</v>
      </c>
      <c r="N191" s="319"/>
      <c r="O191" s="360"/>
      <c r="P191" s="361"/>
      <c r="Q191" s="362"/>
      <c r="R191" s="319"/>
      <c r="S191" s="360"/>
      <c r="T191" s="363"/>
    </row>
    <row r="192" spans="2:20">
      <c r="B192" s="529" t="s">
        <v>246</v>
      </c>
      <c r="C192" s="465" t="s">
        <v>203</v>
      </c>
      <c r="D192" s="349"/>
      <c r="E192" s="368"/>
      <c r="F192" s="368"/>
      <c r="G192" s="368"/>
      <c r="H192" s="369"/>
      <c r="I192" s="398">
        <f>SUM(I186,I189)</f>
        <v>0</v>
      </c>
      <c r="J192" s="341">
        <f>SUM(J186,J189)</f>
        <v>0</v>
      </c>
      <c r="K192" s="341">
        <f>SUM(K186,K189)</f>
        <v>0</v>
      </c>
      <c r="L192" s="341">
        <f>SUM(L186,L189)</f>
        <v>0</v>
      </c>
      <c r="M192" s="342">
        <f>SUM(M186,M189)</f>
        <v>0</v>
      </c>
      <c r="N192" s="319"/>
      <c r="O192" s="340">
        <f>SUM(D192:G192)</f>
        <v>0</v>
      </c>
      <c r="P192" s="341">
        <f>SUM(H192)</f>
        <v>0</v>
      </c>
      <c r="Q192" s="342">
        <f>SUM(D192:H192)</f>
        <v>0</v>
      </c>
      <c r="R192" s="319"/>
      <c r="S192" s="340">
        <f>SUM(I192:M192)</f>
        <v>0</v>
      </c>
      <c r="T192" s="155" t="str">
        <f>IF(Q192&lt;&gt;0,(S192-Q192)/Q192,"0")</f>
        <v>0</v>
      </c>
    </row>
    <row r="193" spans="2:20">
      <c r="B193" s="432" t="s">
        <v>315</v>
      </c>
      <c r="C193" s="530"/>
      <c r="D193" s="400"/>
      <c r="E193" s="401"/>
      <c r="F193" s="401"/>
      <c r="G193" s="401"/>
      <c r="H193" s="402"/>
      <c r="I193" s="401"/>
      <c r="J193" s="401"/>
      <c r="K193" s="401"/>
      <c r="L193" s="401"/>
      <c r="M193" s="402"/>
      <c r="N193" s="319"/>
      <c r="O193" s="403"/>
      <c r="P193" s="401"/>
      <c r="Q193" s="402"/>
      <c r="R193" s="319"/>
      <c r="S193" s="400"/>
      <c r="T193" s="402"/>
    </row>
    <row r="194" spans="2:20">
      <c r="B194" s="528" t="s">
        <v>285</v>
      </c>
      <c r="C194" s="465" t="s">
        <v>203</v>
      </c>
      <c r="D194" s="491"/>
      <c r="E194" s="492"/>
      <c r="F194" s="492"/>
      <c r="G194" s="492"/>
      <c r="H194" s="493"/>
      <c r="I194" s="368"/>
      <c r="J194" s="370"/>
      <c r="K194" s="370"/>
      <c r="L194" s="370"/>
      <c r="M194" s="369"/>
      <c r="N194" s="319"/>
      <c r="O194" s="360"/>
      <c r="P194" s="361"/>
      <c r="Q194" s="362"/>
      <c r="R194" s="319"/>
      <c r="S194" s="360"/>
      <c r="T194" s="363"/>
    </row>
    <row r="195" spans="2:20">
      <c r="B195" s="528" t="s">
        <v>316</v>
      </c>
      <c r="C195" s="465" t="s">
        <v>311</v>
      </c>
      <c r="D195" s="494"/>
      <c r="E195" s="495"/>
      <c r="F195" s="495"/>
      <c r="G195" s="495"/>
      <c r="H195" s="496"/>
      <c r="I195" s="497"/>
      <c r="J195" s="498"/>
      <c r="K195" s="498"/>
      <c r="L195" s="498"/>
      <c r="M195" s="499"/>
      <c r="N195" s="319"/>
      <c r="O195" s="360"/>
      <c r="P195" s="361"/>
      <c r="Q195" s="362"/>
      <c r="R195" s="319"/>
      <c r="S195" s="360"/>
      <c r="T195" s="363"/>
    </row>
    <row r="196" spans="2:20">
      <c r="B196" s="528" t="s">
        <v>317</v>
      </c>
      <c r="C196" s="465" t="s">
        <v>311</v>
      </c>
      <c r="D196" s="494"/>
      <c r="E196" s="495"/>
      <c r="F196" s="495"/>
      <c r="G196" s="495"/>
      <c r="H196" s="496"/>
      <c r="I196" s="500">
        <f>1-I195</f>
        <v>1</v>
      </c>
      <c r="J196" s="501">
        <f>1-J195</f>
        <v>1</v>
      </c>
      <c r="K196" s="501">
        <f>1-K195</f>
        <v>1</v>
      </c>
      <c r="L196" s="501">
        <f>1-L195</f>
        <v>1</v>
      </c>
      <c r="M196" s="502">
        <f>1-M195</f>
        <v>1</v>
      </c>
      <c r="N196" s="319"/>
      <c r="O196" s="360"/>
      <c r="P196" s="361"/>
      <c r="Q196" s="362"/>
      <c r="R196" s="319"/>
      <c r="S196" s="360"/>
      <c r="T196" s="363"/>
    </row>
    <row r="197" spans="2:20">
      <c r="B197" s="528" t="s">
        <v>286</v>
      </c>
      <c r="C197" s="465" t="s">
        <v>203</v>
      </c>
      <c r="D197" s="491"/>
      <c r="E197" s="492"/>
      <c r="F197" s="492"/>
      <c r="G197" s="492"/>
      <c r="H197" s="493"/>
      <c r="I197" s="368"/>
      <c r="J197" s="370"/>
      <c r="K197" s="370"/>
      <c r="L197" s="370"/>
      <c r="M197" s="369"/>
      <c r="N197" s="319"/>
      <c r="O197" s="360"/>
      <c r="P197" s="361"/>
      <c r="Q197" s="362"/>
      <c r="R197" s="319"/>
      <c r="S197" s="360"/>
      <c r="T197" s="363"/>
    </row>
    <row r="198" spans="2:20">
      <c r="B198" s="528" t="s">
        <v>318</v>
      </c>
      <c r="C198" s="465" t="s">
        <v>311</v>
      </c>
      <c r="D198" s="491"/>
      <c r="E198" s="492"/>
      <c r="F198" s="492"/>
      <c r="G198" s="492"/>
      <c r="H198" s="493"/>
      <c r="I198" s="368"/>
      <c r="J198" s="370"/>
      <c r="K198" s="370"/>
      <c r="L198" s="370"/>
      <c r="M198" s="369"/>
      <c r="N198" s="319"/>
      <c r="O198" s="360"/>
      <c r="P198" s="361"/>
      <c r="Q198" s="362"/>
      <c r="R198" s="319"/>
      <c r="S198" s="360"/>
      <c r="T198" s="363"/>
    </row>
    <row r="199" spans="2:20">
      <c r="B199" s="528" t="s">
        <v>319</v>
      </c>
      <c r="C199" s="465" t="s">
        <v>311</v>
      </c>
      <c r="D199" s="494"/>
      <c r="E199" s="495"/>
      <c r="F199" s="495"/>
      <c r="G199" s="495"/>
      <c r="H199" s="496"/>
      <c r="I199" s="500">
        <f>1-I198</f>
        <v>1</v>
      </c>
      <c r="J199" s="501">
        <f>1-J198</f>
        <v>1</v>
      </c>
      <c r="K199" s="501">
        <f>1-K198</f>
        <v>1</v>
      </c>
      <c r="L199" s="501">
        <f>1-L198</f>
        <v>1</v>
      </c>
      <c r="M199" s="502">
        <f>1-M198</f>
        <v>1</v>
      </c>
      <c r="N199" s="319"/>
      <c r="O199" s="360"/>
      <c r="P199" s="361"/>
      <c r="Q199" s="362"/>
      <c r="R199" s="319"/>
      <c r="S199" s="360"/>
      <c r="T199" s="363"/>
    </row>
    <row r="200" spans="2:20">
      <c r="B200" s="529" t="s">
        <v>248</v>
      </c>
      <c r="C200" s="465" t="s">
        <v>203</v>
      </c>
      <c r="D200" s="349"/>
      <c r="E200" s="368"/>
      <c r="F200" s="368"/>
      <c r="G200" s="368"/>
      <c r="H200" s="369"/>
      <c r="I200" s="398">
        <f>SUM(I194,I197)</f>
        <v>0</v>
      </c>
      <c r="J200" s="341">
        <f>SUM(J194,J197)</f>
        <v>0</v>
      </c>
      <c r="K200" s="341">
        <f>SUM(K194,K197)</f>
        <v>0</v>
      </c>
      <c r="L200" s="341">
        <f>SUM(L194,L197)</f>
        <v>0</v>
      </c>
      <c r="M200" s="342">
        <f>SUM(M194,M197)</f>
        <v>0</v>
      </c>
      <c r="N200" s="319"/>
      <c r="O200" s="340">
        <f>SUM(D200:G200)</f>
        <v>0</v>
      </c>
      <c r="P200" s="341">
        <f>SUM(H200)</f>
        <v>0</v>
      </c>
      <c r="Q200" s="342">
        <f>SUM(D200:H200)</f>
        <v>0</v>
      </c>
      <c r="R200" s="319"/>
      <c r="S200" s="340">
        <f>SUM(I200:M200)</f>
        <v>0</v>
      </c>
      <c r="T200" s="155" t="str">
        <f>IF(Q200&lt;&gt;0,(S200-Q200)/Q200,"0")</f>
        <v>0</v>
      </c>
    </row>
    <row r="201" spans="2:20">
      <c r="B201" s="432" t="s">
        <v>320</v>
      </c>
      <c r="C201" s="530"/>
      <c r="D201" s="400"/>
      <c r="E201" s="401"/>
      <c r="F201" s="401"/>
      <c r="G201" s="401"/>
      <c r="H201" s="402"/>
      <c r="I201" s="401"/>
      <c r="J201" s="401"/>
      <c r="K201" s="401"/>
      <c r="L201" s="401"/>
      <c r="M201" s="402"/>
      <c r="N201" s="319"/>
      <c r="O201" s="400"/>
      <c r="P201" s="401"/>
      <c r="Q201" s="402"/>
      <c r="R201" s="319"/>
      <c r="S201" s="400"/>
      <c r="T201" s="402"/>
    </row>
    <row r="202" spans="2:20">
      <c r="B202" s="528" t="s">
        <v>287</v>
      </c>
      <c r="C202" s="465" t="s">
        <v>203</v>
      </c>
      <c r="D202" s="491"/>
      <c r="E202" s="492"/>
      <c r="F202" s="492"/>
      <c r="G202" s="492"/>
      <c r="H202" s="493"/>
      <c r="I202" s="368"/>
      <c r="J202" s="370"/>
      <c r="K202" s="370"/>
      <c r="L202" s="370"/>
      <c r="M202" s="369"/>
      <c r="N202" s="319"/>
      <c r="O202" s="360"/>
      <c r="P202" s="361"/>
      <c r="Q202" s="362"/>
      <c r="R202" s="319"/>
      <c r="S202" s="360"/>
      <c r="T202" s="363"/>
    </row>
    <row r="203" spans="2:20">
      <c r="B203" s="528" t="s">
        <v>321</v>
      </c>
      <c r="C203" s="465" t="s">
        <v>311</v>
      </c>
      <c r="D203" s="494"/>
      <c r="E203" s="495"/>
      <c r="F203" s="495"/>
      <c r="G203" s="495"/>
      <c r="H203" s="496"/>
      <c r="I203" s="497"/>
      <c r="J203" s="498"/>
      <c r="K203" s="498"/>
      <c r="L203" s="498"/>
      <c r="M203" s="499"/>
      <c r="N203" s="319"/>
      <c r="O203" s="360"/>
      <c r="P203" s="361"/>
      <c r="Q203" s="362"/>
      <c r="R203" s="319"/>
      <c r="S203" s="360"/>
      <c r="T203" s="363"/>
    </row>
    <row r="204" spans="2:20">
      <c r="B204" s="528" t="s">
        <v>322</v>
      </c>
      <c r="C204" s="465" t="s">
        <v>311</v>
      </c>
      <c r="D204" s="494"/>
      <c r="E204" s="495"/>
      <c r="F204" s="495"/>
      <c r="G204" s="495"/>
      <c r="H204" s="496"/>
      <c r="I204" s="500">
        <f>1-I203</f>
        <v>1</v>
      </c>
      <c r="J204" s="501">
        <f>1-J203</f>
        <v>1</v>
      </c>
      <c r="K204" s="501">
        <f>1-K203</f>
        <v>1</v>
      </c>
      <c r="L204" s="501">
        <f>1-L203</f>
        <v>1</v>
      </c>
      <c r="M204" s="502">
        <f>1-M203</f>
        <v>1</v>
      </c>
      <c r="N204" s="319"/>
      <c r="O204" s="360"/>
      <c r="P204" s="361"/>
      <c r="Q204" s="362"/>
      <c r="R204" s="319"/>
      <c r="S204" s="360"/>
      <c r="T204" s="363"/>
    </row>
    <row r="205" spans="2:20">
      <c r="B205" s="528" t="s">
        <v>288</v>
      </c>
      <c r="C205" s="465" t="s">
        <v>203</v>
      </c>
      <c r="D205" s="491"/>
      <c r="E205" s="492"/>
      <c r="F205" s="492"/>
      <c r="G205" s="492"/>
      <c r="H205" s="493"/>
      <c r="I205" s="368"/>
      <c r="J205" s="370"/>
      <c r="K205" s="370"/>
      <c r="L205" s="370"/>
      <c r="M205" s="369"/>
      <c r="N205" s="319"/>
      <c r="O205" s="360"/>
      <c r="P205" s="361"/>
      <c r="Q205" s="362"/>
      <c r="R205" s="319"/>
      <c r="S205" s="360"/>
      <c r="T205" s="363"/>
    </row>
    <row r="206" spans="2:20">
      <c r="B206" s="528" t="s">
        <v>323</v>
      </c>
      <c r="C206" s="465" t="s">
        <v>311</v>
      </c>
      <c r="D206" s="503"/>
      <c r="E206" s="504"/>
      <c r="F206" s="504"/>
      <c r="G206" s="504"/>
      <c r="H206" s="505"/>
      <c r="I206" s="506"/>
      <c r="J206" s="507"/>
      <c r="K206" s="507"/>
      <c r="L206" s="507"/>
      <c r="M206" s="508"/>
      <c r="N206" s="319"/>
      <c r="O206" s="360"/>
      <c r="P206" s="361"/>
      <c r="Q206" s="362"/>
      <c r="R206" s="319"/>
      <c r="S206" s="360"/>
      <c r="T206" s="363"/>
    </row>
    <row r="207" spans="2:20">
      <c r="B207" s="528" t="s">
        <v>324</v>
      </c>
      <c r="C207" s="465" t="s">
        <v>311</v>
      </c>
      <c r="D207" s="494"/>
      <c r="E207" s="495"/>
      <c r="F207" s="495"/>
      <c r="G207" s="495"/>
      <c r="H207" s="496"/>
      <c r="I207" s="500">
        <f>1-I206</f>
        <v>1</v>
      </c>
      <c r="J207" s="501">
        <f>1-J206</f>
        <v>1</v>
      </c>
      <c r="K207" s="501">
        <f>1-K206</f>
        <v>1</v>
      </c>
      <c r="L207" s="501">
        <f>1-L206</f>
        <v>1</v>
      </c>
      <c r="M207" s="502">
        <f>1-M206</f>
        <v>1</v>
      </c>
      <c r="N207" s="319"/>
      <c r="O207" s="360"/>
      <c r="P207" s="361"/>
      <c r="Q207" s="362"/>
      <c r="R207" s="319"/>
      <c r="S207" s="360"/>
      <c r="T207" s="363"/>
    </row>
    <row r="208" spans="2:20">
      <c r="B208" s="529" t="s">
        <v>250</v>
      </c>
      <c r="C208" s="465" t="s">
        <v>203</v>
      </c>
      <c r="D208" s="349"/>
      <c r="E208" s="368"/>
      <c r="F208" s="368"/>
      <c r="G208" s="368"/>
      <c r="H208" s="369"/>
      <c r="I208" s="398">
        <f>SUM(I202,I205)</f>
        <v>0</v>
      </c>
      <c r="J208" s="341">
        <f>SUM(J202,J205)</f>
        <v>0</v>
      </c>
      <c r="K208" s="341">
        <f>SUM(K202,K205)</f>
        <v>0</v>
      </c>
      <c r="L208" s="341">
        <f>SUM(L202,L205)</f>
        <v>0</v>
      </c>
      <c r="M208" s="342">
        <f>SUM(M202,M205)</f>
        <v>0</v>
      </c>
      <c r="N208" s="319"/>
      <c r="O208" s="340">
        <f>SUM(D208:G208)</f>
        <v>0</v>
      </c>
      <c r="P208" s="341">
        <f>SUM(H208)</f>
        <v>0</v>
      </c>
      <c r="Q208" s="342">
        <f>SUM(D208:H208)</f>
        <v>0</v>
      </c>
      <c r="R208" s="319"/>
      <c r="S208" s="340">
        <f>SUM(I208:M208)</f>
        <v>0</v>
      </c>
      <c r="T208" s="155" t="str">
        <f>IF(Q208&lt;&gt;0,(S208-Q208)/Q208,"0")</f>
        <v>0</v>
      </c>
    </row>
    <row r="209" spans="2:20">
      <c r="B209" s="432" t="s">
        <v>325</v>
      </c>
      <c r="C209" s="530"/>
      <c r="D209" s="400"/>
      <c r="E209" s="401"/>
      <c r="F209" s="401"/>
      <c r="G209" s="401"/>
      <c r="H209" s="402"/>
      <c r="I209" s="401"/>
      <c r="J209" s="401"/>
      <c r="K209" s="401"/>
      <c r="L209" s="401"/>
      <c r="M209" s="402"/>
      <c r="N209" s="319"/>
      <c r="O209" s="400"/>
      <c r="P209" s="401"/>
      <c r="Q209" s="402"/>
      <c r="R209" s="319"/>
      <c r="S209" s="400"/>
      <c r="T209" s="402"/>
    </row>
    <row r="210" spans="2:20">
      <c r="B210" s="528" t="s">
        <v>289</v>
      </c>
      <c r="C210" s="465" t="s">
        <v>203</v>
      </c>
      <c r="D210" s="491"/>
      <c r="E210" s="492"/>
      <c r="F210" s="492"/>
      <c r="G210" s="492"/>
      <c r="H210" s="493"/>
      <c r="I210" s="368"/>
      <c r="J210" s="370"/>
      <c r="K210" s="370"/>
      <c r="L210" s="370"/>
      <c r="M210" s="369"/>
      <c r="N210" s="319"/>
      <c r="O210" s="360"/>
      <c r="P210" s="361"/>
      <c r="Q210" s="362"/>
      <c r="R210" s="319"/>
      <c r="S210" s="360"/>
      <c r="T210" s="363"/>
    </row>
    <row r="211" spans="2:20">
      <c r="B211" s="528" t="s">
        <v>326</v>
      </c>
      <c r="C211" s="465" t="s">
        <v>311</v>
      </c>
      <c r="D211" s="494"/>
      <c r="E211" s="495"/>
      <c r="F211" s="495"/>
      <c r="G211" s="495"/>
      <c r="H211" s="496"/>
      <c r="I211" s="497"/>
      <c r="J211" s="498"/>
      <c r="K211" s="498"/>
      <c r="L211" s="498"/>
      <c r="M211" s="499"/>
      <c r="N211" s="319"/>
      <c r="O211" s="360"/>
      <c r="P211" s="361"/>
      <c r="Q211" s="362"/>
      <c r="R211" s="319"/>
      <c r="S211" s="360"/>
      <c r="T211" s="363"/>
    </row>
    <row r="212" spans="2:20">
      <c r="B212" s="528" t="s">
        <v>327</v>
      </c>
      <c r="C212" s="465" t="s">
        <v>311</v>
      </c>
      <c r="D212" s="494"/>
      <c r="E212" s="495"/>
      <c r="F212" s="495"/>
      <c r="G212" s="495"/>
      <c r="H212" s="496"/>
      <c r="I212" s="500">
        <f>1-I211</f>
        <v>1</v>
      </c>
      <c r="J212" s="501">
        <f>1-J211</f>
        <v>1</v>
      </c>
      <c r="K212" s="501">
        <f>1-K211</f>
        <v>1</v>
      </c>
      <c r="L212" s="501">
        <f>1-L211</f>
        <v>1</v>
      </c>
      <c r="M212" s="502">
        <f>1-M211</f>
        <v>1</v>
      </c>
      <c r="N212" s="319"/>
      <c r="O212" s="360"/>
      <c r="P212" s="361"/>
      <c r="Q212" s="362"/>
      <c r="R212" s="319"/>
      <c r="S212" s="360"/>
      <c r="T212" s="363"/>
    </row>
    <row r="213" spans="2:20">
      <c r="B213" s="528" t="s">
        <v>290</v>
      </c>
      <c r="C213" s="465" t="s">
        <v>203</v>
      </c>
      <c r="D213" s="491"/>
      <c r="E213" s="492"/>
      <c r="F213" s="492"/>
      <c r="G213" s="492"/>
      <c r="H213" s="493"/>
      <c r="I213" s="368"/>
      <c r="J213" s="370"/>
      <c r="K213" s="370"/>
      <c r="L213" s="370"/>
      <c r="M213" s="369"/>
      <c r="N213" s="319"/>
      <c r="O213" s="360"/>
      <c r="P213" s="361"/>
      <c r="Q213" s="362"/>
      <c r="R213" s="319"/>
      <c r="S213" s="360"/>
      <c r="T213" s="363"/>
    </row>
    <row r="214" spans="2:20">
      <c r="B214" s="528" t="s">
        <v>328</v>
      </c>
      <c r="C214" s="465" t="s">
        <v>311</v>
      </c>
      <c r="D214" s="503"/>
      <c r="E214" s="504"/>
      <c r="F214" s="504"/>
      <c r="G214" s="504"/>
      <c r="H214" s="505"/>
      <c r="I214" s="506"/>
      <c r="J214" s="507"/>
      <c r="K214" s="507"/>
      <c r="L214" s="507"/>
      <c r="M214" s="508"/>
      <c r="N214" s="319"/>
      <c r="O214" s="360"/>
      <c r="P214" s="361"/>
      <c r="Q214" s="362"/>
      <c r="R214" s="319"/>
      <c r="S214" s="360"/>
      <c r="T214" s="363"/>
    </row>
    <row r="215" spans="2:20">
      <c r="B215" s="528" t="s">
        <v>329</v>
      </c>
      <c r="C215" s="465" t="s">
        <v>311</v>
      </c>
      <c r="D215" s="494"/>
      <c r="E215" s="495"/>
      <c r="F215" s="495"/>
      <c r="G215" s="495"/>
      <c r="H215" s="496"/>
      <c r="I215" s="500">
        <f>1-I214</f>
        <v>1</v>
      </c>
      <c r="J215" s="501">
        <f>1-J214</f>
        <v>1</v>
      </c>
      <c r="K215" s="501">
        <f>1-K214</f>
        <v>1</v>
      </c>
      <c r="L215" s="501">
        <f>1-L214</f>
        <v>1</v>
      </c>
      <c r="M215" s="502">
        <f>1-M214</f>
        <v>1</v>
      </c>
      <c r="N215" s="319"/>
      <c r="O215" s="360"/>
      <c r="P215" s="361"/>
      <c r="Q215" s="362"/>
      <c r="R215" s="319"/>
      <c r="S215" s="360"/>
      <c r="T215" s="363"/>
    </row>
    <row r="216" spans="2:20">
      <c r="B216" s="531" t="s">
        <v>252</v>
      </c>
      <c r="C216" s="465" t="s">
        <v>203</v>
      </c>
      <c r="D216" s="510"/>
      <c r="E216" s="511"/>
      <c r="F216" s="511"/>
      <c r="G216" s="511"/>
      <c r="H216" s="512"/>
      <c r="I216" s="513">
        <f>SUM(I210,I213)</f>
        <v>0</v>
      </c>
      <c r="J216" s="514">
        <f>SUM(J210,J213)</f>
        <v>0</v>
      </c>
      <c r="K216" s="514">
        <f>SUM(K210,K213)</f>
        <v>0</v>
      </c>
      <c r="L216" s="514">
        <f>SUM(L210,L213)</f>
        <v>0</v>
      </c>
      <c r="M216" s="515">
        <f>SUM(M210,M213)</f>
        <v>0</v>
      </c>
      <c r="N216" s="319"/>
      <c r="O216" s="340">
        <f>SUM(D216:G216)</f>
        <v>0</v>
      </c>
      <c r="P216" s="341">
        <f>SUM(H216)</f>
        <v>0</v>
      </c>
      <c r="Q216" s="342">
        <f>SUM(D216:H216)</f>
        <v>0</v>
      </c>
      <c r="R216" s="319"/>
      <c r="S216" s="340">
        <f>SUM(I216:M216)</f>
        <v>0</v>
      </c>
      <c r="T216" s="155" t="str">
        <f>IF(Q216&lt;&gt;0,(S216-Q216)/Q216,"0")</f>
        <v>0</v>
      </c>
    </row>
    <row r="217" spans="2:20" ht="13.5" thickBot="1">
      <c r="B217" s="516" t="s">
        <v>332</v>
      </c>
      <c r="C217" s="532"/>
      <c r="D217" s="518">
        <f t="shared" ref="D217:M217" si="24">SUM(D192,D200,D208,D216)</f>
        <v>0</v>
      </c>
      <c r="E217" s="518">
        <f t="shared" si="24"/>
        <v>0</v>
      </c>
      <c r="F217" s="518">
        <f t="shared" si="24"/>
        <v>0</v>
      </c>
      <c r="G217" s="518">
        <f t="shared" si="24"/>
        <v>0</v>
      </c>
      <c r="H217" s="518">
        <f t="shared" si="24"/>
        <v>0</v>
      </c>
      <c r="I217" s="533">
        <f t="shared" si="24"/>
        <v>0</v>
      </c>
      <c r="J217" s="533">
        <f t="shared" si="24"/>
        <v>0</v>
      </c>
      <c r="K217" s="533">
        <f t="shared" si="24"/>
        <v>0</v>
      </c>
      <c r="L217" s="533">
        <f t="shared" si="24"/>
        <v>0</v>
      </c>
      <c r="M217" s="534">
        <f t="shared" si="24"/>
        <v>0</v>
      </c>
      <c r="N217" s="319"/>
      <c r="O217" s="375">
        <f>SUM(O192,O200,O208,O216)</f>
        <v>0</v>
      </c>
      <c r="P217" s="376">
        <f>SUM(P192,P200,P208,P216)</f>
        <v>0</v>
      </c>
      <c r="Q217" s="377">
        <f>SUM(Q192,Q200,Q208,Q216)</f>
        <v>0</v>
      </c>
      <c r="R217" s="319"/>
      <c r="S217" s="535">
        <f>SUM(S192,S200,S208,S216)</f>
        <v>0</v>
      </c>
      <c r="T217" s="174" t="str">
        <f>IF(Q217&lt;&gt;0,(S217-Q217)/Q217,"0")</f>
        <v>0</v>
      </c>
    </row>
    <row r="218" spans="2:20">
      <c r="C218" s="316"/>
      <c r="D218" s="316"/>
      <c r="E218" s="316"/>
      <c r="F218" s="316"/>
      <c r="G218" s="316"/>
      <c r="H218" s="316"/>
      <c r="I218" s="316"/>
      <c r="J218" s="316"/>
      <c r="K218" s="316"/>
      <c r="L218" s="316"/>
      <c r="M218" s="316"/>
      <c r="N218" s="316"/>
      <c r="O218" s="316"/>
      <c r="P218" s="316"/>
      <c r="Q218" s="316"/>
      <c r="R218" s="316"/>
      <c r="S218" s="316"/>
      <c r="T218" s="316"/>
    </row>
    <row r="219" spans="2:20">
      <c r="B219" s="378" t="s">
        <v>333</v>
      </c>
      <c r="C219" s="379"/>
      <c r="D219" s="380"/>
      <c r="E219" s="380"/>
      <c r="F219" s="380"/>
      <c r="G219" s="380"/>
      <c r="H219" s="380"/>
      <c r="I219" s="380"/>
      <c r="J219" s="380"/>
      <c r="K219" s="380"/>
      <c r="L219" s="380"/>
      <c r="M219" s="380"/>
      <c r="N219" s="319"/>
      <c r="O219" s="380"/>
      <c r="P219" s="380"/>
      <c r="Q219" s="380"/>
      <c r="R219" s="319"/>
      <c r="S219" s="380"/>
      <c r="T219" s="380"/>
    </row>
    <row r="220" spans="2:20" ht="13.5" thickBot="1">
      <c r="B220" s="378"/>
      <c r="C220" s="379"/>
      <c r="D220" s="380"/>
      <c r="E220" s="380"/>
      <c r="F220" s="380"/>
      <c r="G220" s="380"/>
      <c r="H220" s="380"/>
      <c r="I220" s="380"/>
      <c r="J220" s="380"/>
      <c r="K220" s="380"/>
      <c r="L220" s="380"/>
      <c r="M220" s="380"/>
      <c r="N220" s="319"/>
      <c r="O220" s="380"/>
      <c r="P220" s="380"/>
      <c r="Q220" s="380"/>
      <c r="R220" s="319"/>
      <c r="S220" s="380"/>
      <c r="T220" s="380"/>
    </row>
    <row r="221" spans="2:20">
      <c r="B221" s="536"/>
      <c r="C221" s="537"/>
      <c r="D221" s="321" t="s">
        <v>191</v>
      </c>
      <c r="E221" s="322"/>
      <c r="F221" s="322"/>
      <c r="G221" s="322"/>
      <c r="H221" s="323"/>
      <c r="I221" s="322" t="s">
        <v>192</v>
      </c>
      <c r="J221" s="324"/>
      <c r="K221" s="324"/>
      <c r="L221" s="324"/>
      <c r="M221" s="323"/>
      <c r="N221" s="319"/>
      <c r="O221" s="325" t="s">
        <v>191</v>
      </c>
      <c r="P221" s="326"/>
      <c r="Q221" s="327"/>
      <c r="R221" s="319"/>
      <c r="S221" s="325" t="s">
        <v>192</v>
      </c>
      <c r="T221" s="327"/>
    </row>
    <row r="222" spans="2:20">
      <c r="B222" s="538" t="s">
        <v>241</v>
      </c>
      <c r="C222" s="539" t="s">
        <v>190</v>
      </c>
      <c r="D222" s="328" t="s">
        <v>79</v>
      </c>
      <c r="E222" s="329" t="s">
        <v>80</v>
      </c>
      <c r="F222" s="329" t="s">
        <v>81</v>
      </c>
      <c r="G222" s="329" t="s">
        <v>82</v>
      </c>
      <c r="H222" s="330" t="s">
        <v>44</v>
      </c>
      <c r="I222" s="331" t="s">
        <v>193</v>
      </c>
      <c r="J222" s="329" t="s">
        <v>194</v>
      </c>
      <c r="K222" s="329" t="s">
        <v>195</v>
      </c>
      <c r="L222" s="329" t="s">
        <v>196</v>
      </c>
      <c r="M222" s="330" t="s">
        <v>197</v>
      </c>
      <c r="N222" s="319"/>
      <c r="O222" s="332" t="s">
        <v>198</v>
      </c>
      <c r="P222" s="333" t="s">
        <v>199</v>
      </c>
      <c r="Q222" s="334" t="s">
        <v>200</v>
      </c>
      <c r="R222" s="319"/>
      <c r="S222" s="332" t="s">
        <v>199</v>
      </c>
      <c r="T222" s="334" t="s">
        <v>201</v>
      </c>
    </row>
    <row r="223" spans="2:20">
      <c r="B223" s="540" t="s">
        <v>242</v>
      </c>
      <c r="C223" s="526"/>
      <c r="D223" s="409"/>
      <c r="E223" s="410"/>
      <c r="F223" s="410"/>
      <c r="G223" s="410"/>
      <c r="H223" s="411"/>
      <c r="I223" s="413"/>
      <c r="J223" s="413"/>
      <c r="K223" s="413"/>
      <c r="L223" s="413"/>
      <c r="M223" s="414"/>
      <c r="N223" s="319"/>
      <c r="O223" s="412"/>
      <c r="P223" s="413"/>
      <c r="Q223" s="414"/>
      <c r="R223" s="319"/>
      <c r="S223" s="412"/>
      <c r="T223" s="414"/>
    </row>
    <row r="224" spans="2:20">
      <c r="B224" s="432" t="s">
        <v>243</v>
      </c>
      <c r="C224" s="527"/>
      <c r="D224" s="383"/>
      <c r="E224" s="384"/>
      <c r="F224" s="384"/>
      <c r="G224" s="384"/>
      <c r="H224" s="385"/>
      <c r="I224" s="384"/>
      <c r="J224" s="384"/>
      <c r="K224" s="384"/>
      <c r="L224" s="384"/>
      <c r="M224" s="385"/>
      <c r="N224" s="319"/>
      <c r="O224" s="386"/>
      <c r="P224" s="387"/>
      <c r="Q224" s="388"/>
      <c r="R224" s="319"/>
      <c r="S224" s="383"/>
      <c r="T224" s="385"/>
    </row>
    <row r="225" spans="2:20">
      <c r="B225" s="528" t="s">
        <v>283</v>
      </c>
      <c r="C225" s="465" t="s">
        <v>203</v>
      </c>
      <c r="D225" s="491"/>
      <c r="E225" s="492"/>
      <c r="F225" s="492"/>
      <c r="G225" s="492"/>
      <c r="H225" s="493"/>
      <c r="I225" s="368"/>
      <c r="J225" s="370"/>
      <c r="K225" s="370"/>
      <c r="L225" s="370"/>
      <c r="M225" s="369"/>
      <c r="N225" s="319"/>
      <c r="O225" s="360"/>
      <c r="P225" s="361"/>
      <c r="Q225" s="362"/>
      <c r="R225" s="319"/>
      <c r="S225" s="360"/>
      <c r="T225" s="363"/>
    </row>
    <row r="226" spans="2:20">
      <c r="B226" s="528" t="s">
        <v>284</v>
      </c>
      <c r="C226" s="465" t="s">
        <v>203</v>
      </c>
      <c r="D226" s="491"/>
      <c r="E226" s="492"/>
      <c r="F226" s="492"/>
      <c r="G226" s="492"/>
      <c r="H226" s="493"/>
      <c r="I226" s="368"/>
      <c r="J226" s="370"/>
      <c r="K226" s="370"/>
      <c r="L226" s="370"/>
      <c r="M226" s="369"/>
      <c r="N226" s="319"/>
      <c r="O226" s="360"/>
      <c r="P226" s="361"/>
      <c r="Q226" s="362"/>
      <c r="R226" s="319"/>
      <c r="S226" s="360"/>
      <c r="T226" s="363"/>
    </row>
    <row r="227" spans="2:20">
      <c r="B227" s="529" t="s">
        <v>246</v>
      </c>
      <c r="C227" s="465" t="s">
        <v>203</v>
      </c>
      <c r="D227" s="349"/>
      <c r="E227" s="368"/>
      <c r="F227" s="368"/>
      <c r="G227" s="368"/>
      <c r="H227" s="369"/>
      <c r="I227" s="398">
        <f>SUM(I225,I226)</f>
        <v>0</v>
      </c>
      <c r="J227" s="341">
        <f>SUM(J225,J226)</f>
        <v>0</v>
      </c>
      <c r="K227" s="341">
        <f>SUM(K225,K226)</f>
        <v>0</v>
      </c>
      <c r="L227" s="341">
        <f>SUM(L225,L226)</f>
        <v>0</v>
      </c>
      <c r="M227" s="342">
        <f>SUM(M225,M226)</f>
        <v>0</v>
      </c>
      <c r="N227" s="319"/>
      <c r="O227" s="340">
        <f>SUM(D227:G227)</f>
        <v>0</v>
      </c>
      <c r="P227" s="341">
        <f>SUM(H227)</f>
        <v>0</v>
      </c>
      <c r="Q227" s="342">
        <f>SUM(D227:H227)</f>
        <v>0</v>
      </c>
      <c r="R227" s="319"/>
      <c r="S227" s="340">
        <f>SUM(I227:M227)</f>
        <v>0</v>
      </c>
      <c r="T227" s="155" t="str">
        <f>IF(Q227&lt;&gt;0,(S227-Q227)/Q227,"0")</f>
        <v>0</v>
      </c>
    </row>
    <row r="228" spans="2:20">
      <c r="B228" s="432" t="s">
        <v>315</v>
      </c>
      <c r="C228" s="530"/>
      <c r="D228" s="400"/>
      <c r="E228" s="401"/>
      <c r="F228" s="401"/>
      <c r="G228" s="401"/>
      <c r="H228" s="402"/>
      <c r="I228" s="401"/>
      <c r="J228" s="401"/>
      <c r="K228" s="401"/>
      <c r="L228" s="401"/>
      <c r="M228" s="402"/>
      <c r="N228" s="319"/>
      <c r="O228" s="403"/>
      <c r="P228" s="401"/>
      <c r="Q228" s="402"/>
      <c r="R228" s="319"/>
      <c r="S228" s="400"/>
      <c r="T228" s="402"/>
    </row>
    <row r="229" spans="2:20">
      <c r="B229" s="528" t="s">
        <v>285</v>
      </c>
      <c r="C229" s="465" t="s">
        <v>203</v>
      </c>
      <c r="D229" s="491"/>
      <c r="E229" s="492"/>
      <c r="F229" s="492"/>
      <c r="G229" s="492"/>
      <c r="H229" s="493"/>
      <c r="I229" s="368"/>
      <c r="J229" s="370"/>
      <c r="K229" s="370"/>
      <c r="L229" s="370"/>
      <c r="M229" s="369"/>
      <c r="N229" s="319"/>
      <c r="O229" s="360"/>
      <c r="P229" s="361"/>
      <c r="Q229" s="362"/>
      <c r="R229" s="319"/>
      <c r="S229" s="360"/>
      <c r="T229" s="363"/>
    </row>
    <row r="230" spans="2:20">
      <c r="B230" s="528" t="s">
        <v>286</v>
      </c>
      <c r="C230" s="465" t="s">
        <v>203</v>
      </c>
      <c r="D230" s="491"/>
      <c r="E230" s="492"/>
      <c r="F230" s="492"/>
      <c r="G230" s="492"/>
      <c r="H230" s="493"/>
      <c r="I230" s="368"/>
      <c r="J230" s="370"/>
      <c r="K230" s="370"/>
      <c r="L230" s="370"/>
      <c r="M230" s="369"/>
      <c r="N230" s="319"/>
      <c r="O230" s="360"/>
      <c r="P230" s="361"/>
      <c r="Q230" s="362"/>
      <c r="R230" s="319"/>
      <c r="S230" s="360"/>
      <c r="T230" s="363"/>
    </row>
    <row r="231" spans="2:20">
      <c r="B231" s="529" t="s">
        <v>248</v>
      </c>
      <c r="C231" s="465" t="s">
        <v>203</v>
      </c>
      <c r="D231" s="349"/>
      <c r="E231" s="368"/>
      <c r="F231" s="368"/>
      <c r="G231" s="368"/>
      <c r="H231" s="369"/>
      <c r="I231" s="398">
        <f>SUM(I229,I230)</f>
        <v>0</v>
      </c>
      <c r="J231" s="341">
        <f>SUM(J229,J230)</f>
        <v>0</v>
      </c>
      <c r="K231" s="341">
        <f>SUM(K229,K230)</f>
        <v>0</v>
      </c>
      <c r="L231" s="341">
        <f>SUM(L229,L230)</f>
        <v>0</v>
      </c>
      <c r="M231" s="342">
        <f>SUM(M229,M230)</f>
        <v>0</v>
      </c>
      <c r="N231" s="319"/>
      <c r="O231" s="340">
        <f>SUM(D231:G231)</f>
        <v>0</v>
      </c>
      <c r="P231" s="341">
        <f>SUM(H231)</f>
        <v>0</v>
      </c>
      <c r="Q231" s="342">
        <f>SUM(D231:H231)</f>
        <v>0</v>
      </c>
      <c r="R231" s="319"/>
      <c r="S231" s="340">
        <f>SUM(I231:M231)</f>
        <v>0</v>
      </c>
      <c r="T231" s="155" t="str">
        <f>IF(Q231&lt;&gt;0,(S231-Q231)/Q231,"0")</f>
        <v>0</v>
      </c>
    </row>
    <row r="232" spans="2:20">
      <c r="B232" s="432" t="s">
        <v>320</v>
      </c>
      <c r="C232" s="530"/>
      <c r="D232" s="400"/>
      <c r="E232" s="401"/>
      <c r="F232" s="401"/>
      <c r="G232" s="401"/>
      <c r="H232" s="402"/>
      <c r="I232" s="401"/>
      <c r="J232" s="401"/>
      <c r="K232" s="401"/>
      <c r="L232" s="401"/>
      <c r="M232" s="402"/>
      <c r="N232" s="319"/>
      <c r="O232" s="400"/>
      <c r="P232" s="401"/>
      <c r="Q232" s="402"/>
      <c r="R232" s="319"/>
      <c r="S232" s="400"/>
      <c r="T232" s="402"/>
    </row>
    <row r="233" spans="2:20">
      <c r="B233" s="528" t="s">
        <v>287</v>
      </c>
      <c r="C233" s="465" t="s">
        <v>203</v>
      </c>
      <c r="D233" s="491"/>
      <c r="E233" s="492"/>
      <c r="F233" s="492"/>
      <c r="G233" s="492"/>
      <c r="H233" s="493"/>
      <c r="I233" s="368"/>
      <c r="J233" s="370"/>
      <c r="K233" s="370"/>
      <c r="L233" s="370"/>
      <c r="M233" s="369"/>
      <c r="N233" s="319"/>
      <c r="O233" s="360"/>
      <c r="P233" s="361"/>
      <c r="Q233" s="362"/>
      <c r="R233" s="319"/>
      <c r="S233" s="360"/>
      <c r="T233" s="363"/>
    </row>
    <row r="234" spans="2:20">
      <c r="B234" s="528" t="s">
        <v>288</v>
      </c>
      <c r="C234" s="465" t="s">
        <v>203</v>
      </c>
      <c r="D234" s="491"/>
      <c r="E234" s="492"/>
      <c r="F234" s="492"/>
      <c r="G234" s="492"/>
      <c r="H234" s="493"/>
      <c r="I234" s="368"/>
      <c r="J234" s="370"/>
      <c r="K234" s="370"/>
      <c r="L234" s="370"/>
      <c r="M234" s="369"/>
      <c r="N234" s="319"/>
      <c r="O234" s="360"/>
      <c r="P234" s="361"/>
      <c r="Q234" s="362"/>
      <c r="R234" s="319"/>
      <c r="S234" s="360"/>
      <c r="T234" s="363"/>
    </row>
    <row r="235" spans="2:20">
      <c r="B235" s="529" t="s">
        <v>250</v>
      </c>
      <c r="C235" s="465" t="s">
        <v>203</v>
      </c>
      <c r="D235" s="349"/>
      <c r="E235" s="368"/>
      <c r="F235" s="368"/>
      <c r="G235" s="368"/>
      <c r="H235" s="369"/>
      <c r="I235" s="398">
        <f>SUM(I233,I234)</f>
        <v>0</v>
      </c>
      <c r="J235" s="341">
        <f>SUM(J233,J234)</f>
        <v>0</v>
      </c>
      <c r="K235" s="341">
        <f>SUM(K233,K234)</f>
        <v>0</v>
      </c>
      <c r="L235" s="341">
        <f>SUM(L233,L234)</f>
        <v>0</v>
      </c>
      <c r="M235" s="342">
        <f>SUM(M233,M234)</f>
        <v>0</v>
      </c>
      <c r="N235" s="319"/>
      <c r="O235" s="340">
        <f>SUM(D235:G235)</f>
        <v>0</v>
      </c>
      <c r="P235" s="341">
        <f>SUM(H235)</f>
        <v>0</v>
      </c>
      <c r="Q235" s="342">
        <f>SUM(D235:H235)</f>
        <v>0</v>
      </c>
      <c r="R235" s="319"/>
      <c r="S235" s="340">
        <f>SUM(I235:M235)</f>
        <v>0</v>
      </c>
      <c r="T235" s="155" t="str">
        <f>IF(Q235&lt;&gt;0,(S235-Q235)/Q235,"0")</f>
        <v>0</v>
      </c>
    </row>
    <row r="236" spans="2:20">
      <c r="B236" s="432" t="s">
        <v>325</v>
      </c>
      <c r="C236" s="530"/>
      <c r="D236" s="400"/>
      <c r="E236" s="401"/>
      <c r="F236" s="401"/>
      <c r="G236" s="401"/>
      <c r="H236" s="402"/>
      <c r="I236" s="401"/>
      <c r="J236" s="401"/>
      <c r="K236" s="401"/>
      <c r="L236" s="401"/>
      <c r="M236" s="402"/>
      <c r="N236" s="319"/>
      <c r="O236" s="400"/>
      <c r="P236" s="401"/>
      <c r="Q236" s="402"/>
      <c r="R236" s="319"/>
      <c r="S236" s="400"/>
      <c r="T236" s="402"/>
    </row>
    <row r="237" spans="2:20">
      <c r="B237" s="528" t="s">
        <v>289</v>
      </c>
      <c r="C237" s="465" t="s">
        <v>203</v>
      </c>
      <c r="D237" s="491"/>
      <c r="E237" s="492"/>
      <c r="F237" s="492"/>
      <c r="G237" s="492"/>
      <c r="H237" s="493"/>
      <c r="I237" s="368"/>
      <c r="J237" s="370"/>
      <c r="K237" s="370"/>
      <c r="L237" s="370"/>
      <c r="M237" s="369"/>
      <c r="N237" s="319"/>
      <c r="O237" s="360"/>
      <c r="P237" s="361"/>
      <c r="Q237" s="362"/>
      <c r="R237" s="319"/>
      <c r="S237" s="360"/>
      <c r="T237" s="363"/>
    </row>
    <row r="238" spans="2:20">
      <c r="B238" s="528" t="s">
        <v>290</v>
      </c>
      <c r="C238" s="465" t="s">
        <v>203</v>
      </c>
      <c r="D238" s="491"/>
      <c r="E238" s="492"/>
      <c r="F238" s="492"/>
      <c r="G238" s="492"/>
      <c r="H238" s="493"/>
      <c r="I238" s="368"/>
      <c r="J238" s="370"/>
      <c r="K238" s="370"/>
      <c r="L238" s="370"/>
      <c r="M238" s="369"/>
      <c r="N238" s="319"/>
      <c r="O238" s="360"/>
      <c r="P238" s="361"/>
      <c r="Q238" s="362"/>
      <c r="R238" s="319"/>
      <c r="S238" s="360"/>
      <c r="T238" s="363"/>
    </row>
    <row r="239" spans="2:20">
      <c r="B239" s="531" t="s">
        <v>252</v>
      </c>
      <c r="C239" s="465" t="s">
        <v>203</v>
      </c>
      <c r="D239" s="510"/>
      <c r="E239" s="511"/>
      <c r="F239" s="511"/>
      <c r="G239" s="511"/>
      <c r="H239" s="512"/>
      <c r="I239" s="513">
        <f>SUM(I237,I238)</f>
        <v>0</v>
      </c>
      <c r="J239" s="514">
        <f>SUM(J237,J238)</f>
        <v>0</v>
      </c>
      <c r="K239" s="514">
        <f>SUM(K237,K238)</f>
        <v>0</v>
      </c>
      <c r="L239" s="514">
        <f>SUM(L237,L238)</f>
        <v>0</v>
      </c>
      <c r="M239" s="515">
        <f>SUM(M237,M238)</f>
        <v>0</v>
      </c>
      <c r="N239" s="319"/>
      <c r="O239" s="340">
        <f>SUM(D239:G239)</f>
        <v>0</v>
      </c>
      <c r="P239" s="341">
        <f>SUM(H239)</f>
        <v>0</v>
      </c>
      <c r="Q239" s="342">
        <f>SUM(D239:H239)</f>
        <v>0</v>
      </c>
      <c r="R239" s="319"/>
      <c r="S239" s="340">
        <f>SUM(I239:M239)</f>
        <v>0</v>
      </c>
      <c r="T239" s="155" t="str">
        <f>IF(Q239&lt;&gt;0,(S239-Q239)/Q239,"0")</f>
        <v>0</v>
      </c>
    </row>
    <row r="240" spans="2:20" ht="13.5" thickBot="1">
      <c r="B240" s="516" t="s">
        <v>334</v>
      </c>
      <c r="C240" s="532"/>
      <c r="D240" s="518">
        <f t="shared" ref="D240:M240" si="25">SUM(D227,D231,D235,D239)</f>
        <v>0</v>
      </c>
      <c r="E240" s="518">
        <f t="shared" si="25"/>
        <v>0</v>
      </c>
      <c r="F240" s="518">
        <f t="shared" si="25"/>
        <v>0</v>
      </c>
      <c r="G240" s="518">
        <f t="shared" si="25"/>
        <v>0</v>
      </c>
      <c r="H240" s="518">
        <f t="shared" si="25"/>
        <v>0</v>
      </c>
      <c r="I240" s="533">
        <f t="shared" si="25"/>
        <v>0</v>
      </c>
      <c r="J240" s="533">
        <f t="shared" si="25"/>
        <v>0</v>
      </c>
      <c r="K240" s="533">
        <f t="shared" si="25"/>
        <v>0</v>
      </c>
      <c r="L240" s="533">
        <f t="shared" si="25"/>
        <v>0</v>
      </c>
      <c r="M240" s="534">
        <f t="shared" si="25"/>
        <v>0</v>
      </c>
      <c r="N240" s="319"/>
      <c r="O240" s="375">
        <f>SUM(O227,O231,O235,O239)</f>
        <v>0</v>
      </c>
      <c r="P240" s="376">
        <f>SUM(P227,P231,P235,P239)</f>
        <v>0</v>
      </c>
      <c r="Q240" s="377">
        <f>SUM(Q227,Q231,Q235,Q239)</f>
        <v>0</v>
      </c>
      <c r="R240" s="319"/>
      <c r="S240" s="375">
        <f>SUM(S227,S231,S235,S239)</f>
        <v>0</v>
      </c>
      <c r="T240" s="174" t="str">
        <f>IF(Q240&lt;&gt;0,(S240-Q240)/Q240,"0")</f>
        <v>0</v>
      </c>
    </row>
    <row r="241" spans="2:20">
      <c r="N241" s="319"/>
      <c r="R241" s="319"/>
    </row>
    <row r="243" spans="2:20">
      <c r="B243" s="378" t="s">
        <v>335</v>
      </c>
      <c r="C243" s="379"/>
      <c r="D243" s="380"/>
      <c r="E243" s="380"/>
      <c r="F243" s="380"/>
      <c r="G243" s="380"/>
      <c r="H243" s="380"/>
      <c r="I243" s="380"/>
      <c r="J243" s="380"/>
      <c r="K243" s="380"/>
      <c r="L243" s="380"/>
      <c r="M243" s="380"/>
      <c r="N243" s="319"/>
      <c r="O243" s="380"/>
      <c r="P243" s="380"/>
      <c r="Q243" s="380"/>
      <c r="R243" s="319"/>
      <c r="S243" s="380"/>
      <c r="T243" s="380"/>
    </row>
    <row r="244" spans="2:20" ht="13.5" thickBot="1">
      <c r="B244" s="378"/>
      <c r="C244" s="379"/>
      <c r="D244" s="380"/>
      <c r="E244" s="380"/>
      <c r="F244" s="380"/>
      <c r="G244" s="380"/>
      <c r="H244" s="380"/>
      <c r="I244" s="380"/>
      <c r="J244" s="380"/>
      <c r="K244" s="380"/>
      <c r="L244" s="380"/>
      <c r="M244" s="380"/>
      <c r="N244" s="319"/>
      <c r="O244" s="380"/>
      <c r="P244" s="380"/>
      <c r="Q244" s="380"/>
      <c r="R244" s="319"/>
      <c r="S244" s="380"/>
      <c r="T244" s="380"/>
    </row>
    <row r="245" spans="2:20">
      <c r="B245" s="521"/>
      <c r="C245" s="522"/>
      <c r="D245" s="321" t="s">
        <v>191</v>
      </c>
      <c r="E245" s="322"/>
      <c r="F245" s="322"/>
      <c r="G245" s="322"/>
      <c r="H245" s="323"/>
      <c r="I245" s="322" t="s">
        <v>192</v>
      </c>
      <c r="J245" s="324"/>
      <c r="K245" s="324"/>
      <c r="L245" s="324"/>
      <c r="M245" s="323"/>
      <c r="N245" s="319"/>
      <c r="O245" s="325" t="s">
        <v>191</v>
      </c>
      <c r="P245" s="326"/>
      <c r="Q245" s="327"/>
      <c r="R245" s="319"/>
      <c r="S245" s="325" t="s">
        <v>192</v>
      </c>
      <c r="T245" s="327"/>
    </row>
    <row r="246" spans="2:20" ht="13.5" thickBot="1">
      <c r="B246" s="523" t="s">
        <v>257</v>
      </c>
      <c r="C246" s="524" t="s">
        <v>190</v>
      </c>
      <c r="D246" s="328" t="s">
        <v>79</v>
      </c>
      <c r="E246" s="329" t="s">
        <v>80</v>
      </c>
      <c r="F246" s="329" t="s">
        <v>81</v>
      </c>
      <c r="G246" s="329" t="s">
        <v>82</v>
      </c>
      <c r="H246" s="330" t="s">
        <v>44</v>
      </c>
      <c r="I246" s="331" t="s">
        <v>193</v>
      </c>
      <c r="J246" s="329" t="s">
        <v>194</v>
      </c>
      <c r="K246" s="329" t="s">
        <v>195</v>
      </c>
      <c r="L246" s="329" t="s">
        <v>196</v>
      </c>
      <c r="M246" s="330" t="s">
        <v>197</v>
      </c>
      <c r="N246" s="319"/>
      <c r="O246" s="332" t="s">
        <v>198</v>
      </c>
      <c r="P246" s="333" t="s">
        <v>199</v>
      </c>
      <c r="Q246" s="334" t="s">
        <v>200</v>
      </c>
      <c r="R246" s="319"/>
      <c r="S246" s="332" t="s">
        <v>199</v>
      </c>
      <c r="T246" s="334" t="s">
        <v>201</v>
      </c>
    </row>
    <row r="247" spans="2:20">
      <c r="B247" s="541" t="s">
        <v>258</v>
      </c>
      <c r="C247" s="527"/>
      <c r="D247" s="383"/>
      <c r="E247" s="384"/>
      <c r="F247" s="384"/>
      <c r="G247" s="384"/>
      <c r="H247" s="385"/>
      <c r="I247" s="384"/>
      <c r="J247" s="384"/>
      <c r="K247" s="384"/>
      <c r="L247" s="384"/>
      <c r="M247" s="385"/>
      <c r="N247" s="319"/>
      <c r="O247" s="542"/>
      <c r="P247" s="543"/>
      <c r="Q247" s="544"/>
      <c r="R247" s="319"/>
      <c r="S247" s="545"/>
      <c r="T247" s="546"/>
    </row>
    <row r="248" spans="2:20">
      <c r="B248" s="528" t="s">
        <v>283</v>
      </c>
      <c r="C248" s="465" t="s">
        <v>203</v>
      </c>
      <c r="D248" s="491"/>
      <c r="E248" s="492"/>
      <c r="F248" s="492"/>
      <c r="G248" s="492"/>
      <c r="H248" s="493"/>
      <c r="I248" s="368"/>
      <c r="J248" s="370"/>
      <c r="K248" s="370"/>
      <c r="L248" s="370"/>
      <c r="M248" s="369"/>
      <c r="N248" s="319"/>
      <c r="O248" s="360"/>
      <c r="P248" s="361"/>
      <c r="Q248" s="362"/>
      <c r="R248" s="319"/>
      <c r="S248" s="360"/>
      <c r="T248" s="363"/>
    </row>
    <row r="249" spans="2:20">
      <c r="B249" s="528" t="s">
        <v>284</v>
      </c>
      <c r="C249" s="465"/>
      <c r="D249" s="491"/>
      <c r="E249" s="492"/>
      <c r="F249" s="492"/>
      <c r="G249" s="492"/>
      <c r="H249" s="493"/>
      <c r="I249" s="368"/>
      <c r="J249" s="370"/>
      <c r="K249" s="370"/>
      <c r="L249" s="370"/>
      <c r="M249" s="369"/>
      <c r="N249" s="319"/>
      <c r="O249" s="360"/>
      <c r="P249" s="361"/>
      <c r="Q249" s="362"/>
      <c r="R249" s="319"/>
      <c r="S249" s="360"/>
      <c r="T249" s="363"/>
    </row>
    <row r="250" spans="2:20">
      <c r="B250" s="529" t="s">
        <v>246</v>
      </c>
      <c r="C250" s="465" t="s">
        <v>203</v>
      </c>
      <c r="D250" s="349"/>
      <c r="E250" s="368"/>
      <c r="F250" s="368"/>
      <c r="G250" s="368"/>
      <c r="H250" s="369"/>
      <c r="I250" s="398">
        <f>SUM(I248:I249)</f>
        <v>0</v>
      </c>
      <c r="J250" s="341">
        <f>SUM(J248:J249)</f>
        <v>0</v>
      </c>
      <c r="K250" s="341">
        <f>SUM(K248:K249)</f>
        <v>0</v>
      </c>
      <c r="L250" s="341">
        <f>SUM(L248:L249)</f>
        <v>0</v>
      </c>
      <c r="M250" s="342">
        <f>SUM(M248:M249)</f>
        <v>0</v>
      </c>
      <c r="N250" s="319"/>
      <c r="O250" s="340">
        <f>SUM(D250:G250)</f>
        <v>0</v>
      </c>
      <c r="P250" s="341">
        <f>SUM(H250)</f>
        <v>0</v>
      </c>
      <c r="Q250" s="342">
        <f>SUM(D250:H250)</f>
        <v>0</v>
      </c>
      <c r="R250" s="319"/>
      <c r="S250" s="340">
        <f>SUM(I250:M250)</f>
        <v>0</v>
      </c>
      <c r="T250" s="155" t="str">
        <f>IF(Q250&lt;&gt;0,(S250-Q250)/Q250,"0")</f>
        <v>0</v>
      </c>
    </row>
    <row r="251" spans="2:20">
      <c r="B251" s="432" t="s">
        <v>336</v>
      </c>
      <c r="C251" s="530"/>
      <c r="D251" s="400"/>
      <c r="E251" s="401"/>
      <c r="F251" s="401"/>
      <c r="G251" s="401"/>
      <c r="H251" s="402"/>
      <c r="I251" s="401"/>
      <c r="J251" s="401"/>
      <c r="K251" s="401"/>
      <c r="L251" s="401"/>
      <c r="M251" s="402"/>
      <c r="N251" s="319"/>
      <c r="O251" s="545"/>
      <c r="P251" s="543"/>
      <c r="Q251" s="544"/>
      <c r="R251" s="319"/>
      <c r="S251" s="542"/>
      <c r="T251" s="544"/>
    </row>
    <row r="252" spans="2:20">
      <c r="B252" s="528" t="s">
        <v>285</v>
      </c>
      <c r="C252" s="465" t="s">
        <v>203</v>
      </c>
      <c r="D252" s="491"/>
      <c r="E252" s="492"/>
      <c r="F252" s="492"/>
      <c r="G252" s="492"/>
      <c r="H252" s="493"/>
      <c r="I252" s="368"/>
      <c r="J252" s="370"/>
      <c r="K252" s="370"/>
      <c r="L252" s="370"/>
      <c r="M252" s="369"/>
      <c r="N252" s="319"/>
      <c r="O252" s="360"/>
      <c r="P252" s="361"/>
      <c r="Q252" s="362"/>
      <c r="R252" s="319"/>
      <c r="S252" s="360"/>
      <c r="T252" s="363"/>
    </row>
    <row r="253" spans="2:20">
      <c r="B253" s="528" t="s">
        <v>286</v>
      </c>
      <c r="C253" s="465" t="s">
        <v>203</v>
      </c>
      <c r="D253" s="491"/>
      <c r="E253" s="492"/>
      <c r="F253" s="492"/>
      <c r="G253" s="492"/>
      <c r="H253" s="493"/>
      <c r="I253" s="368"/>
      <c r="J253" s="370"/>
      <c r="K253" s="370"/>
      <c r="L253" s="370"/>
      <c r="M253" s="369"/>
      <c r="N253" s="319"/>
      <c r="O253" s="360"/>
      <c r="P253" s="361"/>
      <c r="Q253" s="362"/>
      <c r="R253" s="319"/>
      <c r="S253" s="360"/>
      <c r="T253" s="363"/>
    </row>
    <row r="254" spans="2:20">
      <c r="B254" s="529" t="s">
        <v>248</v>
      </c>
      <c r="C254" s="465" t="s">
        <v>203</v>
      </c>
      <c r="D254" s="349"/>
      <c r="E254" s="368"/>
      <c r="F254" s="368"/>
      <c r="G254" s="368"/>
      <c r="H254" s="369"/>
      <c r="I254" s="398">
        <f>SUM(I252:I253)</f>
        <v>0</v>
      </c>
      <c r="J254" s="341">
        <f>SUM(J252:J253)</f>
        <v>0</v>
      </c>
      <c r="K254" s="341">
        <f>SUM(K252:K253)</f>
        <v>0</v>
      </c>
      <c r="L254" s="341">
        <f>SUM(L252:L253)</f>
        <v>0</v>
      </c>
      <c r="M254" s="342">
        <f>SUM(M252:M253)</f>
        <v>0</v>
      </c>
      <c r="N254" s="319"/>
      <c r="O254" s="340">
        <f>SUM(D254:G254)</f>
        <v>0</v>
      </c>
      <c r="P254" s="341">
        <f>SUM(H254)</f>
        <v>0</v>
      </c>
      <c r="Q254" s="342">
        <f>SUM(D254:H254)</f>
        <v>0</v>
      </c>
      <c r="R254" s="319"/>
      <c r="S254" s="340">
        <f>SUM(I254:M254)</f>
        <v>0</v>
      </c>
      <c r="T254" s="155" t="str">
        <f>IF(Q254&lt;&gt;0,(S254-Q254)/Q254,"0")</f>
        <v>0</v>
      </c>
    </row>
    <row r="255" spans="2:20">
      <c r="B255" s="432" t="s">
        <v>337</v>
      </c>
      <c r="C255" s="530"/>
      <c r="D255" s="400"/>
      <c r="E255" s="401"/>
      <c r="F255" s="401"/>
      <c r="G255" s="401"/>
      <c r="H255" s="402"/>
      <c r="I255" s="401"/>
      <c r="J255" s="401"/>
      <c r="K255" s="401"/>
      <c r="L255" s="401"/>
      <c r="M255" s="402"/>
      <c r="N255" s="319"/>
      <c r="O255" s="542"/>
      <c r="P255" s="543"/>
      <c r="Q255" s="544"/>
      <c r="R255" s="319"/>
      <c r="S255" s="542"/>
      <c r="T255" s="544"/>
    </row>
    <row r="256" spans="2:20">
      <c r="B256" s="528" t="s">
        <v>287</v>
      </c>
      <c r="C256" s="465" t="s">
        <v>203</v>
      </c>
      <c r="D256" s="491"/>
      <c r="E256" s="492"/>
      <c r="F256" s="492"/>
      <c r="G256" s="492"/>
      <c r="H256" s="493"/>
      <c r="I256" s="368"/>
      <c r="J256" s="370"/>
      <c r="K256" s="370"/>
      <c r="L256" s="370"/>
      <c r="M256" s="369"/>
      <c r="N256" s="319"/>
      <c r="O256" s="360"/>
      <c r="P256" s="361"/>
      <c r="Q256" s="362"/>
      <c r="R256" s="319"/>
      <c r="S256" s="360"/>
      <c r="T256" s="363"/>
    </row>
    <row r="257" spans="1:20">
      <c r="B257" s="528" t="s">
        <v>288</v>
      </c>
      <c r="C257" s="465" t="s">
        <v>203</v>
      </c>
      <c r="D257" s="491"/>
      <c r="E257" s="492"/>
      <c r="F257" s="492"/>
      <c r="G257" s="492"/>
      <c r="H257" s="493"/>
      <c r="I257" s="368"/>
      <c r="J257" s="370"/>
      <c r="K257" s="370"/>
      <c r="L257" s="370"/>
      <c r="M257" s="369"/>
      <c r="N257" s="319"/>
      <c r="O257" s="360"/>
      <c r="P257" s="361"/>
      <c r="Q257" s="362"/>
      <c r="R257" s="319"/>
      <c r="S257" s="360"/>
      <c r="T257" s="363"/>
    </row>
    <row r="258" spans="1:20">
      <c r="B258" s="529" t="s">
        <v>250</v>
      </c>
      <c r="C258" s="465" t="s">
        <v>203</v>
      </c>
      <c r="D258" s="349"/>
      <c r="E258" s="368"/>
      <c r="F258" s="368"/>
      <c r="G258" s="368"/>
      <c r="H258" s="369"/>
      <c r="I258" s="398">
        <f>SUM(I256:I257)</f>
        <v>0</v>
      </c>
      <c r="J258" s="341">
        <f>SUM(J256:J257)</f>
        <v>0</v>
      </c>
      <c r="K258" s="341">
        <f>SUM(K256:K257)</f>
        <v>0</v>
      </c>
      <c r="L258" s="341">
        <f>SUM(L256:L257)</f>
        <v>0</v>
      </c>
      <c r="M258" s="342">
        <f>SUM(M256:M257)</f>
        <v>0</v>
      </c>
      <c r="N258" s="319"/>
      <c r="O258" s="340">
        <f>SUM(D258:G258)</f>
        <v>0</v>
      </c>
      <c r="P258" s="341">
        <f>SUM(H258)</f>
        <v>0</v>
      </c>
      <c r="Q258" s="342">
        <f>SUM(D258:H258)</f>
        <v>0</v>
      </c>
      <c r="R258" s="319"/>
      <c r="S258" s="340">
        <f>SUM(I258:M258)</f>
        <v>0</v>
      </c>
      <c r="T258" s="155" t="str">
        <f>IF(Q258&lt;&gt;0,(S258-Q258)/Q258,"0")</f>
        <v>0</v>
      </c>
    </row>
    <row r="259" spans="1:20">
      <c r="B259" s="432" t="s">
        <v>338</v>
      </c>
      <c r="C259" s="530"/>
      <c r="D259" s="400"/>
      <c r="E259" s="401"/>
      <c r="F259" s="401"/>
      <c r="G259" s="401"/>
      <c r="H259" s="402"/>
      <c r="I259" s="401"/>
      <c r="J259" s="401"/>
      <c r="K259" s="401"/>
      <c r="L259" s="401"/>
      <c r="M259" s="402"/>
      <c r="N259" s="319"/>
      <c r="O259" s="542"/>
      <c r="P259" s="543"/>
      <c r="Q259" s="544"/>
      <c r="R259" s="319"/>
      <c r="S259" s="542"/>
      <c r="T259" s="544"/>
    </row>
    <row r="260" spans="1:20">
      <c r="B260" s="528" t="s">
        <v>289</v>
      </c>
      <c r="C260" s="465" t="s">
        <v>203</v>
      </c>
      <c r="D260" s="491"/>
      <c r="E260" s="492"/>
      <c r="F260" s="492"/>
      <c r="G260" s="492"/>
      <c r="H260" s="493"/>
      <c r="I260" s="368"/>
      <c r="J260" s="370"/>
      <c r="K260" s="370"/>
      <c r="L260" s="370"/>
      <c r="M260" s="369"/>
      <c r="N260" s="319"/>
      <c r="O260" s="360"/>
      <c r="P260" s="361"/>
      <c r="Q260" s="362"/>
      <c r="R260" s="319"/>
      <c r="S260" s="360"/>
      <c r="T260" s="363"/>
    </row>
    <row r="261" spans="1:20">
      <c r="B261" s="528" t="s">
        <v>290</v>
      </c>
      <c r="C261" s="465" t="s">
        <v>203</v>
      </c>
      <c r="D261" s="491"/>
      <c r="E261" s="492"/>
      <c r="F261" s="492"/>
      <c r="G261" s="492"/>
      <c r="H261" s="493"/>
      <c r="I261" s="368"/>
      <c r="J261" s="370"/>
      <c r="K261" s="370"/>
      <c r="L261" s="370"/>
      <c r="M261" s="369"/>
      <c r="N261" s="319"/>
      <c r="O261" s="360"/>
      <c r="P261" s="361"/>
      <c r="Q261" s="362"/>
      <c r="R261" s="319"/>
      <c r="S261" s="360"/>
      <c r="T261" s="363"/>
    </row>
    <row r="262" spans="1:20">
      <c r="B262" s="531" t="s">
        <v>252</v>
      </c>
      <c r="C262" s="465" t="s">
        <v>203</v>
      </c>
      <c r="D262" s="510"/>
      <c r="E262" s="511"/>
      <c r="F262" s="511"/>
      <c r="G262" s="511"/>
      <c r="H262" s="512"/>
      <c r="I262" s="513">
        <f>SUM(I260:I261)</f>
        <v>0</v>
      </c>
      <c r="J262" s="514">
        <f>SUM(J260:J261)</f>
        <v>0</v>
      </c>
      <c r="K262" s="514">
        <f>SUM(K260:K261)</f>
        <v>0</v>
      </c>
      <c r="L262" s="514">
        <f>SUM(L260:L261)</f>
        <v>0</v>
      </c>
      <c r="M262" s="515">
        <f>SUM(M260:M261)</f>
        <v>0</v>
      </c>
      <c r="N262" s="319"/>
      <c r="O262" s="340">
        <f>SUM(D262:G262)</f>
        <v>0</v>
      </c>
      <c r="P262" s="341">
        <f>SUM(H262)</f>
        <v>0</v>
      </c>
      <c r="Q262" s="342">
        <f>SUM(D262:H262)</f>
        <v>0</v>
      </c>
      <c r="R262" s="319"/>
      <c r="S262" s="340">
        <f>SUM(I262:M262)</f>
        <v>0</v>
      </c>
      <c r="T262" s="155" t="str">
        <f>IF(Q262&lt;&gt;0,(S262-Q262)/Q262,"0")</f>
        <v>0</v>
      </c>
    </row>
    <row r="263" spans="1:20" ht="13.5" thickBot="1">
      <c r="B263" s="547" t="s">
        <v>339</v>
      </c>
      <c r="C263" s="532"/>
      <c r="D263" s="518">
        <f t="shared" ref="D263:M263" si="26">SUM(D250,D254,D258,D262)</f>
        <v>0</v>
      </c>
      <c r="E263" s="518">
        <f t="shared" si="26"/>
        <v>0</v>
      </c>
      <c r="F263" s="518">
        <f t="shared" si="26"/>
        <v>0</v>
      </c>
      <c r="G263" s="518">
        <f t="shared" si="26"/>
        <v>0</v>
      </c>
      <c r="H263" s="518">
        <f t="shared" si="26"/>
        <v>0</v>
      </c>
      <c r="I263" s="519">
        <f t="shared" si="26"/>
        <v>0</v>
      </c>
      <c r="J263" s="519">
        <f t="shared" si="26"/>
        <v>0</v>
      </c>
      <c r="K263" s="519">
        <f t="shared" si="26"/>
        <v>0</v>
      </c>
      <c r="L263" s="519">
        <f t="shared" si="26"/>
        <v>0</v>
      </c>
      <c r="M263" s="520">
        <f t="shared" si="26"/>
        <v>0</v>
      </c>
      <c r="N263" s="319"/>
      <c r="O263" s="375">
        <f>SUM(O250,O254,O258,O262)</f>
        <v>0</v>
      </c>
      <c r="P263" s="376">
        <f>SUM(P250,P254,P258,P262)</f>
        <v>0</v>
      </c>
      <c r="Q263" s="377">
        <f>SUM(Q250,Q254,Q258,Q262)</f>
        <v>0</v>
      </c>
      <c r="R263" s="319"/>
      <c r="S263" s="375">
        <f>SUM(S250,S254,S258,S262)</f>
        <v>0</v>
      </c>
      <c r="T263" s="174" t="str">
        <f>IF(Q263&lt;&gt;0,(S263-Q263)/Q263,"0")</f>
        <v>0</v>
      </c>
    </row>
    <row r="266" spans="1:20">
      <c r="D266" s="548">
        <f>SUM(D240:M240) - SUM(D263:M263)</f>
        <v>0</v>
      </c>
    </row>
    <row r="267" spans="1:20">
      <c r="A267" s="549"/>
      <c r="B267" s="550"/>
      <c r="C267" s="551"/>
      <c r="D267" s="421"/>
      <c r="E267" s="421"/>
      <c r="F267" s="421"/>
      <c r="G267" s="421"/>
      <c r="H267" s="421"/>
      <c r="I267" s="421"/>
      <c r="J267" s="421"/>
      <c r="K267" s="421"/>
      <c r="L267" s="421"/>
      <c r="M267" s="421"/>
      <c r="N267" s="421"/>
    </row>
  </sheetData>
  <mergeCells count="12">
    <mergeCell ref="B8:B9"/>
    <mergeCell ref="C8:C9"/>
    <mergeCell ref="B26:B27"/>
    <mergeCell ref="C26:C27"/>
    <mergeCell ref="B48:B49"/>
    <mergeCell ref="C48:C49"/>
    <mergeCell ref="B79:B80"/>
    <mergeCell ref="C79:C80"/>
    <mergeCell ref="B110:B111"/>
    <mergeCell ref="C110:C111"/>
    <mergeCell ref="B143:B144"/>
    <mergeCell ref="C143:C144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26"/>
  <sheetViews>
    <sheetView workbookViewId="0">
      <selection sqref="A1:XFD1048576"/>
    </sheetView>
  </sheetViews>
  <sheetFormatPr defaultRowHeight="12.75"/>
  <cols>
    <col min="1" max="1" width="9.42578125" style="562" customWidth="1"/>
    <col min="2" max="2" width="4.7109375" style="562" customWidth="1"/>
    <col min="3" max="3" width="39" style="562" customWidth="1"/>
    <col min="4" max="5" width="10.85546875" style="562" bestFit="1" customWidth="1"/>
    <col min="6" max="6" width="10.140625" style="562" bestFit="1" customWidth="1"/>
    <col min="7" max="7" width="11.28515625" style="562" customWidth="1"/>
    <col min="8" max="9" width="10.85546875" style="562" bestFit="1" customWidth="1"/>
    <col min="10" max="10" width="10.140625" style="562" bestFit="1" customWidth="1"/>
    <col min="11" max="11" width="9.85546875" style="562" bestFit="1" customWidth="1"/>
    <col min="12" max="13" width="11.42578125" style="562" bestFit="1" customWidth="1"/>
    <col min="14" max="36" width="15.42578125" style="562" customWidth="1"/>
    <col min="37" max="37" width="109.28515625" style="562" customWidth="1"/>
    <col min="38" max="16384" width="9.140625" style="562"/>
  </cols>
  <sheetData>
    <row r="1" spans="1:36" s="553" customFormat="1" ht="26.25">
      <c r="A1" s="552" t="s">
        <v>340</v>
      </c>
      <c r="D1" s="552"/>
      <c r="E1" s="554"/>
      <c r="F1" s="555"/>
      <c r="G1" s="555"/>
      <c r="I1" s="556"/>
      <c r="J1" s="556"/>
      <c r="L1" s="556"/>
    </row>
    <row r="2" spans="1:36" s="553" customFormat="1" ht="18">
      <c r="A2" s="557" t="s">
        <v>990</v>
      </c>
      <c r="E2" s="558"/>
    </row>
    <row r="3" spans="1:36" s="560" customFormat="1" ht="18.75" thickBot="1">
      <c r="A3" s="559" t="s">
        <v>341</v>
      </c>
      <c r="D3" s="559"/>
      <c r="E3" s="561"/>
    </row>
    <row r="5" spans="1:36">
      <c r="B5" s="563" t="s">
        <v>342</v>
      </c>
      <c r="C5" s="563"/>
    </row>
    <row r="6" spans="1:36" ht="13.5" thickBot="1">
      <c r="B6" s="563"/>
      <c r="C6" s="563"/>
    </row>
    <row r="7" spans="1:36">
      <c r="B7" s="563"/>
      <c r="C7" s="564"/>
      <c r="D7" s="565" t="s">
        <v>191</v>
      </c>
      <c r="E7" s="566"/>
      <c r="F7" s="566"/>
      <c r="G7" s="566"/>
      <c r="H7" s="567"/>
      <c r="I7" s="566" t="s">
        <v>192</v>
      </c>
      <c r="J7" s="568"/>
      <c r="K7" s="568"/>
      <c r="L7" s="568"/>
      <c r="M7" s="567"/>
      <c r="N7" s="569"/>
      <c r="O7" s="570" t="s">
        <v>191</v>
      </c>
      <c r="P7" s="571"/>
      <c r="Q7" s="572"/>
      <c r="S7" s="1522" t="s">
        <v>192</v>
      </c>
      <c r="T7" s="1523"/>
      <c r="U7" s="573"/>
      <c r="W7" s="573"/>
      <c r="X7" s="573"/>
      <c r="Y7" s="573"/>
      <c r="Z7" s="573"/>
      <c r="AA7" s="573"/>
      <c r="AB7" s="573"/>
      <c r="AC7" s="573"/>
      <c r="AD7" s="573"/>
      <c r="AE7" s="573"/>
      <c r="AF7" s="573"/>
      <c r="AG7" s="573"/>
      <c r="AH7" s="573"/>
      <c r="AI7" s="573"/>
      <c r="AJ7" s="573"/>
    </row>
    <row r="8" spans="1:36">
      <c r="C8" s="574"/>
      <c r="D8" s="575" t="s">
        <v>79</v>
      </c>
      <c r="E8" s="576" t="s">
        <v>80</v>
      </c>
      <c r="F8" s="576" t="s">
        <v>81</v>
      </c>
      <c r="G8" s="576" t="s">
        <v>82</v>
      </c>
      <c r="H8" s="577" t="s">
        <v>44</v>
      </c>
      <c r="I8" s="578" t="s">
        <v>193</v>
      </c>
      <c r="J8" s="576" t="s">
        <v>194</v>
      </c>
      <c r="K8" s="576" t="s">
        <v>195</v>
      </c>
      <c r="L8" s="576" t="s">
        <v>196</v>
      </c>
      <c r="M8" s="577" t="s">
        <v>197</v>
      </c>
      <c r="N8" s="569"/>
      <c r="O8" s="575" t="s">
        <v>198</v>
      </c>
      <c r="P8" s="576" t="s">
        <v>199</v>
      </c>
      <c r="Q8" s="577" t="s">
        <v>200</v>
      </c>
      <c r="S8" s="575" t="s">
        <v>199</v>
      </c>
      <c r="T8" s="577" t="s">
        <v>201</v>
      </c>
      <c r="U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579"/>
      <c r="AJ8" s="579"/>
    </row>
    <row r="9" spans="1:36">
      <c r="C9" s="580"/>
      <c r="D9" s="581" t="s">
        <v>343</v>
      </c>
      <c r="E9" s="582" t="s">
        <v>343</v>
      </c>
      <c r="F9" s="582" t="s">
        <v>343</v>
      </c>
      <c r="G9" s="582" t="s">
        <v>343</v>
      </c>
      <c r="H9" s="583" t="s">
        <v>343</v>
      </c>
      <c r="I9" s="584" t="s">
        <v>343</v>
      </c>
      <c r="J9" s="582" t="s">
        <v>343</v>
      </c>
      <c r="K9" s="582" t="s">
        <v>343</v>
      </c>
      <c r="L9" s="582" t="s">
        <v>343</v>
      </c>
      <c r="M9" s="583" t="s">
        <v>343</v>
      </c>
      <c r="N9" s="585"/>
      <c r="O9" s="581" t="s">
        <v>343</v>
      </c>
      <c r="P9" s="582" t="s">
        <v>343</v>
      </c>
      <c r="Q9" s="583" t="s">
        <v>343</v>
      </c>
      <c r="S9" s="581" t="s">
        <v>343</v>
      </c>
      <c r="T9" s="583" t="s">
        <v>343</v>
      </c>
      <c r="U9" s="586"/>
      <c r="W9" s="586"/>
      <c r="X9" s="586"/>
      <c r="Y9" s="586"/>
      <c r="Z9" s="586"/>
      <c r="AA9" s="586"/>
      <c r="AB9" s="586"/>
      <c r="AC9" s="586"/>
      <c r="AD9" s="586"/>
      <c r="AE9" s="586"/>
      <c r="AF9" s="586"/>
      <c r="AG9" s="586"/>
      <c r="AH9" s="586"/>
      <c r="AI9" s="586"/>
      <c r="AJ9" s="586"/>
    </row>
    <row r="10" spans="1:36">
      <c r="C10" s="587" t="s">
        <v>344</v>
      </c>
      <c r="D10" s="588"/>
      <c r="E10" s="589"/>
      <c r="F10" s="589"/>
      <c r="G10" s="589"/>
      <c r="H10" s="590"/>
      <c r="I10" s="589"/>
      <c r="J10" s="589"/>
      <c r="K10" s="589"/>
      <c r="L10" s="589"/>
      <c r="M10" s="590"/>
      <c r="N10" s="585"/>
      <c r="O10" s="588"/>
      <c r="P10" s="591"/>
      <c r="Q10" s="592"/>
      <c r="S10" s="588"/>
      <c r="T10" s="593"/>
      <c r="U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</row>
    <row r="11" spans="1:36">
      <c r="C11" s="595" t="s">
        <v>345</v>
      </c>
      <c r="D11" s="183">
        <v>0.59787787022900762</v>
      </c>
      <c r="E11" s="184">
        <v>1.4930413323059681</v>
      </c>
      <c r="F11" s="184">
        <v>1.2960606768848384</v>
      </c>
      <c r="G11" s="184">
        <v>1.4501552777777778</v>
      </c>
      <c r="H11" s="185">
        <v>0.7776191627692487</v>
      </c>
      <c r="I11" s="184">
        <v>0.95352027484310475</v>
      </c>
      <c r="J11" s="186">
        <v>0.93103337152803067</v>
      </c>
      <c r="K11" s="186">
        <v>0.92934109523010278</v>
      </c>
      <c r="L11" s="186">
        <v>0.92885146116891715</v>
      </c>
      <c r="M11" s="185">
        <v>0.93731354680290524</v>
      </c>
      <c r="N11" s="596"/>
      <c r="O11" s="597">
        <f t="shared" ref="O11:O16" si="0">SUM(D11:G11)</f>
        <v>4.8371351571975918</v>
      </c>
      <c r="P11" s="598">
        <f t="shared" ref="P11:P16" si="1">H11</f>
        <v>0.7776191627692487</v>
      </c>
      <c r="Q11" s="599">
        <f t="shared" ref="Q11:Q19" si="2">SUM(D11:H11)</f>
        <v>5.6147543199668402</v>
      </c>
      <c r="S11" s="597">
        <f t="shared" ref="S11:S16" si="3">SUM(I11:M11)</f>
        <v>4.6800597495730605</v>
      </c>
      <c r="T11" s="155">
        <f t="shared" ref="T11:T16" si="4">IF(Q11&lt;&gt;0,(S11-Q11)/Q11,"0")</f>
        <v>-0.16647114319318959</v>
      </c>
      <c r="U11" s="600"/>
      <c r="W11" s="600"/>
      <c r="X11" s="600"/>
      <c r="Y11" s="600"/>
      <c r="Z11" s="600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</row>
    <row r="12" spans="1:36">
      <c r="C12" s="595" t="s">
        <v>346</v>
      </c>
      <c r="D12" s="183">
        <v>4.1851450916030535</v>
      </c>
      <c r="E12" s="184">
        <v>5.2754127074810873</v>
      </c>
      <c r="F12" s="184">
        <v>3.8881820306545154</v>
      </c>
      <c r="G12" s="184">
        <v>3.2349617735042733</v>
      </c>
      <c r="H12" s="185">
        <v>3.6659189101978868</v>
      </c>
      <c r="I12" s="184">
        <v>4.3438145853963652</v>
      </c>
      <c r="J12" s="186">
        <v>4.2413742480721393</v>
      </c>
      <c r="K12" s="186">
        <v>4.2336649893815785</v>
      </c>
      <c r="L12" s="186">
        <v>4.2314344342139556</v>
      </c>
      <c r="M12" s="185">
        <v>4.269983935435457</v>
      </c>
      <c r="N12" s="596"/>
      <c r="O12" s="597">
        <f t="shared" si="0"/>
        <v>16.583701603242929</v>
      </c>
      <c r="P12" s="598">
        <f t="shared" si="1"/>
        <v>3.6659189101978868</v>
      </c>
      <c r="Q12" s="599">
        <f t="shared" si="2"/>
        <v>20.249620513440817</v>
      </c>
      <c r="S12" s="597">
        <f t="shared" si="3"/>
        <v>21.320272192499495</v>
      </c>
      <c r="T12" s="155">
        <f t="shared" si="4"/>
        <v>5.2872678692819232E-2</v>
      </c>
      <c r="U12" s="600"/>
      <c r="W12" s="600"/>
      <c r="X12" s="600"/>
      <c r="Y12" s="600"/>
      <c r="Z12" s="600"/>
      <c r="AA12" s="600"/>
      <c r="AB12" s="600"/>
      <c r="AC12" s="600"/>
      <c r="AD12" s="600"/>
      <c r="AE12" s="600"/>
      <c r="AF12" s="600"/>
      <c r="AG12" s="600"/>
      <c r="AH12" s="600"/>
      <c r="AI12" s="600"/>
      <c r="AJ12" s="600"/>
    </row>
    <row r="13" spans="1:36">
      <c r="C13" s="595" t="s">
        <v>347</v>
      </c>
      <c r="D13" s="183">
        <v>10.861447975826973</v>
      </c>
      <c r="E13" s="184">
        <v>6.6689179509666578</v>
      </c>
      <c r="F13" s="184">
        <v>3.1903032046396027</v>
      </c>
      <c r="G13" s="184">
        <v>0.22310081196581197</v>
      </c>
      <c r="H13" s="185">
        <v>3.4437420065495301</v>
      </c>
      <c r="I13" s="184">
        <v>18.328778616428572</v>
      </c>
      <c r="J13" s="186">
        <v>13.758604268136454</v>
      </c>
      <c r="K13" s="186">
        <v>15.07597776706611</v>
      </c>
      <c r="L13" s="186">
        <v>11.249423251934662</v>
      </c>
      <c r="M13" s="185">
        <v>12.289222058082537</v>
      </c>
      <c r="N13" s="596"/>
      <c r="O13" s="597">
        <f t="shared" si="0"/>
        <v>20.943769943399044</v>
      </c>
      <c r="P13" s="598">
        <f t="shared" si="1"/>
        <v>3.4437420065495301</v>
      </c>
      <c r="Q13" s="599">
        <f t="shared" si="2"/>
        <v>24.387511949948575</v>
      </c>
      <c r="S13" s="597">
        <f t="shared" si="3"/>
        <v>70.702005961648325</v>
      </c>
      <c r="T13" s="155">
        <f t="shared" si="4"/>
        <v>1.8991069735507566</v>
      </c>
      <c r="U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600"/>
    </row>
    <row r="14" spans="1:36">
      <c r="C14" s="595" t="s">
        <v>348</v>
      </c>
      <c r="D14" s="183">
        <v>9.0678143651399488</v>
      </c>
      <c r="E14" s="184">
        <v>12.242938924908939</v>
      </c>
      <c r="F14" s="184">
        <v>24.026971009942006</v>
      </c>
      <c r="G14" s="184">
        <v>14.724653589743589</v>
      </c>
      <c r="H14" s="185">
        <v>1.1108845182417841</v>
      </c>
      <c r="I14" s="184">
        <v>5.933015043468207</v>
      </c>
      <c r="J14" s="186">
        <v>16.241359925544533</v>
      </c>
      <c r="K14" s="186">
        <v>22.200926163830228</v>
      </c>
      <c r="L14" s="186">
        <v>25.491812323191386</v>
      </c>
      <c r="M14" s="185">
        <v>26.453071209770879</v>
      </c>
      <c r="N14" s="596"/>
      <c r="O14" s="597">
        <f t="shared" si="0"/>
        <v>60.062377889734485</v>
      </c>
      <c r="P14" s="598">
        <f t="shared" si="1"/>
        <v>1.1108845182417841</v>
      </c>
      <c r="Q14" s="599">
        <f t="shared" si="2"/>
        <v>61.173262407976267</v>
      </c>
      <c r="S14" s="597">
        <f t="shared" si="3"/>
        <v>96.320184665805229</v>
      </c>
      <c r="T14" s="155">
        <f t="shared" si="4"/>
        <v>0.57454712850570844</v>
      </c>
      <c r="U14" s="600"/>
      <c r="W14" s="600" t="s">
        <v>47</v>
      </c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J14" s="600"/>
    </row>
    <row r="15" spans="1:36" ht="25.5">
      <c r="C15" s="601" t="s">
        <v>991</v>
      </c>
      <c r="D15" s="260"/>
      <c r="E15" s="261"/>
      <c r="F15" s="261"/>
      <c r="G15" s="184">
        <v>0</v>
      </c>
      <c r="H15" s="185">
        <v>0</v>
      </c>
      <c r="I15" s="184">
        <v>0</v>
      </c>
      <c r="J15" s="186">
        <v>0</v>
      </c>
      <c r="K15" s="186">
        <v>0</v>
      </c>
      <c r="L15" s="186">
        <v>0</v>
      </c>
      <c r="M15" s="185">
        <v>0</v>
      </c>
      <c r="N15" s="602"/>
      <c r="O15" s="597">
        <f t="shared" si="0"/>
        <v>0</v>
      </c>
      <c r="P15" s="598">
        <f t="shared" si="1"/>
        <v>0</v>
      </c>
      <c r="Q15" s="599">
        <f>SUM(D15:H15)</f>
        <v>0</v>
      </c>
      <c r="S15" s="597">
        <f t="shared" si="3"/>
        <v>0</v>
      </c>
      <c r="T15" s="155" t="str">
        <f t="shared" si="4"/>
        <v>0</v>
      </c>
      <c r="U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600"/>
    </row>
    <row r="16" spans="1:36">
      <c r="C16" s="601" t="s">
        <v>200</v>
      </c>
      <c r="D16" s="161">
        <v>24.712285302798982</v>
      </c>
      <c r="E16" s="164">
        <v>25.680310915662652</v>
      </c>
      <c r="F16" s="164">
        <v>32.401516922120962</v>
      </c>
      <c r="G16" s="164">
        <v>19.632871452991452</v>
      </c>
      <c r="H16" s="163">
        <v>8.9981645977584499</v>
      </c>
      <c r="I16" s="164">
        <v>29.559128520136248</v>
      </c>
      <c r="J16" s="162">
        <v>35.17237181328116</v>
      </c>
      <c r="K16" s="162">
        <v>42.439910015508019</v>
      </c>
      <c r="L16" s="162">
        <v>41.901521470508925</v>
      </c>
      <c r="M16" s="163">
        <v>43.949590750091772</v>
      </c>
      <c r="N16" s="603"/>
      <c r="O16" s="161">
        <f t="shared" si="0"/>
        <v>102.42698459357405</v>
      </c>
      <c r="P16" s="162">
        <f t="shared" si="1"/>
        <v>8.9981645977584499</v>
      </c>
      <c r="Q16" s="163">
        <f t="shared" si="2"/>
        <v>111.42514919133249</v>
      </c>
      <c r="S16" s="161">
        <f t="shared" si="3"/>
        <v>193.02252256952613</v>
      </c>
      <c r="T16" s="604">
        <f t="shared" si="4"/>
        <v>0.73230661094363525</v>
      </c>
      <c r="U16" s="605"/>
      <c r="W16" s="605"/>
      <c r="X16" s="605"/>
      <c r="Y16" s="605"/>
      <c r="Z16" s="605"/>
      <c r="AA16" s="605"/>
      <c r="AB16" s="605"/>
      <c r="AC16" s="605"/>
      <c r="AD16" s="605"/>
      <c r="AE16" s="605"/>
      <c r="AF16" s="605"/>
      <c r="AG16" s="605"/>
      <c r="AH16" s="605"/>
      <c r="AI16" s="605"/>
      <c r="AJ16" s="605"/>
    </row>
    <row r="17" spans="1:36">
      <c r="C17" s="601"/>
      <c r="D17" s="606"/>
      <c r="E17" s="607"/>
      <c r="F17" s="607"/>
      <c r="G17" s="607"/>
      <c r="H17" s="608"/>
      <c r="I17" s="607"/>
      <c r="J17" s="607"/>
      <c r="K17" s="607"/>
      <c r="L17" s="607"/>
      <c r="M17" s="608"/>
      <c r="N17" s="596"/>
      <c r="O17" s="609"/>
      <c r="P17" s="610"/>
      <c r="Q17" s="611"/>
      <c r="S17" s="609"/>
      <c r="T17" s="612"/>
      <c r="U17" s="600"/>
      <c r="W17" s="600"/>
      <c r="X17" s="600"/>
      <c r="Y17" s="600"/>
      <c r="Z17" s="600"/>
      <c r="AA17" s="600"/>
      <c r="AB17" s="600"/>
      <c r="AC17" s="600"/>
      <c r="AD17" s="600"/>
      <c r="AE17" s="600"/>
      <c r="AF17" s="600"/>
      <c r="AG17" s="600"/>
      <c r="AH17" s="600"/>
      <c r="AI17" s="600"/>
      <c r="AJ17" s="600"/>
    </row>
    <row r="18" spans="1:36">
      <c r="C18" s="601" t="s">
        <v>255</v>
      </c>
      <c r="D18" s="260"/>
      <c r="E18" s="261"/>
      <c r="F18" s="261"/>
      <c r="G18" s="184">
        <v>0</v>
      </c>
      <c r="H18" s="185">
        <v>0</v>
      </c>
      <c r="I18" s="184">
        <v>0</v>
      </c>
      <c r="J18" s="186">
        <v>0</v>
      </c>
      <c r="K18" s="186">
        <v>0</v>
      </c>
      <c r="L18" s="186">
        <v>0</v>
      </c>
      <c r="M18" s="185">
        <v>0</v>
      </c>
      <c r="N18" s="602"/>
      <c r="O18" s="597">
        <f>SUM(D18:G18)</f>
        <v>0</v>
      </c>
      <c r="P18" s="598">
        <f>H18</f>
        <v>0</v>
      </c>
      <c r="Q18" s="599">
        <f t="shared" si="2"/>
        <v>0</v>
      </c>
      <c r="S18" s="597">
        <f>SUM(I18:M18)</f>
        <v>0</v>
      </c>
      <c r="T18" s="155" t="str">
        <f>IF(Q18&lt;&gt;0,(S18-Q18)/Q18,"0")</f>
        <v>0</v>
      </c>
      <c r="U18" s="600"/>
      <c r="W18" s="600"/>
      <c r="X18" s="600"/>
      <c r="Y18" s="600"/>
      <c r="Z18" s="600"/>
      <c r="AA18" s="600"/>
      <c r="AB18" s="600"/>
      <c r="AC18" s="600"/>
      <c r="AD18" s="600"/>
      <c r="AE18" s="600"/>
      <c r="AF18" s="600"/>
      <c r="AG18" s="600"/>
      <c r="AH18" s="600"/>
      <c r="AI18" s="600"/>
      <c r="AJ18" s="600"/>
    </row>
    <row r="19" spans="1:36" ht="13.5" thickBot="1">
      <c r="C19" s="613" t="s">
        <v>256</v>
      </c>
      <c r="D19" s="265"/>
      <c r="E19" s="266"/>
      <c r="F19" s="266"/>
      <c r="G19" s="267">
        <v>0</v>
      </c>
      <c r="H19" s="268">
        <v>0</v>
      </c>
      <c r="I19" s="267">
        <v>0</v>
      </c>
      <c r="J19" s="269">
        <v>0</v>
      </c>
      <c r="K19" s="269">
        <v>0</v>
      </c>
      <c r="L19" s="269">
        <v>0</v>
      </c>
      <c r="M19" s="268">
        <v>0</v>
      </c>
      <c r="N19" s="602"/>
      <c r="O19" s="614">
        <f>SUM(D19:G19)</f>
        <v>0</v>
      </c>
      <c r="P19" s="615">
        <f>H19</f>
        <v>0</v>
      </c>
      <c r="Q19" s="616">
        <f t="shared" si="2"/>
        <v>0</v>
      </c>
      <c r="S19" s="614">
        <f>SUM(I19:M19)</f>
        <v>0</v>
      </c>
      <c r="T19" s="174" t="str">
        <f>IF(Q19&lt;&gt;0,(S19-Q19)/Q19,"0")</f>
        <v>0</v>
      </c>
      <c r="U19" s="600"/>
      <c r="W19" s="600"/>
      <c r="X19" s="600"/>
      <c r="Y19" s="600"/>
      <c r="Z19" s="600"/>
      <c r="AA19" s="600"/>
      <c r="AB19" s="600"/>
      <c r="AC19" s="600"/>
      <c r="AD19" s="600"/>
      <c r="AE19" s="600"/>
      <c r="AF19" s="600"/>
      <c r="AG19" s="600"/>
      <c r="AH19" s="600"/>
      <c r="AI19" s="600"/>
      <c r="AJ19" s="600"/>
    </row>
    <row r="20" spans="1:36">
      <c r="U20" s="617"/>
    </row>
    <row r="21" spans="1:36" s="618" customFormat="1"/>
    <row r="22" spans="1:36" s="618" customFormat="1">
      <c r="B22" s="563" t="s">
        <v>349</v>
      </c>
    </row>
    <row r="23" spans="1:36" s="618" customFormat="1" ht="13.5" thickBot="1">
      <c r="A23" s="563"/>
      <c r="B23" s="563"/>
    </row>
    <row r="24" spans="1:36" s="618" customFormat="1" ht="27" customHeight="1">
      <c r="A24" s="563"/>
      <c r="B24" s="563"/>
      <c r="C24" s="1524" t="s">
        <v>350</v>
      </c>
      <c r="D24" s="565" t="s">
        <v>351</v>
      </c>
      <c r="E24" s="566"/>
      <c r="F24" s="566"/>
      <c r="G24" s="619"/>
      <c r="H24" s="565" t="s">
        <v>352</v>
      </c>
      <c r="I24" s="566"/>
      <c r="J24" s="566"/>
      <c r="K24" s="619"/>
      <c r="L24" s="620" t="s">
        <v>351</v>
      </c>
      <c r="M24" s="621" t="s">
        <v>352</v>
      </c>
    </row>
    <row r="25" spans="1:36" s="618" customFormat="1">
      <c r="A25" s="563"/>
      <c r="B25" s="563"/>
      <c r="C25" s="1525"/>
      <c r="D25" s="622" t="s">
        <v>353</v>
      </c>
      <c r="E25" s="623" t="s">
        <v>354</v>
      </c>
      <c r="F25" s="623" t="s">
        <v>355</v>
      </c>
      <c r="G25" s="624" t="s">
        <v>356</v>
      </c>
      <c r="H25" s="622" t="s">
        <v>353</v>
      </c>
      <c r="I25" s="623" t="s">
        <v>354</v>
      </c>
      <c r="J25" s="623" t="s">
        <v>355</v>
      </c>
      <c r="K25" s="624" t="s">
        <v>356</v>
      </c>
      <c r="L25" s="625" t="s">
        <v>200</v>
      </c>
      <c r="M25" s="624" t="s">
        <v>200</v>
      </c>
    </row>
    <row r="26" spans="1:36" s="618" customFormat="1" ht="18" customHeight="1">
      <c r="A26" s="563"/>
      <c r="B26" s="563"/>
      <c r="C26" s="626" t="s">
        <v>357</v>
      </c>
      <c r="D26" s="627"/>
      <c r="E26" s="628"/>
      <c r="F26" s="628"/>
      <c r="G26" s="629"/>
      <c r="H26" s="627"/>
      <c r="I26" s="628"/>
      <c r="J26" s="628"/>
      <c r="K26" s="629"/>
      <c r="L26" s="630">
        <f>SUM(D26:G26)</f>
        <v>0</v>
      </c>
      <c r="M26" s="631">
        <f>SUM(H26:K26)</f>
        <v>0</v>
      </c>
    </row>
    <row r="27" spans="1:36" s="618" customFormat="1" ht="18" customHeight="1">
      <c r="A27" s="563"/>
      <c r="B27" s="563"/>
      <c r="C27" s="632" t="s">
        <v>358</v>
      </c>
      <c r="D27" s="627"/>
      <c r="E27" s="628"/>
      <c r="F27" s="628"/>
      <c r="G27" s="629"/>
      <c r="H27" s="627"/>
      <c r="I27" s="628"/>
      <c r="J27" s="628"/>
      <c r="K27" s="629"/>
      <c r="L27" s="630">
        <f>SUM(D27:G27)</f>
        <v>0</v>
      </c>
      <c r="M27" s="631">
        <f>SUM(H27:K27)</f>
        <v>0</v>
      </c>
    </row>
    <row r="28" spans="1:36" s="618" customFormat="1" ht="18" customHeight="1">
      <c r="A28" s="563"/>
      <c r="B28" s="563"/>
      <c r="C28" s="632" t="s">
        <v>359</v>
      </c>
      <c r="D28" s="627"/>
      <c r="E28" s="628"/>
      <c r="F28" s="628"/>
      <c r="G28" s="629"/>
      <c r="H28" s="627"/>
      <c r="I28" s="628"/>
      <c r="J28" s="628"/>
      <c r="K28" s="629"/>
      <c r="L28" s="630">
        <f>SUM(D28:G28)</f>
        <v>0</v>
      </c>
      <c r="M28" s="631">
        <f>SUM(H28:K28)</f>
        <v>0</v>
      </c>
    </row>
    <row r="29" spans="1:36" s="618" customFormat="1" ht="26.25" thickBot="1">
      <c r="A29" s="563"/>
      <c r="B29" s="563"/>
      <c r="C29" s="633" t="s">
        <v>360</v>
      </c>
      <c r="D29" s="634" t="str">
        <f>IF(D27,D27/D28,"-")</f>
        <v>-</v>
      </c>
      <c r="E29" s="635" t="str">
        <f t="shared" ref="E29:M29" si="5">IF(E27,E27/E28,"-")</f>
        <v>-</v>
      </c>
      <c r="F29" s="635" t="str">
        <f t="shared" si="5"/>
        <v>-</v>
      </c>
      <c r="G29" s="636" t="str">
        <f t="shared" si="5"/>
        <v>-</v>
      </c>
      <c r="H29" s="634" t="str">
        <f t="shared" si="5"/>
        <v>-</v>
      </c>
      <c r="I29" s="635" t="str">
        <f t="shared" si="5"/>
        <v>-</v>
      </c>
      <c r="J29" s="635" t="str">
        <f t="shared" si="5"/>
        <v>-</v>
      </c>
      <c r="K29" s="636" t="str">
        <f t="shared" si="5"/>
        <v>-</v>
      </c>
      <c r="L29" s="637" t="str">
        <f t="shared" si="5"/>
        <v>-</v>
      </c>
      <c r="M29" s="638" t="str">
        <f t="shared" si="5"/>
        <v>-</v>
      </c>
    </row>
    <row r="30" spans="1:36" s="618" customFormat="1">
      <c r="A30" s="563"/>
      <c r="B30" s="563"/>
      <c r="C30" s="639"/>
      <c r="D30" s="640"/>
      <c r="E30" s="640"/>
      <c r="F30" s="640"/>
      <c r="G30" s="640"/>
    </row>
    <row r="31" spans="1:36" s="618" customFormat="1" ht="13.5" thickBot="1">
      <c r="A31" s="563"/>
      <c r="B31" s="563"/>
      <c r="C31" s="639"/>
      <c r="D31" s="640"/>
      <c r="E31" s="640"/>
      <c r="F31" s="640"/>
      <c r="G31" s="640"/>
    </row>
    <row r="32" spans="1:36" s="618" customFormat="1" ht="30" customHeight="1">
      <c r="A32" s="563"/>
      <c r="B32" s="563"/>
      <c r="C32" s="1526" t="s">
        <v>361</v>
      </c>
      <c r="D32" s="565" t="s">
        <v>351</v>
      </c>
      <c r="E32" s="566"/>
      <c r="F32" s="566"/>
      <c r="G32" s="619"/>
      <c r="H32" s="565" t="s">
        <v>352</v>
      </c>
      <c r="I32" s="566"/>
      <c r="J32" s="566"/>
      <c r="K32" s="619"/>
      <c r="L32" s="620" t="s">
        <v>351</v>
      </c>
      <c r="M32" s="621" t="s">
        <v>352</v>
      </c>
    </row>
    <row r="33" spans="1:37" s="618" customFormat="1">
      <c r="A33" s="563"/>
      <c r="B33" s="563"/>
      <c r="C33" s="1527"/>
      <c r="D33" s="622" t="s">
        <v>353</v>
      </c>
      <c r="E33" s="623" t="s">
        <v>354</v>
      </c>
      <c r="F33" s="623" t="s">
        <v>355</v>
      </c>
      <c r="G33" s="624" t="s">
        <v>356</v>
      </c>
      <c r="H33" s="622" t="s">
        <v>353</v>
      </c>
      <c r="I33" s="623" t="s">
        <v>354</v>
      </c>
      <c r="J33" s="623" t="s">
        <v>355</v>
      </c>
      <c r="K33" s="624" t="s">
        <v>356</v>
      </c>
      <c r="L33" s="625" t="s">
        <v>200</v>
      </c>
      <c r="M33" s="624" t="s">
        <v>200</v>
      </c>
    </row>
    <row r="34" spans="1:37" s="618" customFormat="1" ht="25.5">
      <c r="A34" s="563"/>
      <c r="B34" s="563"/>
      <c r="C34" s="641" t="s">
        <v>362</v>
      </c>
      <c r="D34" s="627"/>
      <c r="E34" s="628"/>
      <c r="F34" s="628"/>
      <c r="G34" s="629"/>
      <c r="H34" s="627"/>
      <c r="I34" s="628"/>
      <c r="J34" s="628"/>
      <c r="K34" s="629"/>
      <c r="L34" s="630">
        <f t="shared" ref="L34:L39" si="6">SUM(D34:G34)</f>
        <v>0</v>
      </c>
      <c r="M34" s="631">
        <f t="shared" ref="M34:M39" si="7">SUM(H34:K34)</f>
        <v>0</v>
      </c>
    </row>
    <row r="35" spans="1:37" s="618" customFormat="1" ht="25.5">
      <c r="A35" s="563"/>
      <c r="B35" s="563"/>
      <c r="C35" s="641" t="s">
        <v>363</v>
      </c>
      <c r="D35" s="627"/>
      <c r="E35" s="628"/>
      <c r="F35" s="628"/>
      <c r="G35" s="629"/>
      <c r="H35" s="627"/>
      <c r="I35" s="628"/>
      <c r="J35" s="628"/>
      <c r="K35" s="629"/>
      <c r="L35" s="630">
        <f t="shared" si="6"/>
        <v>0</v>
      </c>
      <c r="M35" s="631">
        <f t="shared" si="7"/>
        <v>0</v>
      </c>
    </row>
    <row r="36" spans="1:37" s="618" customFormat="1" ht="25.5">
      <c r="A36" s="563"/>
      <c r="B36" s="563"/>
      <c r="C36" s="641" t="s">
        <v>364</v>
      </c>
      <c r="D36" s="627"/>
      <c r="E36" s="628"/>
      <c r="F36" s="628"/>
      <c r="G36" s="629"/>
      <c r="H36" s="627"/>
      <c r="I36" s="628"/>
      <c r="J36" s="628"/>
      <c r="K36" s="629"/>
      <c r="L36" s="630">
        <f t="shared" si="6"/>
        <v>0</v>
      </c>
      <c r="M36" s="631">
        <f t="shared" si="7"/>
        <v>0</v>
      </c>
    </row>
    <row r="37" spans="1:37" s="618" customFormat="1" ht="38.25">
      <c r="A37" s="563"/>
      <c r="B37" s="563"/>
      <c r="C37" s="641" t="s">
        <v>365</v>
      </c>
      <c r="D37" s="642" t="str">
        <f>IF(D35,D35/D36,"-")</f>
        <v>-</v>
      </c>
      <c r="E37" s="643" t="str">
        <f t="shared" ref="E37:M37" si="8">IF(E35,E35/E36,"-")</f>
        <v>-</v>
      </c>
      <c r="F37" s="643" t="str">
        <f t="shared" si="8"/>
        <v>-</v>
      </c>
      <c r="G37" s="644" t="str">
        <f t="shared" si="8"/>
        <v>-</v>
      </c>
      <c r="H37" s="642" t="str">
        <f t="shared" si="8"/>
        <v>-</v>
      </c>
      <c r="I37" s="643" t="str">
        <f t="shared" si="8"/>
        <v>-</v>
      </c>
      <c r="J37" s="643" t="str">
        <f t="shared" si="8"/>
        <v>-</v>
      </c>
      <c r="K37" s="644" t="str">
        <f t="shared" si="8"/>
        <v>-</v>
      </c>
      <c r="L37" s="645" t="str">
        <f t="shared" si="8"/>
        <v>-</v>
      </c>
      <c r="M37" s="646" t="str">
        <f t="shared" si="8"/>
        <v>-</v>
      </c>
    </row>
    <row r="38" spans="1:37" s="618" customFormat="1" ht="25.5">
      <c r="A38" s="563"/>
      <c r="B38" s="563"/>
      <c r="C38" s="641" t="s">
        <v>366</v>
      </c>
      <c r="D38" s="627"/>
      <c r="E38" s="628"/>
      <c r="F38" s="628"/>
      <c r="G38" s="629"/>
      <c r="H38" s="627"/>
      <c r="I38" s="628"/>
      <c r="J38" s="628"/>
      <c r="K38" s="629"/>
      <c r="L38" s="630">
        <f t="shared" si="6"/>
        <v>0</v>
      </c>
      <c r="M38" s="631">
        <f t="shared" si="7"/>
        <v>0</v>
      </c>
    </row>
    <row r="39" spans="1:37" s="618" customFormat="1" ht="26.25" thickBot="1">
      <c r="A39" s="563"/>
      <c r="B39" s="563"/>
      <c r="C39" s="647" t="s">
        <v>367</v>
      </c>
      <c r="D39" s="648"/>
      <c r="E39" s="649"/>
      <c r="F39" s="649"/>
      <c r="G39" s="650"/>
      <c r="H39" s="648"/>
      <c r="I39" s="649"/>
      <c r="J39" s="649"/>
      <c r="K39" s="650"/>
      <c r="L39" s="651">
        <f t="shared" si="6"/>
        <v>0</v>
      </c>
      <c r="M39" s="652">
        <f t="shared" si="7"/>
        <v>0</v>
      </c>
    </row>
    <row r="41" spans="1:37">
      <c r="B41" s="563" t="s">
        <v>368</v>
      </c>
    </row>
    <row r="42" spans="1:37" ht="13.5" thickBot="1"/>
    <row r="43" spans="1:37" ht="13.5" thickBot="1">
      <c r="B43" s="653"/>
      <c r="C43" s="1528" t="s">
        <v>369</v>
      </c>
      <c r="D43" s="1529"/>
      <c r="E43" s="1529"/>
      <c r="F43" s="1529"/>
      <c r="G43" s="1529"/>
      <c r="H43" s="1529"/>
      <c r="I43" s="1529"/>
      <c r="J43" s="1529"/>
      <c r="K43" s="1530"/>
      <c r="L43" s="1522" t="s">
        <v>370</v>
      </c>
      <c r="M43" s="1531"/>
      <c r="N43" s="1531"/>
      <c r="O43" s="1531"/>
      <c r="P43" s="1532"/>
      <c r="Q43" s="1522" t="s">
        <v>371</v>
      </c>
      <c r="R43" s="1531"/>
      <c r="S43" s="1531"/>
      <c r="T43" s="1531"/>
      <c r="U43" s="1532"/>
      <c r="V43" s="1515" t="s">
        <v>372</v>
      </c>
      <c r="W43" s="1516"/>
      <c r="X43" s="1516"/>
      <c r="Y43" s="1516"/>
      <c r="Z43" s="1516"/>
      <c r="AA43" s="1516"/>
      <c r="AB43" s="1516"/>
      <c r="AC43" s="1516"/>
      <c r="AD43" s="1516"/>
      <c r="AE43" s="1516"/>
      <c r="AF43" s="1516"/>
      <c r="AG43" s="1516"/>
      <c r="AH43" s="1516"/>
      <c r="AI43" s="1517"/>
      <c r="AJ43" s="1518" t="s">
        <v>373</v>
      </c>
      <c r="AK43" s="654" t="s">
        <v>374</v>
      </c>
    </row>
    <row r="44" spans="1:37" ht="78.75" customHeight="1">
      <c r="B44" s="655"/>
      <c r="C44" s="656" t="s">
        <v>375</v>
      </c>
      <c r="D44" s="657" t="s">
        <v>376</v>
      </c>
      <c r="E44" s="657" t="s">
        <v>377</v>
      </c>
      <c r="F44" s="657" t="s">
        <v>378</v>
      </c>
      <c r="G44" s="657" t="s">
        <v>379</v>
      </c>
      <c r="H44" s="657" t="s">
        <v>992</v>
      </c>
      <c r="I44" s="657" t="s">
        <v>380</v>
      </c>
      <c r="J44" s="657" t="s">
        <v>381</v>
      </c>
      <c r="K44" s="658" t="s">
        <v>382</v>
      </c>
      <c r="L44" s="578" t="s">
        <v>79</v>
      </c>
      <c r="M44" s="576" t="s">
        <v>80</v>
      </c>
      <c r="N44" s="576" t="s">
        <v>81</v>
      </c>
      <c r="O44" s="576" t="s">
        <v>82</v>
      </c>
      <c r="P44" s="577" t="s">
        <v>44</v>
      </c>
      <c r="Q44" s="575" t="s">
        <v>193</v>
      </c>
      <c r="R44" s="576" t="s">
        <v>194</v>
      </c>
      <c r="S44" s="576" t="s">
        <v>195</v>
      </c>
      <c r="T44" s="576" t="s">
        <v>196</v>
      </c>
      <c r="U44" s="577" t="s">
        <v>197</v>
      </c>
      <c r="V44" s="1520" t="s">
        <v>383</v>
      </c>
      <c r="W44" s="1521"/>
      <c r="X44" s="1521"/>
      <c r="Y44" s="1521"/>
      <c r="Z44" s="1521"/>
      <c r="AA44" s="1521"/>
      <c r="AB44" s="1521"/>
      <c r="AC44" s="1521"/>
      <c r="AD44" s="1521"/>
      <c r="AE44" s="1521"/>
      <c r="AF44" s="659" t="s">
        <v>384</v>
      </c>
      <c r="AG44" s="659" t="s">
        <v>385</v>
      </c>
      <c r="AH44" s="659" t="s">
        <v>386</v>
      </c>
      <c r="AI44" s="659" t="s">
        <v>387</v>
      </c>
      <c r="AJ44" s="1519"/>
      <c r="AK44" s="660" t="s">
        <v>388</v>
      </c>
    </row>
    <row r="45" spans="1:37" ht="13.5" thickBot="1">
      <c r="B45" s="661"/>
      <c r="C45" s="662" t="s">
        <v>389</v>
      </c>
      <c r="D45" s="663" t="s">
        <v>390</v>
      </c>
      <c r="E45" s="663" t="s">
        <v>390</v>
      </c>
      <c r="F45" s="664" t="s">
        <v>391</v>
      </c>
      <c r="G45" s="665" t="s">
        <v>392</v>
      </c>
      <c r="H45" s="665" t="s">
        <v>392</v>
      </c>
      <c r="I45" s="664" t="s">
        <v>393</v>
      </c>
      <c r="J45" s="664" t="s">
        <v>343</v>
      </c>
      <c r="K45" s="666" t="s">
        <v>343</v>
      </c>
      <c r="L45" s="584" t="s">
        <v>343</v>
      </c>
      <c r="M45" s="582" t="s">
        <v>343</v>
      </c>
      <c r="N45" s="582" t="s">
        <v>343</v>
      </c>
      <c r="O45" s="582" t="s">
        <v>343</v>
      </c>
      <c r="P45" s="583" t="s">
        <v>343</v>
      </c>
      <c r="Q45" s="581" t="s">
        <v>343</v>
      </c>
      <c r="R45" s="582" t="s">
        <v>343</v>
      </c>
      <c r="S45" s="582" t="s">
        <v>343</v>
      </c>
      <c r="T45" s="582" t="s">
        <v>343</v>
      </c>
      <c r="U45" s="583" t="s">
        <v>343</v>
      </c>
      <c r="V45" s="667" t="s">
        <v>79</v>
      </c>
      <c r="W45" s="668" t="s">
        <v>80</v>
      </c>
      <c r="X45" s="668" t="s">
        <v>81</v>
      </c>
      <c r="Y45" s="668" t="s">
        <v>82</v>
      </c>
      <c r="Z45" s="668" t="s">
        <v>44</v>
      </c>
      <c r="AA45" s="668" t="s">
        <v>193</v>
      </c>
      <c r="AB45" s="668" t="s">
        <v>194</v>
      </c>
      <c r="AC45" s="668" t="s">
        <v>195</v>
      </c>
      <c r="AD45" s="668" t="s">
        <v>196</v>
      </c>
      <c r="AE45" s="669" t="s">
        <v>197</v>
      </c>
      <c r="AF45" s="670" t="s">
        <v>393</v>
      </c>
      <c r="AG45" s="671" t="s">
        <v>393</v>
      </c>
      <c r="AH45" s="671" t="s">
        <v>393</v>
      </c>
      <c r="AI45" s="671" t="s">
        <v>394</v>
      </c>
      <c r="AJ45" s="672" t="s">
        <v>395</v>
      </c>
      <c r="AK45" s="673" t="s">
        <v>396</v>
      </c>
    </row>
    <row r="46" spans="1:37" s="674" customFormat="1">
      <c r="B46" s="675">
        <v>1</v>
      </c>
      <c r="C46" s="676" t="s">
        <v>993</v>
      </c>
      <c r="D46" s="676" t="s">
        <v>994</v>
      </c>
      <c r="E46" s="676" t="s">
        <v>994</v>
      </c>
      <c r="F46" s="676" t="s">
        <v>995</v>
      </c>
      <c r="G46" s="677">
        <v>2011</v>
      </c>
      <c r="H46" s="677"/>
      <c r="I46" s="677">
        <v>14</v>
      </c>
      <c r="J46" s="678">
        <v>2.0670827408423702</v>
      </c>
      <c r="K46" s="679">
        <v>2.0670827408423702</v>
      </c>
      <c r="L46" s="678">
        <v>0</v>
      </c>
      <c r="M46" s="680">
        <v>0</v>
      </c>
      <c r="N46" s="680">
        <v>0</v>
      </c>
      <c r="O46" s="680">
        <v>0</v>
      </c>
      <c r="P46" s="681">
        <v>0</v>
      </c>
      <c r="Q46" s="680">
        <v>0</v>
      </c>
      <c r="R46" s="682">
        <v>1.034481523920034</v>
      </c>
      <c r="S46" s="682">
        <v>1.0326012169223362</v>
      </c>
      <c r="T46" s="682">
        <v>0</v>
      </c>
      <c r="U46" s="681">
        <v>0</v>
      </c>
      <c r="V46" s="683"/>
      <c r="W46" s="684"/>
      <c r="X46" s="684"/>
      <c r="Y46" s="684"/>
      <c r="Z46" s="685"/>
      <c r="AA46" s="683"/>
      <c r="AB46" s="684"/>
      <c r="AC46" s="684"/>
      <c r="AD46" s="684"/>
      <c r="AE46" s="685"/>
      <c r="AF46" s="680"/>
      <c r="AG46" s="682"/>
      <c r="AH46" s="682"/>
      <c r="AI46" s="686"/>
      <c r="AJ46" s="687"/>
      <c r="AK46" s="688" t="s">
        <v>996</v>
      </c>
    </row>
    <row r="47" spans="1:37" s="674" customFormat="1">
      <c r="B47" s="689">
        <v>2</v>
      </c>
      <c r="C47" s="676" t="s">
        <v>997</v>
      </c>
      <c r="D47" s="676" t="s">
        <v>401</v>
      </c>
      <c r="E47" s="676" t="s">
        <v>401</v>
      </c>
      <c r="F47" s="676" t="s">
        <v>998</v>
      </c>
      <c r="G47" s="677">
        <v>2013</v>
      </c>
      <c r="H47" s="677"/>
      <c r="I47" s="677">
        <v>80</v>
      </c>
      <c r="J47" s="678">
        <v>4.9811411799437408</v>
      </c>
      <c r="K47" s="679">
        <v>4.9811411799437408</v>
      </c>
      <c r="L47" s="678">
        <v>0</v>
      </c>
      <c r="M47" s="680">
        <v>0</v>
      </c>
      <c r="N47" s="680">
        <v>0</v>
      </c>
      <c r="O47" s="680">
        <v>0</v>
      </c>
      <c r="P47" s="681">
        <v>0</v>
      </c>
      <c r="Q47" s="680">
        <v>0</v>
      </c>
      <c r="R47" s="682">
        <v>0</v>
      </c>
      <c r="S47" s="682">
        <v>0</v>
      </c>
      <c r="T47" s="682">
        <v>1.9609086402454914</v>
      </c>
      <c r="U47" s="681">
        <v>3.0202325396982497</v>
      </c>
      <c r="V47" s="678"/>
      <c r="W47" s="682"/>
      <c r="X47" s="682"/>
      <c r="Y47" s="682"/>
      <c r="Z47" s="681"/>
      <c r="AA47" s="678"/>
      <c r="AB47" s="682"/>
      <c r="AC47" s="682"/>
      <c r="AD47" s="682"/>
      <c r="AE47" s="681"/>
      <c r="AF47" s="680"/>
      <c r="AG47" s="682"/>
      <c r="AH47" s="682"/>
      <c r="AI47" s="686"/>
      <c r="AJ47" s="687"/>
      <c r="AK47" s="688" t="s">
        <v>999</v>
      </c>
    </row>
    <row r="48" spans="1:37" s="674" customFormat="1">
      <c r="B48" s="689">
        <v>3</v>
      </c>
      <c r="C48" s="676" t="s">
        <v>1000</v>
      </c>
      <c r="D48" s="676" t="s">
        <v>401</v>
      </c>
      <c r="E48" s="676" t="s">
        <v>401</v>
      </c>
      <c r="F48" s="676" t="s">
        <v>995</v>
      </c>
      <c r="G48" s="677">
        <v>2010</v>
      </c>
      <c r="H48" s="677"/>
      <c r="I48" s="677">
        <v>39</v>
      </c>
      <c r="J48" s="678">
        <v>1.034481523920034</v>
      </c>
      <c r="K48" s="679">
        <v>1.034481523920034</v>
      </c>
      <c r="L48" s="678">
        <v>0</v>
      </c>
      <c r="M48" s="680">
        <v>0</v>
      </c>
      <c r="N48" s="680">
        <v>0</v>
      </c>
      <c r="O48" s="680">
        <v>0</v>
      </c>
      <c r="P48" s="681">
        <v>0</v>
      </c>
      <c r="Q48" s="680">
        <v>0</v>
      </c>
      <c r="R48" s="682">
        <v>1.034481523920034</v>
      </c>
      <c r="S48" s="682">
        <v>0</v>
      </c>
      <c r="T48" s="682">
        <v>0</v>
      </c>
      <c r="U48" s="681">
        <v>0</v>
      </c>
      <c r="V48" s="678"/>
      <c r="W48" s="682"/>
      <c r="X48" s="682"/>
      <c r="Y48" s="682"/>
      <c r="Z48" s="681"/>
      <c r="AA48" s="678"/>
      <c r="AB48" s="682"/>
      <c r="AC48" s="682"/>
      <c r="AD48" s="682"/>
      <c r="AE48" s="681"/>
      <c r="AF48" s="680"/>
      <c r="AG48" s="682"/>
      <c r="AH48" s="682"/>
      <c r="AI48" s="686"/>
      <c r="AJ48" s="687"/>
      <c r="AK48" s="688" t="s">
        <v>1001</v>
      </c>
    </row>
    <row r="49" spans="2:41" s="674" customFormat="1">
      <c r="B49" s="689">
        <v>4</v>
      </c>
      <c r="C49" s="676" t="s">
        <v>1002</v>
      </c>
      <c r="D49" s="676" t="s">
        <v>994</v>
      </c>
      <c r="E49" s="676" t="s">
        <v>994</v>
      </c>
      <c r="F49" s="676" t="s">
        <v>1003</v>
      </c>
      <c r="G49" s="677">
        <v>2007</v>
      </c>
      <c r="H49" s="677"/>
      <c r="I49" s="677">
        <v>12</v>
      </c>
      <c r="J49" s="678">
        <v>1.5892004580718411</v>
      </c>
      <c r="K49" s="679">
        <v>1.5892004580718411</v>
      </c>
      <c r="L49" s="678">
        <v>0</v>
      </c>
      <c r="M49" s="680">
        <v>0</v>
      </c>
      <c r="N49" s="680">
        <v>0</v>
      </c>
      <c r="O49" s="680">
        <v>0</v>
      </c>
      <c r="P49" s="681">
        <v>0</v>
      </c>
      <c r="Q49" s="680">
        <v>1.5892004580718411</v>
      </c>
      <c r="R49" s="682">
        <v>0</v>
      </c>
      <c r="S49" s="682">
        <v>0</v>
      </c>
      <c r="T49" s="682">
        <v>0</v>
      </c>
      <c r="U49" s="681">
        <v>0</v>
      </c>
      <c r="V49" s="678"/>
      <c r="W49" s="682"/>
      <c r="X49" s="682"/>
      <c r="Y49" s="682"/>
      <c r="Z49" s="681"/>
      <c r="AA49" s="678"/>
      <c r="AB49" s="682"/>
      <c r="AC49" s="682"/>
      <c r="AD49" s="682"/>
      <c r="AE49" s="681"/>
      <c r="AF49" s="680"/>
      <c r="AG49" s="682"/>
      <c r="AH49" s="682"/>
      <c r="AI49" s="686"/>
      <c r="AJ49" s="687"/>
      <c r="AK49" s="688" t="s">
        <v>1004</v>
      </c>
    </row>
    <row r="50" spans="2:41" s="674" customFormat="1">
      <c r="B50" s="689">
        <v>5</v>
      </c>
      <c r="C50" s="676" t="s">
        <v>1005</v>
      </c>
      <c r="D50" s="676" t="s">
        <v>994</v>
      </c>
      <c r="E50" s="676" t="s">
        <v>994</v>
      </c>
      <c r="F50" s="676" t="s">
        <v>998</v>
      </c>
      <c r="G50" s="677">
        <v>2007</v>
      </c>
      <c r="H50" s="677"/>
      <c r="I50" s="677">
        <v>9.5</v>
      </c>
      <c r="J50" s="678">
        <v>0.83008376394881334</v>
      </c>
      <c r="K50" s="679">
        <v>0.83008376394881334</v>
      </c>
      <c r="L50" s="678">
        <v>0</v>
      </c>
      <c r="M50" s="680">
        <v>0</v>
      </c>
      <c r="N50" s="680">
        <v>0</v>
      </c>
      <c r="O50" s="680">
        <v>0</v>
      </c>
      <c r="P50" s="681">
        <v>0</v>
      </c>
      <c r="Q50" s="680">
        <v>0.10594669720478943</v>
      </c>
      <c r="R50" s="682">
        <v>0.72413706674402389</v>
      </c>
      <c r="S50" s="682">
        <v>0</v>
      </c>
      <c r="T50" s="682">
        <v>0</v>
      </c>
      <c r="U50" s="681">
        <v>0</v>
      </c>
      <c r="V50" s="678"/>
      <c r="W50" s="682"/>
      <c r="X50" s="682"/>
      <c r="Y50" s="682"/>
      <c r="Z50" s="681"/>
      <c r="AA50" s="678"/>
      <c r="AB50" s="682"/>
      <c r="AC50" s="682"/>
      <c r="AD50" s="682"/>
      <c r="AE50" s="681"/>
      <c r="AF50" s="680"/>
      <c r="AG50" s="682"/>
      <c r="AH50" s="682"/>
      <c r="AI50" s="686"/>
      <c r="AJ50" s="687"/>
      <c r="AK50" s="688" t="s">
        <v>1006</v>
      </c>
    </row>
    <row r="51" spans="2:41" s="674" customFormat="1">
      <c r="B51" s="689">
        <v>6</v>
      </c>
      <c r="C51" s="676" t="s">
        <v>1007</v>
      </c>
      <c r="D51" s="676" t="s">
        <v>401</v>
      </c>
      <c r="E51" s="676" t="s">
        <v>401</v>
      </c>
      <c r="F51" s="676" t="s">
        <v>1003</v>
      </c>
      <c r="G51" s="677">
        <v>2013</v>
      </c>
      <c r="H51" s="677"/>
      <c r="I51" s="677">
        <v>189</v>
      </c>
      <c r="J51" s="678">
        <v>0.41293167919978219</v>
      </c>
      <c r="K51" s="679">
        <v>0.41293167919978219</v>
      </c>
      <c r="L51" s="678">
        <v>0</v>
      </c>
      <c r="M51" s="680">
        <v>0</v>
      </c>
      <c r="N51" s="680">
        <v>0</v>
      </c>
      <c r="O51" s="680">
        <v>0</v>
      </c>
      <c r="P51" s="681">
        <v>0</v>
      </c>
      <c r="Q51" s="680">
        <v>0</v>
      </c>
      <c r="R51" s="682">
        <v>0</v>
      </c>
      <c r="S51" s="682">
        <v>0.20652024338446728</v>
      </c>
      <c r="T51" s="682">
        <v>0.2064114358153149</v>
      </c>
      <c r="U51" s="681">
        <v>0</v>
      </c>
      <c r="V51" s="678"/>
      <c r="W51" s="682"/>
      <c r="X51" s="682"/>
      <c r="Y51" s="682"/>
      <c r="Z51" s="681"/>
      <c r="AA51" s="678"/>
      <c r="AB51" s="682"/>
      <c r="AC51" s="682"/>
      <c r="AD51" s="682"/>
      <c r="AE51" s="681"/>
      <c r="AF51" s="680"/>
      <c r="AG51" s="682"/>
      <c r="AH51" s="682"/>
      <c r="AI51" s="686"/>
      <c r="AJ51" s="687"/>
      <c r="AK51" s="688" t="s">
        <v>1008</v>
      </c>
    </row>
    <row r="52" spans="2:41" s="674" customFormat="1">
      <c r="B52" s="689">
        <v>7</v>
      </c>
      <c r="C52" s="676" t="s">
        <v>1009</v>
      </c>
      <c r="D52" s="676" t="s">
        <v>994</v>
      </c>
      <c r="E52" s="676" t="s">
        <v>994</v>
      </c>
      <c r="F52" s="676" t="s">
        <v>998</v>
      </c>
      <c r="G52" s="677">
        <v>2011</v>
      </c>
      <c r="H52" s="677"/>
      <c r="I52" s="677">
        <v>16</v>
      </c>
      <c r="J52" s="678">
        <v>2.580959004460079</v>
      </c>
      <c r="K52" s="679">
        <v>2.580959004460079</v>
      </c>
      <c r="L52" s="678">
        <v>0</v>
      </c>
      <c r="M52" s="680">
        <v>0</v>
      </c>
      <c r="N52" s="680">
        <v>0</v>
      </c>
      <c r="O52" s="680">
        <v>0</v>
      </c>
      <c r="P52" s="681">
        <v>0</v>
      </c>
      <c r="Q52" s="680">
        <v>0</v>
      </c>
      <c r="R52" s="682">
        <v>0</v>
      </c>
      <c r="S52" s="682">
        <v>1.5489018253835045</v>
      </c>
      <c r="T52" s="682">
        <v>1.0320571790765745</v>
      </c>
      <c r="U52" s="681">
        <v>0</v>
      </c>
      <c r="V52" s="678"/>
      <c r="W52" s="682"/>
      <c r="X52" s="682"/>
      <c r="Y52" s="682"/>
      <c r="Z52" s="681"/>
      <c r="AA52" s="678"/>
      <c r="AB52" s="682"/>
      <c r="AC52" s="682"/>
      <c r="AD52" s="682"/>
      <c r="AE52" s="681"/>
      <c r="AF52" s="680"/>
      <c r="AG52" s="682"/>
      <c r="AH52" s="682"/>
      <c r="AI52" s="686"/>
      <c r="AJ52" s="687"/>
      <c r="AK52" s="688" t="s">
        <v>1010</v>
      </c>
      <c r="AO52" s="674" t="s">
        <v>47</v>
      </c>
    </row>
    <row r="53" spans="2:41" s="674" customFormat="1">
      <c r="B53" s="689">
        <v>8</v>
      </c>
      <c r="C53" s="676" t="s">
        <v>1011</v>
      </c>
      <c r="D53" s="676" t="s">
        <v>401</v>
      </c>
      <c r="E53" s="676" t="s">
        <v>401</v>
      </c>
      <c r="F53" s="676" t="s">
        <v>998</v>
      </c>
      <c r="G53" s="677">
        <v>2012</v>
      </c>
      <c r="H53" s="677"/>
      <c r="I53" s="677">
        <v>117</v>
      </c>
      <c r="J53" s="678">
        <v>1.5507821323812021</v>
      </c>
      <c r="K53" s="679">
        <v>1.5507821323812021</v>
      </c>
      <c r="L53" s="678">
        <v>0</v>
      </c>
      <c r="M53" s="680">
        <v>0</v>
      </c>
      <c r="N53" s="680">
        <v>0</v>
      </c>
      <c r="O53" s="680">
        <v>0</v>
      </c>
      <c r="P53" s="681">
        <v>0</v>
      </c>
      <c r="Q53" s="680">
        <v>0</v>
      </c>
      <c r="R53" s="682">
        <v>1.034481523920034</v>
      </c>
      <c r="S53" s="682">
        <v>0.5163006084611681</v>
      </c>
      <c r="T53" s="682">
        <v>0</v>
      </c>
      <c r="U53" s="681">
        <v>0</v>
      </c>
      <c r="V53" s="678"/>
      <c r="W53" s="682"/>
      <c r="X53" s="682"/>
      <c r="Y53" s="682"/>
      <c r="Z53" s="681"/>
      <c r="AA53" s="678"/>
      <c r="AB53" s="682"/>
      <c r="AC53" s="682"/>
      <c r="AD53" s="682"/>
      <c r="AE53" s="681"/>
      <c r="AF53" s="680"/>
      <c r="AG53" s="682"/>
      <c r="AH53" s="682"/>
      <c r="AI53" s="686"/>
      <c r="AJ53" s="687"/>
      <c r="AK53" s="688" t="s">
        <v>1012</v>
      </c>
    </row>
    <row r="54" spans="2:41" s="674" customFormat="1">
      <c r="B54" s="689">
        <v>9</v>
      </c>
      <c r="C54" s="676" t="s">
        <v>1013</v>
      </c>
      <c r="D54" s="676" t="s">
        <v>994</v>
      </c>
      <c r="E54" s="676" t="s">
        <v>994</v>
      </c>
      <c r="F54" s="676" t="s">
        <v>998</v>
      </c>
      <c r="G54" s="677">
        <v>2008</v>
      </c>
      <c r="H54" s="677"/>
      <c r="I54" s="677">
        <v>40</v>
      </c>
      <c r="J54" s="678">
        <v>5.0111033592613996</v>
      </c>
      <c r="K54" s="679">
        <v>5.0111033592613996</v>
      </c>
      <c r="L54" s="678">
        <v>0</v>
      </c>
      <c r="M54" s="680">
        <v>0</v>
      </c>
      <c r="N54" s="680">
        <v>0</v>
      </c>
      <c r="O54" s="680">
        <v>0</v>
      </c>
      <c r="P54" s="681">
        <v>0</v>
      </c>
      <c r="Q54" s="680">
        <v>2.0129872468909991</v>
      </c>
      <c r="R54" s="682">
        <v>1.9655148954480646</v>
      </c>
      <c r="S54" s="682">
        <v>1.0326012169223362</v>
      </c>
      <c r="T54" s="682">
        <v>0</v>
      </c>
      <c r="U54" s="681">
        <v>0</v>
      </c>
      <c r="V54" s="678"/>
      <c r="W54" s="682"/>
      <c r="X54" s="682"/>
      <c r="Y54" s="682"/>
      <c r="Z54" s="681"/>
      <c r="AA54" s="678"/>
      <c r="AB54" s="682"/>
      <c r="AC54" s="682"/>
      <c r="AD54" s="682"/>
      <c r="AE54" s="681"/>
      <c r="AF54" s="680"/>
      <c r="AG54" s="682"/>
      <c r="AH54" s="682"/>
      <c r="AI54" s="686"/>
      <c r="AJ54" s="687"/>
      <c r="AK54" s="688" t="s">
        <v>1014</v>
      </c>
    </row>
    <row r="55" spans="2:41" s="674" customFormat="1">
      <c r="B55" s="689">
        <v>10</v>
      </c>
      <c r="C55" s="676" t="s">
        <v>1015</v>
      </c>
      <c r="D55" s="676" t="s">
        <v>401</v>
      </c>
      <c r="E55" s="676" t="s">
        <v>401</v>
      </c>
      <c r="F55" s="676" t="s">
        <v>998</v>
      </c>
      <c r="G55" s="677">
        <v>2010</v>
      </c>
      <c r="H55" s="677"/>
      <c r="I55" s="677">
        <v>58.5</v>
      </c>
      <c r="J55" s="678">
        <v>2.0646583959989107</v>
      </c>
      <c r="K55" s="679">
        <v>2.0646583959989107</v>
      </c>
      <c r="L55" s="678">
        <v>0</v>
      </c>
      <c r="M55" s="680">
        <v>0</v>
      </c>
      <c r="N55" s="680">
        <v>0</v>
      </c>
      <c r="O55" s="680">
        <v>0</v>
      </c>
      <c r="P55" s="681">
        <v>0</v>
      </c>
      <c r="Q55" s="680">
        <v>0</v>
      </c>
      <c r="R55" s="682">
        <v>0</v>
      </c>
      <c r="S55" s="682">
        <v>1.0326012169223362</v>
      </c>
      <c r="T55" s="682">
        <v>1.0320571790765745</v>
      </c>
      <c r="U55" s="681">
        <v>0</v>
      </c>
      <c r="V55" s="678"/>
      <c r="W55" s="682"/>
      <c r="X55" s="682"/>
      <c r="Y55" s="682"/>
      <c r="Z55" s="681"/>
      <c r="AA55" s="678"/>
      <c r="AB55" s="682"/>
      <c r="AC55" s="682"/>
      <c r="AD55" s="682"/>
      <c r="AE55" s="681"/>
      <c r="AF55" s="680"/>
      <c r="AG55" s="682"/>
      <c r="AH55" s="682"/>
      <c r="AI55" s="686"/>
      <c r="AJ55" s="687"/>
      <c r="AK55" s="688" t="s">
        <v>1016</v>
      </c>
    </row>
    <row r="56" spans="2:41" s="674" customFormat="1">
      <c r="B56" s="689">
        <v>11</v>
      </c>
      <c r="C56" s="676" t="s">
        <v>1017</v>
      </c>
      <c r="D56" s="676" t="s">
        <v>994</v>
      </c>
      <c r="E56" s="676" t="s">
        <v>994</v>
      </c>
      <c r="F56" s="676" t="s">
        <v>998</v>
      </c>
      <c r="G56" s="677">
        <v>2012</v>
      </c>
      <c r="H56" s="677"/>
      <c r="I56" s="677">
        <v>39</v>
      </c>
      <c r="J56" s="678">
        <v>4.9549081314745047</v>
      </c>
      <c r="K56" s="679">
        <v>4.9549081314745047</v>
      </c>
      <c r="L56" s="678">
        <v>0</v>
      </c>
      <c r="M56" s="680">
        <v>0</v>
      </c>
      <c r="N56" s="680">
        <v>0</v>
      </c>
      <c r="O56" s="680">
        <v>0</v>
      </c>
      <c r="P56" s="681">
        <v>0</v>
      </c>
      <c r="Q56" s="680">
        <v>0</v>
      </c>
      <c r="R56" s="682">
        <v>0</v>
      </c>
      <c r="S56" s="682">
        <v>1.9619423121524389</v>
      </c>
      <c r="T56" s="682">
        <v>2.9929658193220656</v>
      </c>
      <c r="U56" s="681">
        <v>0</v>
      </c>
      <c r="V56" s="678"/>
      <c r="W56" s="682"/>
      <c r="X56" s="682"/>
      <c r="Y56" s="682"/>
      <c r="Z56" s="681"/>
      <c r="AA56" s="678"/>
      <c r="AB56" s="682"/>
      <c r="AC56" s="682"/>
      <c r="AD56" s="682"/>
      <c r="AE56" s="681"/>
      <c r="AF56" s="680"/>
      <c r="AG56" s="682"/>
      <c r="AH56" s="682"/>
      <c r="AI56" s="686"/>
      <c r="AJ56" s="687"/>
      <c r="AK56" s="688" t="s">
        <v>1018</v>
      </c>
    </row>
    <row r="57" spans="2:41" s="674" customFormat="1">
      <c r="B57" s="689">
        <v>12</v>
      </c>
      <c r="C57" s="676" t="s">
        <v>1019</v>
      </c>
      <c r="D57" s="676" t="s">
        <v>994</v>
      </c>
      <c r="E57" s="676" t="s">
        <v>994</v>
      </c>
      <c r="F57" s="676" t="s">
        <v>998</v>
      </c>
      <c r="G57" s="677">
        <v>2012</v>
      </c>
      <c r="H57" s="677"/>
      <c r="I57" s="677">
        <v>13.15</v>
      </c>
      <c r="J57" s="678">
        <v>0.20829189928953451</v>
      </c>
      <c r="K57" s="679">
        <v>0.20829189928953451</v>
      </c>
      <c r="L57" s="678">
        <v>0</v>
      </c>
      <c r="M57" s="680">
        <v>0</v>
      </c>
      <c r="N57" s="680">
        <v>0</v>
      </c>
      <c r="O57" s="680">
        <v>0</v>
      </c>
      <c r="P57" s="681">
        <v>0</v>
      </c>
      <c r="Q57" s="680">
        <v>0</v>
      </c>
      <c r="R57" s="682">
        <v>0</v>
      </c>
      <c r="S57" s="682">
        <v>0</v>
      </c>
      <c r="T57" s="682">
        <v>0</v>
      </c>
      <c r="U57" s="681">
        <v>0.20829189928953451</v>
      </c>
      <c r="V57" s="678"/>
      <c r="W57" s="682"/>
      <c r="X57" s="682"/>
      <c r="Y57" s="682"/>
      <c r="Z57" s="681"/>
      <c r="AA57" s="678"/>
      <c r="AB57" s="682"/>
      <c r="AC57" s="682"/>
      <c r="AD57" s="682"/>
      <c r="AE57" s="681"/>
      <c r="AF57" s="680"/>
      <c r="AG57" s="682"/>
      <c r="AH57" s="682"/>
      <c r="AI57" s="686"/>
      <c r="AJ57" s="687"/>
      <c r="AK57" s="688" t="s">
        <v>1020</v>
      </c>
    </row>
    <row r="58" spans="2:41" s="674" customFormat="1">
      <c r="B58" s="689">
        <v>13</v>
      </c>
      <c r="C58" s="676" t="s">
        <v>1021</v>
      </c>
      <c r="D58" s="676" t="s">
        <v>994</v>
      </c>
      <c r="E58" s="676" t="s">
        <v>994</v>
      </c>
      <c r="F58" s="676" t="s">
        <v>998</v>
      </c>
      <c r="G58" s="677">
        <v>2012</v>
      </c>
      <c r="H58" s="677"/>
      <c r="I58" s="677">
        <v>24</v>
      </c>
      <c r="J58" s="678">
        <v>1.4454240885529659</v>
      </c>
      <c r="K58" s="679">
        <v>1.4454240885529659</v>
      </c>
      <c r="L58" s="678">
        <v>0</v>
      </c>
      <c r="M58" s="680">
        <v>0</v>
      </c>
      <c r="N58" s="680">
        <v>0</v>
      </c>
      <c r="O58" s="680">
        <v>0</v>
      </c>
      <c r="P58" s="681">
        <v>0</v>
      </c>
      <c r="Q58" s="680">
        <v>0</v>
      </c>
      <c r="R58" s="682">
        <v>0</v>
      </c>
      <c r="S58" s="682">
        <v>1.0326012169223362</v>
      </c>
      <c r="T58" s="682">
        <v>0.41282287163062981</v>
      </c>
      <c r="U58" s="681">
        <v>0</v>
      </c>
      <c r="V58" s="678"/>
      <c r="W58" s="682"/>
      <c r="X58" s="682"/>
      <c r="Y58" s="682"/>
      <c r="Z58" s="681"/>
      <c r="AA58" s="678"/>
      <c r="AB58" s="682"/>
      <c r="AC58" s="682"/>
      <c r="AD58" s="682"/>
      <c r="AE58" s="681"/>
      <c r="AF58" s="680"/>
      <c r="AG58" s="682"/>
      <c r="AH58" s="682"/>
      <c r="AI58" s="686"/>
      <c r="AJ58" s="687"/>
      <c r="AK58" s="688" t="s">
        <v>1022</v>
      </c>
    </row>
    <row r="59" spans="2:41" s="674" customFormat="1">
      <c r="B59" s="689">
        <v>14</v>
      </c>
      <c r="C59" s="676" t="s">
        <v>1023</v>
      </c>
      <c r="D59" s="676" t="s">
        <v>994</v>
      </c>
      <c r="E59" s="676" t="s">
        <v>994</v>
      </c>
      <c r="F59" s="676" t="s">
        <v>998</v>
      </c>
      <c r="G59" s="677">
        <v>2008</v>
      </c>
      <c r="H59" s="677"/>
      <c r="I59" s="677">
        <v>25</v>
      </c>
      <c r="J59" s="678">
        <v>1.0594669720478942</v>
      </c>
      <c r="K59" s="679">
        <v>1.0594669720478942</v>
      </c>
      <c r="L59" s="678">
        <v>0</v>
      </c>
      <c r="M59" s="680">
        <v>0</v>
      </c>
      <c r="N59" s="680">
        <v>0</v>
      </c>
      <c r="O59" s="680">
        <v>0</v>
      </c>
      <c r="P59" s="681">
        <v>0</v>
      </c>
      <c r="Q59" s="680">
        <v>1.0594669720478942</v>
      </c>
      <c r="R59" s="682">
        <v>0</v>
      </c>
      <c r="S59" s="682">
        <v>0</v>
      </c>
      <c r="T59" s="682">
        <v>0</v>
      </c>
      <c r="U59" s="681">
        <v>0</v>
      </c>
      <c r="V59" s="678"/>
      <c r="W59" s="682"/>
      <c r="X59" s="682"/>
      <c r="Y59" s="682"/>
      <c r="Z59" s="681"/>
      <c r="AA59" s="678"/>
      <c r="AB59" s="682"/>
      <c r="AC59" s="682"/>
      <c r="AD59" s="682"/>
      <c r="AE59" s="681"/>
      <c r="AF59" s="680"/>
      <c r="AG59" s="682"/>
      <c r="AH59" s="682"/>
      <c r="AI59" s="686"/>
      <c r="AJ59" s="687"/>
      <c r="AK59" s="688" t="s">
        <v>1024</v>
      </c>
    </row>
    <row r="60" spans="2:41" s="674" customFormat="1">
      <c r="B60" s="689">
        <v>15</v>
      </c>
      <c r="C60" s="676" t="s">
        <v>1025</v>
      </c>
      <c r="D60" s="676" t="s">
        <v>994</v>
      </c>
      <c r="E60" s="676" t="s">
        <v>994</v>
      </c>
      <c r="F60" s="676" t="s">
        <v>998</v>
      </c>
      <c r="G60" s="677">
        <v>2010</v>
      </c>
      <c r="H60" s="677"/>
      <c r="I60" s="677">
        <v>35.200000000000003</v>
      </c>
      <c r="J60" s="678">
        <v>2.0670827408423702</v>
      </c>
      <c r="K60" s="679">
        <v>2.0670827408423702</v>
      </c>
      <c r="L60" s="678">
        <v>0</v>
      </c>
      <c r="M60" s="680">
        <v>0</v>
      </c>
      <c r="N60" s="680">
        <v>0</v>
      </c>
      <c r="O60" s="680">
        <v>0</v>
      </c>
      <c r="P60" s="681">
        <v>0</v>
      </c>
      <c r="Q60" s="680">
        <v>0</v>
      </c>
      <c r="R60" s="682">
        <v>1.034481523920034</v>
      </c>
      <c r="S60" s="682">
        <v>1.0326012169223362</v>
      </c>
      <c r="T60" s="682">
        <v>0</v>
      </c>
      <c r="U60" s="681">
        <v>0</v>
      </c>
      <c r="V60" s="678"/>
      <c r="W60" s="682"/>
      <c r="X60" s="682"/>
      <c r="Y60" s="682"/>
      <c r="Z60" s="681"/>
      <c r="AA60" s="678"/>
      <c r="AB60" s="682"/>
      <c r="AC60" s="682"/>
      <c r="AD60" s="682"/>
      <c r="AE60" s="681"/>
      <c r="AF60" s="680"/>
      <c r="AG60" s="682"/>
      <c r="AH60" s="682"/>
      <c r="AI60" s="686"/>
      <c r="AJ60" s="687"/>
      <c r="AK60" s="688" t="s">
        <v>1026</v>
      </c>
    </row>
    <row r="61" spans="2:41" s="674" customFormat="1">
      <c r="B61" s="689">
        <v>16</v>
      </c>
      <c r="C61" s="676" t="s">
        <v>1027</v>
      </c>
      <c r="D61" s="676" t="s">
        <v>994</v>
      </c>
      <c r="E61" s="676" t="s">
        <v>994</v>
      </c>
      <c r="F61" s="676" t="s">
        <v>998</v>
      </c>
      <c r="G61" s="677">
        <v>2012</v>
      </c>
      <c r="H61" s="677"/>
      <c r="I61" s="677">
        <v>16</v>
      </c>
      <c r="J61" s="678">
        <v>4.0434314392494883</v>
      </c>
      <c r="K61" s="679">
        <v>4.0434314392494883</v>
      </c>
      <c r="L61" s="678">
        <v>0</v>
      </c>
      <c r="M61" s="680">
        <v>0</v>
      </c>
      <c r="N61" s="680">
        <v>0</v>
      </c>
      <c r="O61" s="680">
        <v>0</v>
      </c>
      <c r="P61" s="681">
        <v>0</v>
      </c>
      <c r="Q61" s="680">
        <v>0</v>
      </c>
      <c r="R61" s="682">
        <v>0</v>
      </c>
      <c r="S61" s="682">
        <v>1.0326012169223362</v>
      </c>
      <c r="T61" s="682">
        <v>1.0320571790765745</v>
      </c>
      <c r="U61" s="681">
        <v>1.9787730432505775</v>
      </c>
      <c r="V61" s="678"/>
      <c r="W61" s="682"/>
      <c r="X61" s="682"/>
      <c r="Y61" s="682"/>
      <c r="Z61" s="681"/>
      <c r="AA61" s="678"/>
      <c r="AB61" s="682"/>
      <c r="AC61" s="682"/>
      <c r="AD61" s="682"/>
      <c r="AE61" s="681"/>
      <c r="AF61" s="680"/>
      <c r="AG61" s="682"/>
      <c r="AH61" s="682"/>
      <c r="AI61" s="686"/>
      <c r="AJ61" s="687"/>
      <c r="AK61" s="688" t="s">
        <v>1028</v>
      </c>
    </row>
    <row r="62" spans="2:41" s="674" customFormat="1">
      <c r="B62" s="689">
        <v>17</v>
      </c>
      <c r="C62" s="676" t="s">
        <v>1029</v>
      </c>
      <c r="D62" s="676" t="s">
        <v>401</v>
      </c>
      <c r="E62" s="676" t="s">
        <v>401</v>
      </c>
      <c r="F62" s="676" t="s">
        <v>1003</v>
      </c>
      <c r="G62" s="677">
        <v>2012</v>
      </c>
      <c r="H62" s="677"/>
      <c r="I62" s="677">
        <v>35</v>
      </c>
      <c r="J62" s="678">
        <v>3.9274572076005034</v>
      </c>
      <c r="K62" s="679">
        <v>3.9274572076005034</v>
      </c>
      <c r="L62" s="678">
        <v>0</v>
      </c>
      <c r="M62" s="680">
        <v>0</v>
      </c>
      <c r="N62" s="680">
        <v>0</v>
      </c>
      <c r="O62" s="680">
        <v>0</v>
      </c>
      <c r="P62" s="681">
        <v>0</v>
      </c>
      <c r="Q62" s="680">
        <v>0</v>
      </c>
      <c r="R62" s="682">
        <v>1.9655148954480646</v>
      </c>
      <c r="S62" s="682">
        <v>1.9619423121524389</v>
      </c>
      <c r="T62" s="682">
        <v>0</v>
      </c>
      <c r="U62" s="681">
        <v>0</v>
      </c>
      <c r="V62" s="678"/>
      <c r="W62" s="682"/>
      <c r="X62" s="682"/>
      <c r="Y62" s="682"/>
      <c r="Z62" s="681"/>
      <c r="AA62" s="678"/>
      <c r="AB62" s="682"/>
      <c r="AC62" s="682"/>
      <c r="AD62" s="682"/>
      <c r="AE62" s="681"/>
      <c r="AF62" s="680"/>
      <c r="AG62" s="682"/>
      <c r="AH62" s="682"/>
      <c r="AI62" s="686"/>
      <c r="AJ62" s="687"/>
      <c r="AK62" s="688" t="s">
        <v>1030</v>
      </c>
    </row>
    <row r="63" spans="2:41" s="674" customFormat="1">
      <c r="B63" s="689">
        <v>18</v>
      </c>
      <c r="C63" s="676" t="s">
        <v>1031</v>
      </c>
      <c r="D63" s="676" t="s">
        <v>994</v>
      </c>
      <c r="E63" s="676" t="s">
        <v>994</v>
      </c>
      <c r="F63" s="676" t="s">
        <v>998</v>
      </c>
      <c r="G63" s="677">
        <v>2010</v>
      </c>
      <c r="H63" s="677"/>
      <c r="I63" s="677">
        <v>16</v>
      </c>
      <c r="J63" s="678">
        <v>1.5507821323812021</v>
      </c>
      <c r="K63" s="679">
        <v>1.5507821323812021</v>
      </c>
      <c r="L63" s="678">
        <v>0</v>
      </c>
      <c r="M63" s="680">
        <v>0</v>
      </c>
      <c r="N63" s="680">
        <v>0</v>
      </c>
      <c r="O63" s="680">
        <v>0</v>
      </c>
      <c r="P63" s="681">
        <v>0</v>
      </c>
      <c r="Q63" s="680">
        <v>0</v>
      </c>
      <c r="R63" s="682">
        <v>1.034481523920034</v>
      </c>
      <c r="S63" s="682">
        <v>0.5163006084611681</v>
      </c>
      <c r="T63" s="682">
        <v>0</v>
      </c>
      <c r="U63" s="681">
        <v>0</v>
      </c>
      <c r="V63" s="678"/>
      <c r="W63" s="682"/>
      <c r="X63" s="682"/>
      <c r="Y63" s="682"/>
      <c r="Z63" s="681"/>
      <c r="AA63" s="678"/>
      <c r="AB63" s="682"/>
      <c r="AC63" s="682"/>
      <c r="AD63" s="682"/>
      <c r="AE63" s="681"/>
      <c r="AF63" s="680"/>
      <c r="AG63" s="682"/>
      <c r="AH63" s="682"/>
      <c r="AI63" s="686"/>
      <c r="AJ63" s="687"/>
      <c r="AK63" s="688" t="s">
        <v>1032</v>
      </c>
    </row>
    <row r="64" spans="2:41" s="674" customFormat="1">
      <c r="B64" s="689">
        <v>19</v>
      </c>
      <c r="C64" s="676" t="s">
        <v>1033</v>
      </c>
      <c r="D64" s="676" t="s">
        <v>994</v>
      </c>
      <c r="E64" s="676" t="s">
        <v>994</v>
      </c>
      <c r="F64" s="676" t="s">
        <v>998</v>
      </c>
      <c r="G64" s="677">
        <v>2013</v>
      </c>
      <c r="H64" s="677"/>
      <c r="I64" s="677">
        <v>18.600000000000001</v>
      </c>
      <c r="J64" s="678">
        <v>2.5942464237480829</v>
      </c>
      <c r="K64" s="679">
        <v>2.5942464237480829</v>
      </c>
      <c r="L64" s="678">
        <v>0</v>
      </c>
      <c r="M64" s="680">
        <v>0</v>
      </c>
      <c r="N64" s="680">
        <v>0</v>
      </c>
      <c r="O64" s="680">
        <v>0</v>
      </c>
      <c r="P64" s="681">
        <v>0</v>
      </c>
      <c r="Q64" s="680">
        <v>0</v>
      </c>
      <c r="R64" s="682">
        <v>0</v>
      </c>
      <c r="S64" s="682">
        <v>0</v>
      </c>
      <c r="T64" s="682">
        <v>1.0320571790765745</v>
      </c>
      <c r="U64" s="681">
        <v>1.5621892446715087</v>
      </c>
      <c r="V64" s="678"/>
      <c r="W64" s="682"/>
      <c r="X64" s="682"/>
      <c r="Y64" s="682"/>
      <c r="Z64" s="681"/>
      <c r="AA64" s="678"/>
      <c r="AB64" s="682"/>
      <c r="AC64" s="682"/>
      <c r="AD64" s="682"/>
      <c r="AE64" s="681"/>
      <c r="AF64" s="680"/>
      <c r="AG64" s="682"/>
      <c r="AH64" s="682"/>
      <c r="AI64" s="686"/>
      <c r="AJ64" s="687"/>
      <c r="AK64" s="688" t="s">
        <v>1034</v>
      </c>
    </row>
    <row r="65" spans="2:37" s="674" customFormat="1">
      <c r="B65" s="689">
        <v>20</v>
      </c>
      <c r="C65" s="690" t="s">
        <v>1035</v>
      </c>
      <c r="D65" s="690" t="s">
        <v>994</v>
      </c>
      <c r="E65" s="690" t="s">
        <v>994</v>
      </c>
      <c r="F65" s="690" t="s">
        <v>1036</v>
      </c>
      <c r="G65" s="691">
        <v>2014</v>
      </c>
      <c r="H65" s="677"/>
      <c r="I65" s="691">
        <v>24</v>
      </c>
      <c r="J65" s="692">
        <v>0</v>
      </c>
      <c r="K65" s="693">
        <v>0</v>
      </c>
      <c r="L65" s="692">
        <v>0</v>
      </c>
      <c r="M65" s="694">
        <v>0</v>
      </c>
      <c r="N65" s="694">
        <v>0</v>
      </c>
      <c r="O65" s="694">
        <v>0</v>
      </c>
      <c r="P65" s="695">
        <v>0</v>
      </c>
      <c r="Q65" s="694">
        <v>0</v>
      </c>
      <c r="R65" s="696">
        <v>0</v>
      </c>
      <c r="S65" s="696">
        <v>0</v>
      </c>
      <c r="T65" s="696">
        <v>0</v>
      </c>
      <c r="U65" s="695">
        <v>0</v>
      </c>
      <c r="V65" s="678"/>
      <c r="W65" s="682"/>
      <c r="X65" s="682"/>
      <c r="Y65" s="682"/>
      <c r="Z65" s="681"/>
      <c r="AA65" s="678"/>
      <c r="AB65" s="682"/>
      <c r="AC65" s="682"/>
      <c r="AD65" s="682"/>
      <c r="AE65" s="681"/>
      <c r="AF65" s="680"/>
      <c r="AG65" s="682"/>
      <c r="AH65" s="682"/>
      <c r="AI65" s="686"/>
      <c r="AJ65" s="687"/>
      <c r="AK65" s="697" t="s">
        <v>1037</v>
      </c>
    </row>
    <row r="66" spans="2:37" s="674" customFormat="1">
      <c r="B66" s="689">
        <v>21</v>
      </c>
      <c r="C66" s="690" t="s">
        <v>1038</v>
      </c>
      <c r="D66" s="690" t="s">
        <v>994</v>
      </c>
      <c r="E66" s="690" t="s">
        <v>994</v>
      </c>
      <c r="F66" s="690" t="s">
        <v>998</v>
      </c>
      <c r="G66" s="691">
        <v>2010</v>
      </c>
      <c r="H66" s="677"/>
      <c r="I66" s="691">
        <v>15</v>
      </c>
      <c r="J66" s="692">
        <v>0.10344815239200342</v>
      </c>
      <c r="K66" s="693">
        <v>0.10344815239200342</v>
      </c>
      <c r="L66" s="692">
        <v>0</v>
      </c>
      <c r="M66" s="694">
        <v>0</v>
      </c>
      <c r="N66" s="694">
        <v>0</v>
      </c>
      <c r="O66" s="694">
        <v>0</v>
      </c>
      <c r="P66" s="695">
        <v>0</v>
      </c>
      <c r="Q66" s="694">
        <v>0</v>
      </c>
      <c r="R66" s="696">
        <v>0.10344815239200342</v>
      </c>
      <c r="S66" s="696">
        <v>0</v>
      </c>
      <c r="T66" s="696">
        <v>0</v>
      </c>
      <c r="U66" s="695">
        <v>0</v>
      </c>
      <c r="V66" s="678"/>
      <c r="W66" s="682"/>
      <c r="X66" s="682"/>
      <c r="Y66" s="682"/>
      <c r="Z66" s="681"/>
      <c r="AA66" s="678"/>
      <c r="AB66" s="682"/>
      <c r="AC66" s="682"/>
      <c r="AD66" s="682"/>
      <c r="AE66" s="681"/>
      <c r="AF66" s="680"/>
      <c r="AG66" s="682"/>
      <c r="AH66" s="682"/>
      <c r="AI66" s="686"/>
      <c r="AJ66" s="687"/>
      <c r="AK66" s="697" t="s">
        <v>1039</v>
      </c>
    </row>
    <row r="67" spans="2:37" s="674" customFormat="1">
      <c r="B67" s="689">
        <v>22</v>
      </c>
      <c r="C67" s="690" t="s">
        <v>1040</v>
      </c>
      <c r="D67" s="690" t="s">
        <v>994</v>
      </c>
      <c r="E67" s="690" t="s">
        <v>994</v>
      </c>
      <c r="F67" s="690" t="s">
        <v>998</v>
      </c>
      <c r="G67" s="691">
        <v>2014</v>
      </c>
      <c r="H67" s="677"/>
      <c r="I67" s="691">
        <v>13.15</v>
      </c>
      <c r="J67" s="692">
        <v>0.52072974822383633</v>
      </c>
      <c r="K67" s="693">
        <v>0.52072974822383633</v>
      </c>
      <c r="L67" s="692">
        <v>0</v>
      </c>
      <c r="M67" s="694">
        <v>0</v>
      </c>
      <c r="N67" s="694">
        <v>0</v>
      </c>
      <c r="O67" s="694">
        <v>0</v>
      </c>
      <c r="P67" s="695">
        <v>0</v>
      </c>
      <c r="Q67" s="694">
        <v>0</v>
      </c>
      <c r="R67" s="696">
        <v>0</v>
      </c>
      <c r="S67" s="696">
        <v>0</v>
      </c>
      <c r="T67" s="696">
        <v>0</v>
      </c>
      <c r="U67" s="695">
        <v>0.52072974822383633</v>
      </c>
      <c r="V67" s="678"/>
      <c r="W67" s="682"/>
      <c r="X67" s="682"/>
      <c r="Y67" s="682"/>
      <c r="Z67" s="681"/>
      <c r="AA67" s="678"/>
      <c r="AB67" s="682"/>
      <c r="AC67" s="682"/>
      <c r="AD67" s="682"/>
      <c r="AE67" s="681"/>
      <c r="AF67" s="680"/>
      <c r="AG67" s="682"/>
      <c r="AH67" s="682"/>
      <c r="AI67" s="686"/>
      <c r="AJ67" s="687"/>
      <c r="AK67" s="697" t="s">
        <v>1041</v>
      </c>
    </row>
    <row r="68" spans="2:37" s="674" customFormat="1">
      <c r="B68" s="689">
        <v>23</v>
      </c>
      <c r="C68" s="690" t="s">
        <v>1042</v>
      </c>
      <c r="D68" s="690" t="s">
        <v>994</v>
      </c>
      <c r="E68" s="690" t="s">
        <v>994</v>
      </c>
      <c r="F68" s="690" t="s">
        <v>995</v>
      </c>
      <c r="G68" s="691">
        <v>2014</v>
      </c>
      <c r="H68" s="677"/>
      <c r="I68" s="691">
        <v>27</v>
      </c>
      <c r="J68" s="692">
        <v>1.0414594964476727</v>
      </c>
      <c r="K68" s="693">
        <v>1.0414594964476727</v>
      </c>
      <c r="L68" s="692">
        <v>0</v>
      </c>
      <c r="M68" s="694">
        <v>0</v>
      </c>
      <c r="N68" s="694">
        <v>0</v>
      </c>
      <c r="O68" s="694">
        <v>0</v>
      </c>
      <c r="P68" s="695">
        <v>0</v>
      </c>
      <c r="Q68" s="694">
        <v>0</v>
      </c>
      <c r="R68" s="696">
        <v>0</v>
      </c>
      <c r="S68" s="696">
        <v>0</v>
      </c>
      <c r="T68" s="696">
        <v>0</v>
      </c>
      <c r="U68" s="695">
        <v>1.0414594964476727</v>
      </c>
      <c r="V68" s="678"/>
      <c r="W68" s="682"/>
      <c r="X68" s="682"/>
      <c r="Y68" s="682"/>
      <c r="Z68" s="681"/>
      <c r="AA68" s="678"/>
      <c r="AB68" s="682"/>
      <c r="AC68" s="682"/>
      <c r="AD68" s="682"/>
      <c r="AE68" s="681"/>
      <c r="AF68" s="680"/>
      <c r="AG68" s="682"/>
      <c r="AH68" s="682"/>
      <c r="AI68" s="686"/>
      <c r="AJ68" s="687"/>
      <c r="AK68" s="697" t="s">
        <v>1043</v>
      </c>
    </row>
    <row r="69" spans="2:37" s="674" customFormat="1">
      <c r="B69" s="689">
        <v>24</v>
      </c>
      <c r="C69" s="690" t="s">
        <v>1044</v>
      </c>
      <c r="D69" s="690" t="s">
        <v>994</v>
      </c>
      <c r="E69" s="690" t="s">
        <v>994</v>
      </c>
      <c r="F69" s="690" t="s">
        <v>998</v>
      </c>
      <c r="G69" s="691">
        <v>2010</v>
      </c>
      <c r="H69" s="677"/>
      <c r="I69" s="691">
        <v>16</v>
      </c>
      <c r="J69" s="692">
        <v>1.5517222858800512</v>
      </c>
      <c r="K69" s="693">
        <v>1.5517222858800512</v>
      </c>
      <c r="L69" s="692">
        <v>0</v>
      </c>
      <c r="M69" s="694">
        <v>0</v>
      </c>
      <c r="N69" s="694">
        <v>0</v>
      </c>
      <c r="O69" s="694">
        <v>0</v>
      </c>
      <c r="P69" s="695">
        <v>0</v>
      </c>
      <c r="Q69" s="694">
        <v>0</v>
      </c>
      <c r="R69" s="696">
        <v>1.5517222858800512</v>
      </c>
      <c r="S69" s="696">
        <v>0</v>
      </c>
      <c r="T69" s="696">
        <v>0</v>
      </c>
      <c r="U69" s="695">
        <v>0</v>
      </c>
      <c r="V69" s="678"/>
      <c r="W69" s="682"/>
      <c r="X69" s="682"/>
      <c r="Y69" s="682"/>
      <c r="Z69" s="681"/>
      <c r="AA69" s="678"/>
      <c r="AB69" s="682"/>
      <c r="AC69" s="682"/>
      <c r="AD69" s="682"/>
      <c r="AE69" s="681"/>
      <c r="AF69" s="680"/>
      <c r="AG69" s="682"/>
      <c r="AH69" s="682"/>
      <c r="AI69" s="686"/>
      <c r="AJ69" s="687"/>
      <c r="AK69" s="697" t="s">
        <v>1045</v>
      </c>
    </row>
    <row r="70" spans="2:37" s="674" customFormat="1">
      <c r="B70" s="689">
        <v>25</v>
      </c>
      <c r="C70" s="690" t="s">
        <v>1046</v>
      </c>
      <c r="D70" s="690" t="s">
        <v>401</v>
      </c>
      <c r="E70" s="690" t="s">
        <v>401</v>
      </c>
      <c r="F70" s="690" t="s">
        <v>998</v>
      </c>
      <c r="G70" s="691">
        <v>2014</v>
      </c>
      <c r="H70" s="677"/>
      <c r="I70" s="691">
        <v>90</v>
      </c>
      <c r="J70" s="692">
        <v>3.5409622879220861</v>
      </c>
      <c r="K70" s="693">
        <v>3.5409622879220861</v>
      </c>
      <c r="L70" s="692">
        <v>0</v>
      </c>
      <c r="M70" s="694">
        <v>0</v>
      </c>
      <c r="N70" s="694">
        <v>0</v>
      </c>
      <c r="O70" s="694">
        <v>0</v>
      </c>
      <c r="P70" s="695">
        <v>0</v>
      </c>
      <c r="Q70" s="694">
        <v>0</v>
      </c>
      <c r="R70" s="696">
        <v>0</v>
      </c>
      <c r="S70" s="696">
        <v>0</v>
      </c>
      <c r="T70" s="696">
        <v>0</v>
      </c>
      <c r="U70" s="695">
        <v>3.5409622879220861</v>
      </c>
      <c r="V70" s="678"/>
      <c r="W70" s="682"/>
      <c r="X70" s="682"/>
      <c r="Y70" s="682"/>
      <c r="Z70" s="681"/>
      <c r="AA70" s="678"/>
      <c r="AB70" s="682"/>
      <c r="AC70" s="682"/>
      <c r="AD70" s="682"/>
      <c r="AE70" s="681"/>
      <c r="AF70" s="680"/>
      <c r="AG70" s="682"/>
      <c r="AH70" s="682"/>
      <c r="AI70" s="686"/>
      <c r="AJ70" s="687"/>
      <c r="AK70" s="697" t="s">
        <v>1047</v>
      </c>
    </row>
    <row r="71" spans="2:37" s="674" customFormat="1">
      <c r="B71" s="689">
        <v>26</v>
      </c>
      <c r="C71" s="690" t="s">
        <v>1048</v>
      </c>
      <c r="D71" s="690" t="s">
        <v>994</v>
      </c>
      <c r="E71" s="690" t="s">
        <v>994</v>
      </c>
      <c r="F71" s="690" t="s">
        <v>998</v>
      </c>
      <c r="G71" s="691">
        <v>2008</v>
      </c>
      <c r="H71" s="677"/>
      <c r="I71" s="691">
        <v>12</v>
      </c>
      <c r="J71" s="692">
        <v>1.5642150099439811</v>
      </c>
      <c r="K71" s="693">
        <v>1.5642150099439811</v>
      </c>
      <c r="L71" s="692">
        <v>0</v>
      </c>
      <c r="M71" s="694">
        <v>0</v>
      </c>
      <c r="N71" s="694">
        <v>0</v>
      </c>
      <c r="O71" s="694">
        <v>0</v>
      </c>
      <c r="P71" s="695">
        <v>0</v>
      </c>
      <c r="Q71" s="694">
        <v>0.5297334860239471</v>
      </c>
      <c r="R71" s="696">
        <v>1.034481523920034</v>
      </c>
      <c r="S71" s="696">
        <v>0</v>
      </c>
      <c r="T71" s="696">
        <v>0</v>
      </c>
      <c r="U71" s="695">
        <v>0</v>
      </c>
      <c r="V71" s="678"/>
      <c r="W71" s="682"/>
      <c r="X71" s="682"/>
      <c r="Y71" s="682"/>
      <c r="Z71" s="681"/>
      <c r="AA71" s="678"/>
      <c r="AB71" s="682"/>
      <c r="AC71" s="682"/>
      <c r="AD71" s="682"/>
      <c r="AE71" s="681"/>
      <c r="AF71" s="680"/>
      <c r="AG71" s="682"/>
      <c r="AH71" s="682"/>
      <c r="AI71" s="686"/>
      <c r="AJ71" s="687"/>
      <c r="AK71" s="697" t="s">
        <v>1049</v>
      </c>
    </row>
    <row r="72" spans="2:37" s="674" customFormat="1">
      <c r="B72" s="689">
        <v>27</v>
      </c>
      <c r="C72" s="690" t="s">
        <v>1050</v>
      </c>
      <c r="D72" s="690" t="s">
        <v>401</v>
      </c>
      <c r="E72" s="690" t="s">
        <v>401</v>
      </c>
      <c r="F72" s="690" t="s">
        <v>998</v>
      </c>
      <c r="G72" s="691">
        <v>2013</v>
      </c>
      <c r="H72" s="677"/>
      <c r="I72" s="691">
        <v>39</v>
      </c>
      <c r="J72" s="692">
        <v>6.0131983590203149</v>
      </c>
      <c r="K72" s="693">
        <v>6.0131983590203149</v>
      </c>
      <c r="L72" s="692">
        <v>0</v>
      </c>
      <c r="M72" s="694">
        <v>0</v>
      </c>
      <c r="N72" s="694">
        <v>0</v>
      </c>
      <c r="O72" s="694">
        <v>0</v>
      </c>
      <c r="P72" s="695">
        <v>0</v>
      </c>
      <c r="Q72" s="694">
        <v>0</v>
      </c>
      <c r="R72" s="696">
        <v>0</v>
      </c>
      <c r="S72" s="696">
        <v>0</v>
      </c>
      <c r="T72" s="696">
        <v>2.9929658193220656</v>
      </c>
      <c r="U72" s="695">
        <v>3.0202325396982497</v>
      </c>
      <c r="V72" s="678"/>
      <c r="W72" s="682"/>
      <c r="X72" s="682"/>
      <c r="Y72" s="682"/>
      <c r="Z72" s="681"/>
      <c r="AA72" s="678"/>
      <c r="AB72" s="682"/>
      <c r="AC72" s="682"/>
      <c r="AD72" s="682"/>
      <c r="AE72" s="681"/>
      <c r="AF72" s="680"/>
      <c r="AG72" s="682"/>
      <c r="AH72" s="682"/>
      <c r="AI72" s="686"/>
      <c r="AJ72" s="687"/>
      <c r="AK72" s="697" t="s">
        <v>1051</v>
      </c>
    </row>
    <row r="73" spans="2:37" s="674" customFormat="1">
      <c r="B73" s="689">
        <v>28</v>
      </c>
      <c r="C73" s="690" t="s">
        <v>1052</v>
      </c>
      <c r="D73" s="690" t="s">
        <v>994</v>
      </c>
      <c r="E73" s="690" t="s">
        <v>994</v>
      </c>
      <c r="F73" s="690" t="s">
        <v>998</v>
      </c>
      <c r="G73" s="691">
        <v>2010</v>
      </c>
      <c r="H73" s="677"/>
      <c r="I73" s="691">
        <v>24</v>
      </c>
      <c r="J73" s="692">
        <v>1.0469742479839641</v>
      </c>
      <c r="K73" s="693">
        <v>1.0469742479839641</v>
      </c>
      <c r="L73" s="692">
        <v>0</v>
      </c>
      <c r="M73" s="694">
        <v>0</v>
      </c>
      <c r="N73" s="694">
        <v>0</v>
      </c>
      <c r="O73" s="694">
        <v>0</v>
      </c>
      <c r="P73" s="695">
        <v>0</v>
      </c>
      <c r="Q73" s="694">
        <v>0.5297334860239471</v>
      </c>
      <c r="R73" s="696">
        <v>0.517240761960017</v>
      </c>
      <c r="S73" s="696">
        <v>0</v>
      </c>
      <c r="T73" s="696">
        <v>0</v>
      </c>
      <c r="U73" s="695">
        <v>0</v>
      </c>
      <c r="V73" s="678"/>
      <c r="W73" s="682"/>
      <c r="X73" s="682"/>
      <c r="Y73" s="682"/>
      <c r="Z73" s="681"/>
      <c r="AA73" s="678"/>
      <c r="AB73" s="682"/>
      <c r="AC73" s="682"/>
      <c r="AD73" s="682"/>
      <c r="AE73" s="681"/>
      <c r="AF73" s="680"/>
      <c r="AG73" s="682"/>
      <c r="AH73" s="682"/>
      <c r="AI73" s="686"/>
      <c r="AJ73" s="687"/>
      <c r="AK73" s="697" t="s">
        <v>1053</v>
      </c>
    </row>
    <row r="74" spans="2:37" s="674" customFormat="1">
      <c r="B74" s="689">
        <v>29</v>
      </c>
      <c r="C74" s="690" t="s">
        <v>1054</v>
      </c>
      <c r="D74" s="690" t="s">
        <v>994</v>
      </c>
      <c r="E74" s="690" t="s">
        <v>994</v>
      </c>
      <c r="F74" s="690" t="s">
        <v>998</v>
      </c>
      <c r="G74" s="691">
        <v>2008</v>
      </c>
      <c r="H74" s="677"/>
      <c r="I74" s="691">
        <v>13.1</v>
      </c>
      <c r="J74" s="692">
        <v>1.0469742479839641</v>
      </c>
      <c r="K74" s="693">
        <v>1.0469742479839641</v>
      </c>
      <c r="L74" s="692">
        <v>0</v>
      </c>
      <c r="M74" s="694">
        <v>0</v>
      </c>
      <c r="N74" s="694">
        <v>0</v>
      </c>
      <c r="O74" s="694">
        <v>0</v>
      </c>
      <c r="P74" s="695">
        <v>0</v>
      </c>
      <c r="Q74" s="694">
        <v>0.5297334860239471</v>
      </c>
      <c r="R74" s="696">
        <v>0.517240761960017</v>
      </c>
      <c r="S74" s="696">
        <v>0</v>
      </c>
      <c r="T74" s="696">
        <v>0</v>
      </c>
      <c r="U74" s="695">
        <v>0</v>
      </c>
      <c r="V74" s="678"/>
      <c r="W74" s="682"/>
      <c r="X74" s="682"/>
      <c r="Y74" s="682"/>
      <c r="Z74" s="681"/>
      <c r="AA74" s="678"/>
      <c r="AB74" s="682"/>
      <c r="AC74" s="682"/>
      <c r="AD74" s="682"/>
      <c r="AE74" s="681"/>
      <c r="AF74" s="680"/>
      <c r="AG74" s="682"/>
      <c r="AH74" s="682"/>
      <c r="AI74" s="686"/>
      <c r="AJ74" s="687"/>
      <c r="AK74" s="697" t="s">
        <v>1055</v>
      </c>
    </row>
    <row r="75" spans="2:37" s="674" customFormat="1">
      <c r="B75" s="689">
        <v>30</v>
      </c>
      <c r="C75" s="690" t="s">
        <v>1056</v>
      </c>
      <c r="D75" s="690" t="s">
        <v>994</v>
      </c>
      <c r="E75" s="690" t="s">
        <v>994</v>
      </c>
      <c r="F75" s="690" t="s">
        <v>995</v>
      </c>
      <c r="G75" s="691">
        <v>2007</v>
      </c>
      <c r="H75" s="677"/>
      <c r="I75" s="691">
        <v>40</v>
      </c>
      <c r="J75" s="692">
        <v>1.0326012169223362</v>
      </c>
      <c r="K75" s="693">
        <v>1.0326012169223362</v>
      </c>
      <c r="L75" s="692">
        <v>0</v>
      </c>
      <c r="M75" s="694">
        <v>0</v>
      </c>
      <c r="N75" s="694">
        <v>0</v>
      </c>
      <c r="O75" s="694">
        <v>0</v>
      </c>
      <c r="P75" s="695">
        <v>0</v>
      </c>
      <c r="Q75" s="694">
        <v>0</v>
      </c>
      <c r="R75" s="696">
        <v>0</v>
      </c>
      <c r="S75" s="696">
        <v>1.0326012169223362</v>
      </c>
      <c r="T75" s="696">
        <v>0</v>
      </c>
      <c r="U75" s="695">
        <v>0</v>
      </c>
      <c r="V75" s="678"/>
      <c r="W75" s="682"/>
      <c r="X75" s="682"/>
      <c r="Y75" s="682"/>
      <c r="Z75" s="681"/>
      <c r="AA75" s="678"/>
      <c r="AB75" s="682"/>
      <c r="AC75" s="682"/>
      <c r="AD75" s="682"/>
      <c r="AE75" s="681"/>
      <c r="AF75" s="680"/>
      <c r="AG75" s="682"/>
      <c r="AH75" s="682"/>
      <c r="AI75" s="686"/>
      <c r="AJ75" s="687"/>
      <c r="AK75" s="697" t="s">
        <v>1057</v>
      </c>
    </row>
    <row r="76" spans="2:37" s="674" customFormat="1">
      <c r="B76" s="689">
        <v>31</v>
      </c>
      <c r="C76" s="690" t="s">
        <v>1058</v>
      </c>
      <c r="D76" s="690" t="s">
        <v>401</v>
      </c>
      <c r="E76" s="690" t="s">
        <v>401</v>
      </c>
      <c r="F76" s="690" t="s">
        <v>998</v>
      </c>
      <c r="G76" s="691">
        <v>2007</v>
      </c>
      <c r="H76" s="677"/>
      <c r="I76" s="691">
        <v>117</v>
      </c>
      <c r="J76" s="692">
        <v>0.74162688043352587</v>
      </c>
      <c r="K76" s="693">
        <v>0.74162688043352587</v>
      </c>
      <c r="L76" s="692">
        <v>0</v>
      </c>
      <c r="M76" s="694">
        <v>0</v>
      </c>
      <c r="N76" s="694">
        <v>0</v>
      </c>
      <c r="O76" s="694">
        <v>0</v>
      </c>
      <c r="P76" s="695">
        <v>0</v>
      </c>
      <c r="Q76" s="694">
        <v>0.74162688043352587</v>
      </c>
      <c r="R76" s="696">
        <v>0</v>
      </c>
      <c r="S76" s="696">
        <v>0</v>
      </c>
      <c r="T76" s="696">
        <v>0</v>
      </c>
      <c r="U76" s="695">
        <v>0</v>
      </c>
      <c r="V76" s="678"/>
      <c r="W76" s="682"/>
      <c r="X76" s="682"/>
      <c r="Y76" s="682"/>
      <c r="Z76" s="681"/>
      <c r="AA76" s="678"/>
      <c r="AB76" s="682"/>
      <c r="AC76" s="682"/>
      <c r="AD76" s="682"/>
      <c r="AE76" s="681"/>
      <c r="AF76" s="680"/>
      <c r="AG76" s="682"/>
      <c r="AH76" s="682"/>
      <c r="AI76" s="686"/>
      <c r="AJ76" s="687"/>
      <c r="AK76" s="697" t="s">
        <v>1059</v>
      </c>
    </row>
    <row r="77" spans="2:37" s="674" customFormat="1">
      <c r="B77" s="689">
        <v>32</v>
      </c>
      <c r="C77" s="690" t="s">
        <v>1060</v>
      </c>
      <c r="D77" s="690" t="s">
        <v>401</v>
      </c>
      <c r="E77" s="690" t="s">
        <v>401</v>
      </c>
      <c r="F77" s="690" t="s">
        <v>1003</v>
      </c>
      <c r="G77" s="691">
        <v>2014</v>
      </c>
      <c r="H77" s="677"/>
      <c r="I77" s="691">
        <v>117</v>
      </c>
      <c r="J77" s="692">
        <v>2.0735166755242469</v>
      </c>
      <c r="K77" s="693">
        <v>2.0735166755242469</v>
      </c>
      <c r="L77" s="692">
        <v>0</v>
      </c>
      <c r="M77" s="694">
        <v>0</v>
      </c>
      <c r="N77" s="694">
        <v>0</v>
      </c>
      <c r="O77" s="694">
        <v>0</v>
      </c>
      <c r="P77" s="695">
        <v>0</v>
      </c>
      <c r="Q77" s="694">
        <v>0</v>
      </c>
      <c r="R77" s="696">
        <v>0</v>
      </c>
      <c r="S77" s="696">
        <v>0</v>
      </c>
      <c r="T77" s="696">
        <v>1.0320571790765745</v>
      </c>
      <c r="U77" s="695">
        <v>1.0414594964476727</v>
      </c>
      <c r="V77" s="678"/>
      <c r="W77" s="682"/>
      <c r="X77" s="682"/>
      <c r="Y77" s="682"/>
      <c r="Z77" s="681"/>
      <c r="AA77" s="678"/>
      <c r="AB77" s="682"/>
      <c r="AC77" s="682"/>
      <c r="AD77" s="682"/>
      <c r="AE77" s="681"/>
      <c r="AF77" s="680"/>
      <c r="AG77" s="682"/>
      <c r="AH77" s="682"/>
      <c r="AI77" s="686"/>
      <c r="AJ77" s="687"/>
      <c r="AK77" s="697" t="s">
        <v>1061</v>
      </c>
    </row>
    <row r="78" spans="2:37" s="674" customFormat="1">
      <c r="B78" s="689">
        <v>33</v>
      </c>
      <c r="C78" s="690" t="s">
        <v>1062</v>
      </c>
      <c r="D78" s="690" t="s">
        <v>994</v>
      </c>
      <c r="E78" s="690" t="s">
        <v>994</v>
      </c>
      <c r="F78" s="690" t="s">
        <v>998</v>
      </c>
      <c r="G78" s="691">
        <v>2012</v>
      </c>
      <c r="H78" s="677"/>
      <c r="I78" s="691">
        <v>24</v>
      </c>
      <c r="J78" s="692">
        <v>1.239012652737651</v>
      </c>
      <c r="K78" s="693">
        <v>1.239012652737651</v>
      </c>
      <c r="L78" s="692">
        <v>0</v>
      </c>
      <c r="M78" s="694">
        <v>0</v>
      </c>
      <c r="N78" s="694">
        <v>0</v>
      </c>
      <c r="O78" s="694">
        <v>0</v>
      </c>
      <c r="P78" s="695">
        <v>0</v>
      </c>
      <c r="Q78" s="694">
        <v>0</v>
      </c>
      <c r="R78" s="696">
        <v>0</v>
      </c>
      <c r="S78" s="696">
        <v>1.0326012169223362</v>
      </c>
      <c r="T78" s="696">
        <v>0.2064114358153149</v>
      </c>
      <c r="U78" s="695">
        <v>0</v>
      </c>
      <c r="V78" s="678"/>
      <c r="W78" s="682"/>
      <c r="X78" s="682"/>
      <c r="Y78" s="682"/>
      <c r="Z78" s="681"/>
      <c r="AA78" s="678"/>
      <c r="AB78" s="682"/>
      <c r="AC78" s="682"/>
      <c r="AD78" s="682"/>
      <c r="AE78" s="681"/>
      <c r="AF78" s="680"/>
      <c r="AG78" s="682"/>
      <c r="AH78" s="682"/>
      <c r="AI78" s="686"/>
      <c r="AJ78" s="687"/>
      <c r="AK78" s="697" t="s">
        <v>1063</v>
      </c>
    </row>
    <row r="79" spans="2:37" s="674" customFormat="1">
      <c r="B79" s="689">
        <v>34</v>
      </c>
      <c r="C79" s="690" t="s">
        <v>1064</v>
      </c>
      <c r="D79" s="690" t="s">
        <v>994</v>
      </c>
      <c r="E79" s="690" t="s">
        <v>994</v>
      </c>
      <c r="F79" s="690" t="s">
        <v>995</v>
      </c>
      <c r="G79" s="691">
        <v>2008</v>
      </c>
      <c r="H79" s="677"/>
      <c r="I79" s="691">
        <v>16</v>
      </c>
      <c r="J79" s="692">
        <v>0.5297334860239471</v>
      </c>
      <c r="K79" s="693">
        <v>0.5297334860239471</v>
      </c>
      <c r="L79" s="692">
        <v>0</v>
      </c>
      <c r="M79" s="694">
        <v>0</v>
      </c>
      <c r="N79" s="694">
        <v>0</v>
      </c>
      <c r="O79" s="694">
        <v>0</v>
      </c>
      <c r="P79" s="695">
        <v>0</v>
      </c>
      <c r="Q79" s="694">
        <v>0.5297334860239471</v>
      </c>
      <c r="R79" s="696">
        <v>0</v>
      </c>
      <c r="S79" s="696">
        <v>0</v>
      </c>
      <c r="T79" s="696">
        <v>0</v>
      </c>
      <c r="U79" s="695">
        <v>0</v>
      </c>
      <c r="V79" s="678"/>
      <c r="W79" s="682"/>
      <c r="X79" s="682"/>
      <c r="Y79" s="682"/>
      <c r="Z79" s="681"/>
      <c r="AA79" s="678"/>
      <c r="AB79" s="682"/>
      <c r="AC79" s="682"/>
      <c r="AD79" s="682"/>
      <c r="AE79" s="681"/>
      <c r="AF79" s="680"/>
      <c r="AG79" s="682"/>
      <c r="AH79" s="682"/>
      <c r="AI79" s="686"/>
      <c r="AJ79" s="687"/>
      <c r="AK79" s="697" t="s">
        <v>1065</v>
      </c>
    </row>
    <row r="80" spans="2:37" s="674" customFormat="1">
      <c r="B80" s="689">
        <v>35</v>
      </c>
      <c r="C80" s="690" t="s">
        <v>1066</v>
      </c>
      <c r="D80" s="690" t="s">
        <v>994</v>
      </c>
      <c r="E80" s="690" t="s">
        <v>994</v>
      </c>
      <c r="F80" s="690" t="s">
        <v>998</v>
      </c>
      <c r="G80" s="691">
        <v>2008</v>
      </c>
      <c r="H80" s="677"/>
      <c r="I80" s="691">
        <v>7.5</v>
      </c>
      <c r="J80" s="692">
        <v>0.84757357763831542</v>
      </c>
      <c r="K80" s="693">
        <v>0.84757357763831542</v>
      </c>
      <c r="L80" s="692">
        <v>0</v>
      </c>
      <c r="M80" s="694">
        <v>0</v>
      </c>
      <c r="N80" s="694">
        <v>0</v>
      </c>
      <c r="O80" s="694">
        <v>0</v>
      </c>
      <c r="P80" s="695">
        <v>0</v>
      </c>
      <c r="Q80" s="694">
        <v>0.84757357763831542</v>
      </c>
      <c r="R80" s="696">
        <v>0</v>
      </c>
      <c r="S80" s="696">
        <v>0</v>
      </c>
      <c r="T80" s="696">
        <v>0</v>
      </c>
      <c r="U80" s="695">
        <v>0</v>
      </c>
      <c r="V80" s="678"/>
      <c r="W80" s="682"/>
      <c r="X80" s="682"/>
      <c r="Y80" s="682"/>
      <c r="Z80" s="681"/>
      <c r="AA80" s="678"/>
      <c r="AB80" s="682"/>
      <c r="AC80" s="682"/>
      <c r="AD80" s="682"/>
      <c r="AE80" s="681"/>
      <c r="AF80" s="680"/>
      <c r="AG80" s="682"/>
      <c r="AH80" s="682"/>
      <c r="AI80" s="686"/>
      <c r="AJ80" s="687"/>
      <c r="AK80" s="697" t="s">
        <v>1067</v>
      </c>
    </row>
    <row r="81" spans="2:37" s="674" customFormat="1">
      <c r="B81" s="689">
        <v>36</v>
      </c>
      <c r="C81" s="690" t="s">
        <v>1068</v>
      </c>
      <c r="D81" s="690" t="s">
        <v>401</v>
      </c>
      <c r="E81" s="690" t="s">
        <v>401</v>
      </c>
      <c r="F81" s="690" t="s">
        <v>998</v>
      </c>
      <c r="G81" s="691">
        <v>2015</v>
      </c>
      <c r="H81" s="677"/>
      <c r="I81" s="691">
        <v>117</v>
      </c>
      <c r="J81" s="692">
        <v>0.52072974822383633</v>
      </c>
      <c r="K81" s="693">
        <v>0.52072974822383633</v>
      </c>
      <c r="L81" s="692">
        <v>0</v>
      </c>
      <c r="M81" s="694">
        <v>0</v>
      </c>
      <c r="N81" s="694">
        <v>0</v>
      </c>
      <c r="O81" s="694">
        <v>0</v>
      </c>
      <c r="P81" s="695">
        <v>0</v>
      </c>
      <c r="Q81" s="694">
        <v>0</v>
      </c>
      <c r="R81" s="696">
        <v>0</v>
      </c>
      <c r="S81" s="696">
        <v>0</v>
      </c>
      <c r="T81" s="696">
        <v>0</v>
      </c>
      <c r="U81" s="695">
        <v>0.52072974822383633</v>
      </c>
      <c r="V81" s="678"/>
      <c r="W81" s="682"/>
      <c r="X81" s="682"/>
      <c r="Y81" s="682"/>
      <c r="Z81" s="681"/>
      <c r="AA81" s="678"/>
      <c r="AB81" s="682"/>
      <c r="AC81" s="682"/>
      <c r="AD81" s="682"/>
      <c r="AE81" s="681"/>
      <c r="AF81" s="680"/>
      <c r="AG81" s="682"/>
      <c r="AH81" s="682"/>
      <c r="AI81" s="686"/>
      <c r="AJ81" s="687"/>
      <c r="AK81" s="697" t="s">
        <v>1069</v>
      </c>
    </row>
    <row r="82" spans="2:37" s="674" customFormat="1">
      <c r="B82" s="689">
        <v>37</v>
      </c>
      <c r="C82" s="690" t="s">
        <v>1070</v>
      </c>
      <c r="D82" s="690" t="s">
        <v>994</v>
      </c>
      <c r="E82" s="690" t="s">
        <v>994</v>
      </c>
      <c r="F82" s="690" t="s">
        <v>995</v>
      </c>
      <c r="G82" s="691">
        <v>2011</v>
      </c>
      <c r="H82" s="677"/>
      <c r="I82" s="691">
        <v>31</v>
      </c>
      <c r="J82" s="692">
        <v>0.5163006084611681</v>
      </c>
      <c r="K82" s="693">
        <v>0.5163006084611681</v>
      </c>
      <c r="L82" s="692">
        <v>0</v>
      </c>
      <c r="M82" s="694">
        <v>0</v>
      </c>
      <c r="N82" s="694">
        <v>0</v>
      </c>
      <c r="O82" s="694">
        <v>0</v>
      </c>
      <c r="P82" s="695">
        <v>0</v>
      </c>
      <c r="Q82" s="694">
        <v>0</v>
      </c>
      <c r="R82" s="696">
        <v>0</v>
      </c>
      <c r="S82" s="696">
        <v>0.5163006084611681</v>
      </c>
      <c r="T82" s="696">
        <v>0</v>
      </c>
      <c r="U82" s="695">
        <v>0</v>
      </c>
      <c r="V82" s="678"/>
      <c r="W82" s="682"/>
      <c r="X82" s="682"/>
      <c r="Y82" s="682"/>
      <c r="Z82" s="681"/>
      <c r="AA82" s="678"/>
      <c r="AB82" s="682"/>
      <c r="AC82" s="682"/>
      <c r="AD82" s="682"/>
      <c r="AE82" s="681"/>
      <c r="AF82" s="680"/>
      <c r="AG82" s="682"/>
      <c r="AH82" s="682"/>
      <c r="AI82" s="686"/>
      <c r="AJ82" s="687"/>
      <c r="AK82" s="697" t="s">
        <v>1071</v>
      </c>
    </row>
    <row r="83" spans="2:37" s="674" customFormat="1">
      <c r="B83" s="689">
        <v>38</v>
      </c>
      <c r="C83" s="690" t="s">
        <v>1072</v>
      </c>
      <c r="D83" s="690" t="s">
        <v>994</v>
      </c>
      <c r="E83" s="690" t="s">
        <v>994</v>
      </c>
      <c r="F83" s="690" t="s">
        <v>998</v>
      </c>
      <c r="G83" s="691">
        <v>2011</v>
      </c>
      <c r="H83" s="677"/>
      <c r="I83" s="691">
        <v>16</v>
      </c>
      <c r="J83" s="692">
        <v>1.0335413704211851</v>
      </c>
      <c r="K83" s="693">
        <v>1.0335413704211851</v>
      </c>
      <c r="L83" s="692">
        <v>0</v>
      </c>
      <c r="M83" s="694">
        <v>0</v>
      </c>
      <c r="N83" s="694">
        <v>0</v>
      </c>
      <c r="O83" s="694">
        <v>0</v>
      </c>
      <c r="P83" s="695">
        <v>0</v>
      </c>
      <c r="Q83" s="694">
        <v>0</v>
      </c>
      <c r="R83" s="696">
        <v>0.517240761960017</v>
      </c>
      <c r="S83" s="696">
        <v>0.5163006084611681</v>
      </c>
      <c r="T83" s="696">
        <v>0</v>
      </c>
      <c r="U83" s="695">
        <v>0</v>
      </c>
      <c r="V83" s="678"/>
      <c r="W83" s="682"/>
      <c r="X83" s="682"/>
      <c r="Y83" s="682"/>
      <c r="Z83" s="681"/>
      <c r="AA83" s="678"/>
      <c r="AB83" s="682"/>
      <c r="AC83" s="682"/>
      <c r="AD83" s="682"/>
      <c r="AE83" s="681"/>
      <c r="AF83" s="680"/>
      <c r="AG83" s="682"/>
      <c r="AH83" s="682"/>
      <c r="AI83" s="686"/>
      <c r="AJ83" s="687"/>
      <c r="AK83" s="697" t="s">
        <v>1073</v>
      </c>
    </row>
    <row r="84" spans="2:37" s="674" customFormat="1">
      <c r="B84" s="689">
        <v>39</v>
      </c>
      <c r="C84" s="690" t="s">
        <v>1074</v>
      </c>
      <c r="D84" s="690" t="s">
        <v>401</v>
      </c>
      <c r="E84" s="690" t="s">
        <v>401</v>
      </c>
      <c r="F84" s="690" t="s">
        <v>1003</v>
      </c>
      <c r="G84" s="691">
        <v>2014</v>
      </c>
      <c r="H84" s="677"/>
      <c r="I84" s="691">
        <v>190</v>
      </c>
      <c r="J84" s="692">
        <v>15.134092320239922</v>
      </c>
      <c r="K84" s="693">
        <v>15.134092320239922</v>
      </c>
      <c r="L84" s="692">
        <v>0</v>
      </c>
      <c r="M84" s="694">
        <v>0</v>
      </c>
      <c r="N84" s="694">
        <v>0</v>
      </c>
      <c r="O84" s="694">
        <v>0</v>
      </c>
      <c r="P84" s="695">
        <v>0</v>
      </c>
      <c r="Q84" s="694">
        <v>0</v>
      </c>
      <c r="R84" s="696">
        <v>0</v>
      </c>
      <c r="S84" s="696">
        <v>4.027144745997111</v>
      </c>
      <c r="T84" s="696">
        <v>4.0250229983986401</v>
      </c>
      <c r="U84" s="695">
        <v>7.0819245758441722</v>
      </c>
      <c r="V84" s="678"/>
      <c r="W84" s="682"/>
      <c r="X84" s="682"/>
      <c r="Y84" s="682"/>
      <c r="Z84" s="681"/>
      <c r="AA84" s="678"/>
      <c r="AB84" s="682"/>
      <c r="AC84" s="682"/>
      <c r="AD84" s="682"/>
      <c r="AE84" s="681"/>
      <c r="AF84" s="680"/>
      <c r="AG84" s="682"/>
      <c r="AH84" s="682"/>
      <c r="AI84" s="686"/>
      <c r="AJ84" s="687"/>
      <c r="AK84" s="697" t="s">
        <v>1075</v>
      </c>
    </row>
    <row r="85" spans="2:37" s="674" customFormat="1">
      <c r="B85" s="689">
        <v>40</v>
      </c>
      <c r="C85" s="690" t="s">
        <v>1076</v>
      </c>
      <c r="D85" s="690" t="s">
        <v>994</v>
      </c>
      <c r="E85" s="690" t="s">
        <v>994</v>
      </c>
      <c r="F85" s="690" t="s">
        <v>995</v>
      </c>
      <c r="G85" s="691">
        <v>2008</v>
      </c>
      <c r="H85" s="677"/>
      <c r="I85" s="691">
        <v>10</v>
      </c>
      <c r="J85" s="692">
        <v>0.20689630478400683</v>
      </c>
      <c r="K85" s="693">
        <v>0.20689630478400683</v>
      </c>
      <c r="L85" s="692">
        <v>0</v>
      </c>
      <c r="M85" s="694">
        <v>0</v>
      </c>
      <c r="N85" s="694">
        <v>0</v>
      </c>
      <c r="O85" s="694">
        <v>0</v>
      </c>
      <c r="P85" s="695">
        <v>0</v>
      </c>
      <c r="Q85" s="694">
        <v>0</v>
      </c>
      <c r="R85" s="696">
        <v>0.20689630478400683</v>
      </c>
      <c r="S85" s="696">
        <v>0</v>
      </c>
      <c r="T85" s="696">
        <v>0</v>
      </c>
      <c r="U85" s="695">
        <v>0</v>
      </c>
      <c r="V85" s="678"/>
      <c r="W85" s="682"/>
      <c r="X85" s="682"/>
      <c r="Y85" s="682"/>
      <c r="Z85" s="681"/>
      <c r="AA85" s="678"/>
      <c r="AB85" s="682"/>
      <c r="AC85" s="682"/>
      <c r="AD85" s="682"/>
      <c r="AE85" s="681"/>
      <c r="AF85" s="680"/>
      <c r="AG85" s="682"/>
      <c r="AH85" s="682"/>
      <c r="AI85" s="686"/>
      <c r="AJ85" s="687"/>
      <c r="AK85" s="697" t="s">
        <v>1077</v>
      </c>
    </row>
    <row r="86" spans="2:37" s="674" customFormat="1">
      <c r="B86" s="689">
        <v>41</v>
      </c>
      <c r="C86" s="690" t="s">
        <v>1078</v>
      </c>
      <c r="D86" s="690" t="s">
        <v>401</v>
      </c>
      <c r="E86" s="690" t="s">
        <v>401</v>
      </c>
      <c r="F86" s="690" t="s">
        <v>998</v>
      </c>
      <c r="G86" s="691">
        <v>2014</v>
      </c>
      <c r="H86" s="677"/>
      <c r="I86" s="691">
        <v>40</v>
      </c>
      <c r="J86" s="692">
        <v>3.0202325396982497</v>
      </c>
      <c r="K86" s="693">
        <v>3.0202325396982497</v>
      </c>
      <c r="L86" s="692">
        <v>0</v>
      </c>
      <c r="M86" s="694">
        <v>0</v>
      </c>
      <c r="N86" s="694">
        <v>0</v>
      </c>
      <c r="O86" s="694">
        <v>0</v>
      </c>
      <c r="P86" s="695">
        <v>0</v>
      </c>
      <c r="Q86" s="694">
        <v>0</v>
      </c>
      <c r="R86" s="696">
        <v>0</v>
      </c>
      <c r="S86" s="696">
        <v>0</v>
      </c>
      <c r="T86" s="696">
        <v>0</v>
      </c>
      <c r="U86" s="695">
        <v>3.0202325396982497</v>
      </c>
      <c r="V86" s="678"/>
      <c r="W86" s="682"/>
      <c r="X86" s="682"/>
      <c r="Y86" s="682"/>
      <c r="Z86" s="681"/>
      <c r="AA86" s="678"/>
      <c r="AB86" s="682"/>
      <c r="AC86" s="682"/>
      <c r="AD86" s="682"/>
      <c r="AE86" s="681"/>
      <c r="AF86" s="680"/>
      <c r="AG86" s="682"/>
      <c r="AH86" s="682"/>
      <c r="AI86" s="686"/>
      <c r="AJ86" s="687"/>
      <c r="AK86" s="697" t="s">
        <v>1079</v>
      </c>
    </row>
    <row r="87" spans="2:37" s="674" customFormat="1">
      <c r="B87" s="689">
        <v>42</v>
      </c>
      <c r="C87" s="690" t="s">
        <v>1080</v>
      </c>
      <c r="D87" s="690" t="s">
        <v>994</v>
      </c>
      <c r="E87" s="690" t="s">
        <v>994</v>
      </c>
      <c r="F87" s="690" t="s">
        <v>995</v>
      </c>
      <c r="G87" s="691">
        <v>2010</v>
      </c>
      <c r="H87" s="677"/>
      <c r="I87" s="691">
        <v>40</v>
      </c>
      <c r="J87" s="692">
        <v>1.2497513957372068</v>
      </c>
      <c r="K87" s="693">
        <v>1.2497513957372068</v>
      </c>
      <c r="L87" s="692">
        <v>0</v>
      </c>
      <c r="M87" s="694">
        <v>0</v>
      </c>
      <c r="N87" s="694">
        <v>0</v>
      </c>
      <c r="O87" s="694">
        <v>0</v>
      </c>
      <c r="P87" s="695">
        <v>0</v>
      </c>
      <c r="Q87" s="694">
        <v>0</v>
      </c>
      <c r="R87" s="696">
        <v>0</v>
      </c>
      <c r="S87" s="696">
        <v>0</v>
      </c>
      <c r="T87" s="696">
        <v>0</v>
      </c>
      <c r="U87" s="695">
        <v>1.2497513957372068</v>
      </c>
      <c r="V87" s="678"/>
      <c r="W87" s="682"/>
      <c r="X87" s="682"/>
      <c r="Y87" s="682"/>
      <c r="Z87" s="681"/>
      <c r="AA87" s="678"/>
      <c r="AB87" s="682"/>
      <c r="AC87" s="682"/>
      <c r="AD87" s="682"/>
      <c r="AE87" s="681"/>
      <c r="AF87" s="680"/>
      <c r="AG87" s="682"/>
      <c r="AH87" s="682"/>
      <c r="AI87" s="686"/>
      <c r="AJ87" s="687"/>
      <c r="AK87" s="697" t="s">
        <v>1081</v>
      </c>
    </row>
    <row r="88" spans="2:37" s="674" customFormat="1">
      <c r="B88" s="689">
        <v>43</v>
      </c>
      <c r="C88" s="690" t="s">
        <v>1082</v>
      </c>
      <c r="D88" s="690" t="s">
        <v>994</v>
      </c>
      <c r="E88" s="690" t="s">
        <v>994</v>
      </c>
      <c r="F88" s="690" t="s">
        <v>998</v>
      </c>
      <c r="G88" s="691">
        <v>2014</v>
      </c>
      <c r="H88" s="677"/>
      <c r="I88" s="691">
        <v>9.5</v>
      </c>
      <c r="J88" s="692">
        <v>1.3538973453819743</v>
      </c>
      <c r="K88" s="693">
        <v>1.3538973453819743</v>
      </c>
      <c r="L88" s="692">
        <v>0</v>
      </c>
      <c r="M88" s="694">
        <v>0</v>
      </c>
      <c r="N88" s="694">
        <v>0</v>
      </c>
      <c r="O88" s="694">
        <v>0</v>
      </c>
      <c r="P88" s="695">
        <v>0</v>
      </c>
      <c r="Q88" s="694">
        <v>0</v>
      </c>
      <c r="R88" s="696">
        <v>0</v>
      </c>
      <c r="S88" s="696">
        <v>0</v>
      </c>
      <c r="T88" s="696">
        <v>0</v>
      </c>
      <c r="U88" s="695">
        <v>1.3538973453819743</v>
      </c>
      <c r="V88" s="678"/>
      <c r="W88" s="682"/>
      <c r="X88" s="682"/>
      <c r="Y88" s="682"/>
      <c r="Z88" s="681"/>
      <c r="AA88" s="678"/>
      <c r="AB88" s="682"/>
      <c r="AC88" s="682"/>
      <c r="AD88" s="682"/>
      <c r="AE88" s="681"/>
      <c r="AF88" s="680"/>
      <c r="AG88" s="682"/>
      <c r="AH88" s="682"/>
      <c r="AI88" s="686"/>
      <c r="AJ88" s="687"/>
      <c r="AK88" s="697" t="s">
        <v>1083</v>
      </c>
    </row>
    <row r="89" spans="2:37" s="674" customFormat="1">
      <c r="B89" s="689">
        <v>44</v>
      </c>
      <c r="C89" s="690" t="s">
        <v>1084</v>
      </c>
      <c r="D89" s="690" t="s">
        <v>994</v>
      </c>
      <c r="E89" s="690" t="s">
        <v>994</v>
      </c>
      <c r="F89" s="690" t="s">
        <v>1003</v>
      </c>
      <c r="G89" s="691">
        <v>2008</v>
      </c>
      <c r="H89" s="677"/>
      <c r="I89" s="691">
        <v>16</v>
      </c>
      <c r="J89" s="692">
        <v>1.5892004580718411</v>
      </c>
      <c r="K89" s="693">
        <v>1.5892004580718411</v>
      </c>
      <c r="L89" s="692">
        <v>0</v>
      </c>
      <c r="M89" s="694">
        <v>0</v>
      </c>
      <c r="N89" s="694">
        <v>0</v>
      </c>
      <c r="O89" s="694">
        <v>0</v>
      </c>
      <c r="P89" s="695">
        <v>0</v>
      </c>
      <c r="Q89" s="694">
        <v>1.5892004580718411</v>
      </c>
      <c r="R89" s="696">
        <v>0</v>
      </c>
      <c r="S89" s="696">
        <v>0</v>
      </c>
      <c r="T89" s="696">
        <v>0</v>
      </c>
      <c r="U89" s="695">
        <v>0</v>
      </c>
      <c r="V89" s="678"/>
      <c r="W89" s="682"/>
      <c r="X89" s="682"/>
      <c r="Y89" s="682"/>
      <c r="Z89" s="681"/>
      <c r="AA89" s="678"/>
      <c r="AB89" s="682"/>
      <c r="AC89" s="682"/>
      <c r="AD89" s="682"/>
      <c r="AE89" s="681"/>
      <c r="AF89" s="680"/>
      <c r="AG89" s="682"/>
      <c r="AH89" s="682"/>
      <c r="AI89" s="686"/>
      <c r="AJ89" s="687"/>
      <c r="AK89" s="697" t="s">
        <v>1085</v>
      </c>
    </row>
    <row r="90" spans="2:37" s="674" customFormat="1">
      <c r="B90" s="689">
        <v>45</v>
      </c>
      <c r="C90" s="690" t="s">
        <v>1086</v>
      </c>
      <c r="D90" s="690" t="s">
        <v>994</v>
      </c>
      <c r="E90" s="690" t="s">
        <v>994</v>
      </c>
      <c r="F90" s="690" t="s">
        <v>998</v>
      </c>
      <c r="G90" s="691">
        <v>2007</v>
      </c>
      <c r="H90" s="677"/>
      <c r="I90" s="691">
        <v>40</v>
      </c>
      <c r="J90" s="692">
        <v>2.3308273385053671</v>
      </c>
      <c r="K90" s="693">
        <v>2.3308273385053671</v>
      </c>
      <c r="L90" s="692">
        <v>0</v>
      </c>
      <c r="M90" s="694">
        <v>0</v>
      </c>
      <c r="N90" s="694">
        <v>0</v>
      </c>
      <c r="O90" s="694">
        <v>0</v>
      </c>
      <c r="P90" s="695">
        <v>0</v>
      </c>
      <c r="Q90" s="694">
        <v>2.3308273385053671</v>
      </c>
      <c r="R90" s="696">
        <v>0</v>
      </c>
      <c r="S90" s="696">
        <v>0</v>
      </c>
      <c r="T90" s="696">
        <v>0</v>
      </c>
      <c r="U90" s="695">
        <v>0</v>
      </c>
      <c r="V90" s="678"/>
      <c r="W90" s="682"/>
      <c r="X90" s="682"/>
      <c r="Y90" s="682"/>
      <c r="Z90" s="681"/>
      <c r="AA90" s="678"/>
      <c r="AB90" s="682"/>
      <c r="AC90" s="682"/>
      <c r="AD90" s="682"/>
      <c r="AE90" s="681"/>
      <c r="AF90" s="680"/>
      <c r="AG90" s="682"/>
      <c r="AH90" s="682"/>
      <c r="AI90" s="686"/>
      <c r="AJ90" s="687"/>
      <c r="AK90" s="697" t="s">
        <v>1087</v>
      </c>
    </row>
    <row r="91" spans="2:37" s="674" customFormat="1">
      <c r="B91" s="689">
        <v>46</v>
      </c>
      <c r="C91" s="690" t="s">
        <v>1088</v>
      </c>
      <c r="D91" s="690" t="s">
        <v>994</v>
      </c>
      <c r="E91" s="690" t="s">
        <v>994</v>
      </c>
      <c r="F91" s="690" t="s">
        <v>998</v>
      </c>
      <c r="G91" s="691">
        <v>2011</v>
      </c>
      <c r="H91" s="677"/>
      <c r="I91" s="691">
        <v>21.75</v>
      </c>
      <c r="J91" s="692">
        <v>2.4901004741033157</v>
      </c>
      <c r="K91" s="693">
        <v>2.4901004741033157</v>
      </c>
      <c r="L91" s="692">
        <v>0</v>
      </c>
      <c r="M91" s="694">
        <v>0</v>
      </c>
      <c r="N91" s="694">
        <v>0</v>
      </c>
      <c r="O91" s="694">
        <v>0</v>
      </c>
      <c r="P91" s="695">
        <v>0</v>
      </c>
      <c r="Q91" s="694">
        <v>0</v>
      </c>
      <c r="R91" s="696">
        <v>0</v>
      </c>
      <c r="S91" s="696">
        <v>0</v>
      </c>
      <c r="T91" s="696">
        <v>1.0320571790765745</v>
      </c>
      <c r="U91" s="695">
        <v>1.4580432950267415</v>
      </c>
      <c r="V91" s="678"/>
      <c r="W91" s="682"/>
      <c r="X91" s="682"/>
      <c r="Y91" s="682"/>
      <c r="Z91" s="681"/>
      <c r="AA91" s="678"/>
      <c r="AB91" s="682"/>
      <c r="AC91" s="682"/>
      <c r="AD91" s="682"/>
      <c r="AE91" s="681"/>
      <c r="AF91" s="680"/>
      <c r="AG91" s="682"/>
      <c r="AH91" s="682"/>
      <c r="AI91" s="686"/>
      <c r="AJ91" s="687"/>
      <c r="AK91" s="697" t="s">
        <v>1089</v>
      </c>
    </row>
    <row r="92" spans="2:37" s="674" customFormat="1">
      <c r="B92" s="689">
        <v>47</v>
      </c>
      <c r="C92" s="690" t="s">
        <v>1090</v>
      </c>
      <c r="D92" s="690" t="s">
        <v>401</v>
      </c>
      <c r="E92" s="690" t="s">
        <v>401</v>
      </c>
      <c r="F92" s="690" t="s">
        <v>1003</v>
      </c>
      <c r="G92" s="691">
        <v>2008</v>
      </c>
      <c r="H92" s="677"/>
      <c r="I92" s="691">
        <v>190</v>
      </c>
      <c r="J92" s="692">
        <v>4.1319211909867866</v>
      </c>
      <c r="K92" s="693">
        <v>4.1319211909867866</v>
      </c>
      <c r="L92" s="692">
        <v>0</v>
      </c>
      <c r="M92" s="694">
        <v>0</v>
      </c>
      <c r="N92" s="694">
        <v>0</v>
      </c>
      <c r="O92" s="694">
        <v>0</v>
      </c>
      <c r="P92" s="695">
        <v>0</v>
      </c>
      <c r="Q92" s="694">
        <v>4.1319211909867866</v>
      </c>
      <c r="R92" s="696">
        <v>0</v>
      </c>
      <c r="S92" s="696">
        <v>0</v>
      </c>
      <c r="T92" s="696">
        <v>0</v>
      </c>
      <c r="U92" s="695">
        <v>0</v>
      </c>
      <c r="V92" s="678"/>
      <c r="W92" s="682"/>
      <c r="X92" s="682"/>
      <c r="Y92" s="682"/>
      <c r="Z92" s="681"/>
      <c r="AA92" s="678"/>
      <c r="AB92" s="682"/>
      <c r="AC92" s="682"/>
      <c r="AD92" s="682"/>
      <c r="AE92" s="681"/>
      <c r="AF92" s="680"/>
      <c r="AG92" s="682"/>
      <c r="AH92" s="682"/>
      <c r="AI92" s="686"/>
      <c r="AJ92" s="687"/>
      <c r="AK92" s="697" t="s">
        <v>1091</v>
      </c>
    </row>
    <row r="93" spans="2:37" s="674" customFormat="1">
      <c r="B93" s="689">
        <v>48</v>
      </c>
      <c r="C93" s="690" t="s">
        <v>1092</v>
      </c>
      <c r="D93" s="690" t="s">
        <v>401</v>
      </c>
      <c r="E93" s="690" t="s">
        <v>401</v>
      </c>
      <c r="F93" s="690" t="s">
        <v>998</v>
      </c>
      <c r="G93" s="691">
        <v>2010</v>
      </c>
      <c r="H93" s="677"/>
      <c r="I93" s="691">
        <v>117</v>
      </c>
      <c r="J93" s="692">
        <v>1.9655148954480646</v>
      </c>
      <c r="K93" s="693">
        <v>1.9655148954480646</v>
      </c>
      <c r="L93" s="692">
        <v>0</v>
      </c>
      <c r="M93" s="694">
        <v>0</v>
      </c>
      <c r="N93" s="694">
        <v>0</v>
      </c>
      <c r="O93" s="694">
        <v>0</v>
      </c>
      <c r="P93" s="695">
        <v>0</v>
      </c>
      <c r="Q93" s="694">
        <v>0</v>
      </c>
      <c r="R93" s="696">
        <v>1.9655148954480646</v>
      </c>
      <c r="S93" s="696">
        <v>0</v>
      </c>
      <c r="T93" s="696">
        <v>0</v>
      </c>
      <c r="U93" s="695">
        <v>0</v>
      </c>
      <c r="V93" s="678"/>
      <c r="W93" s="682"/>
      <c r="X93" s="682"/>
      <c r="Y93" s="682"/>
      <c r="Z93" s="681"/>
      <c r="AA93" s="678"/>
      <c r="AB93" s="682"/>
      <c r="AC93" s="682"/>
      <c r="AD93" s="682"/>
      <c r="AE93" s="681"/>
      <c r="AF93" s="680"/>
      <c r="AG93" s="682"/>
      <c r="AH93" s="682"/>
      <c r="AI93" s="686"/>
      <c r="AJ93" s="687"/>
      <c r="AK93" s="697" t="s">
        <v>1093</v>
      </c>
    </row>
    <row r="94" spans="2:37" s="674" customFormat="1">
      <c r="B94" s="689">
        <v>49</v>
      </c>
      <c r="C94" s="690" t="s">
        <v>1094</v>
      </c>
      <c r="D94" s="690" t="s">
        <v>994</v>
      </c>
      <c r="E94" s="690" t="s">
        <v>994</v>
      </c>
      <c r="F94" s="690" t="s">
        <v>998</v>
      </c>
      <c r="G94" s="691">
        <v>2008</v>
      </c>
      <c r="H94" s="677"/>
      <c r="I94" s="691">
        <v>16</v>
      </c>
      <c r="J94" s="692">
        <v>2.3992958635183665</v>
      </c>
      <c r="K94" s="693">
        <v>2.3992958635183665</v>
      </c>
      <c r="L94" s="692">
        <v>0</v>
      </c>
      <c r="M94" s="694">
        <v>0</v>
      </c>
      <c r="N94" s="694">
        <v>0</v>
      </c>
      <c r="O94" s="694">
        <v>0</v>
      </c>
      <c r="P94" s="695">
        <v>0</v>
      </c>
      <c r="Q94" s="694">
        <v>0.84757357763831542</v>
      </c>
      <c r="R94" s="696">
        <v>1.5517222858800512</v>
      </c>
      <c r="S94" s="696">
        <v>0</v>
      </c>
      <c r="T94" s="696">
        <v>0</v>
      </c>
      <c r="U94" s="695">
        <v>0</v>
      </c>
      <c r="V94" s="678"/>
      <c r="W94" s="682"/>
      <c r="X94" s="682"/>
      <c r="Y94" s="682"/>
      <c r="Z94" s="681"/>
      <c r="AA94" s="678"/>
      <c r="AB94" s="682"/>
      <c r="AC94" s="682"/>
      <c r="AD94" s="682"/>
      <c r="AE94" s="681"/>
      <c r="AF94" s="680"/>
      <c r="AG94" s="682"/>
      <c r="AH94" s="682"/>
      <c r="AI94" s="686"/>
      <c r="AJ94" s="687"/>
      <c r="AK94" s="697" t="s">
        <v>1095</v>
      </c>
    </row>
    <row r="95" spans="2:37" s="674" customFormat="1">
      <c r="B95" s="689">
        <v>50</v>
      </c>
      <c r="C95" s="690" t="s">
        <v>1096</v>
      </c>
      <c r="D95" s="690" t="s">
        <v>994</v>
      </c>
      <c r="E95" s="690" t="s">
        <v>994</v>
      </c>
      <c r="F95" s="690" t="s">
        <v>998</v>
      </c>
      <c r="G95" s="691">
        <v>2013</v>
      </c>
      <c r="H95" s="677"/>
      <c r="I95" s="691">
        <v>0</v>
      </c>
      <c r="J95" s="692">
        <v>0.20829189928953451</v>
      </c>
      <c r="K95" s="693">
        <v>0.20829189928953451</v>
      </c>
      <c r="L95" s="692">
        <v>0</v>
      </c>
      <c r="M95" s="694">
        <v>0</v>
      </c>
      <c r="N95" s="694">
        <v>0</v>
      </c>
      <c r="O95" s="694">
        <v>0</v>
      </c>
      <c r="P95" s="695">
        <v>0</v>
      </c>
      <c r="Q95" s="694">
        <v>0</v>
      </c>
      <c r="R95" s="696">
        <v>0</v>
      </c>
      <c r="S95" s="696">
        <v>0</v>
      </c>
      <c r="T95" s="696">
        <v>0</v>
      </c>
      <c r="U95" s="695">
        <v>0.20829189928953451</v>
      </c>
      <c r="V95" s="678"/>
      <c r="W95" s="682"/>
      <c r="X95" s="682"/>
      <c r="Y95" s="682"/>
      <c r="Z95" s="681"/>
      <c r="AA95" s="678"/>
      <c r="AB95" s="682"/>
      <c r="AC95" s="682"/>
      <c r="AD95" s="682"/>
      <c r="AE95" s="681"/>
      <c r="AF95" s="680"/>
      <c r="AG95" s="682"/>
      <c r="AH95" s="682"/>
      <c r="AI95" s="686"/>
      <c r="AJ95" s="687"/>
      <c r="AK95" s="697" t="s">
        <v>1097</v>
      </c>
    </row>
    <row r="96" spans="2:37" s="674" customFormat="1">
      <c r="B96" s="689">
        <v>51</v>
      </c>
      <c r="C96" s="690" t="s">
        <v>1098</v>
      </c>
      <c r="D96" s="690" t="s">
        <v>401</v>
      </c>
      <c r="E96" s="690" t="s">
        <v>401</v>
      </c>
      <c r="F96" s="690" t="s">
        <v>1099</v>
      </c>
      <c r="G96" s="691">
        <v>2015</v>
      </c>
      <c r="H96" s="677"/>
      <c r="I96" s="691">
        <v>99.8</v>
      </c>
      <c r="J96" s="692">
        <v>4.3543850186009188</v>
      </c>
      <c r="K96" s="693">
        <v>4.3543850186009188</v>
      </c>
      <c r="L96" s="692">
        <v>0</v>
      </c>
      <c r="M96" s="694">
        <v>0</v>
      </c>
      <c r="N96" s="694">
        <v>0</v>
      </c>
      <c r="O96" s="694">
        <v>0</v>
      </c>
      <c r="P96" s="695">
        <v>0</v>
      </c>
      <c r="Q96" s="694">
        <v>0</v>
      </c>
      <c r="R96" s="696">
        <v>0</v>
      </c>
      <c r="S96" s="696">
        <v>0</v>
      </c>
      <c r="T96" s="696">
        <v>2.1673200760608062</v>
      </c>
      <c r="U96" s="695">
        <v>2.1870649425401121</v>
      </c>
      <c r="V96" s="678"/>
      <c r="W96" s="682"/>
      <c r="X96" s="682"/>
      <c r="Y96" s="682"/>
      <c r="Z96" s="681"/>
      <c r="AA96" s="678"/>
      <c r="AB96" s="682"/>
      <c r="AC96" s="682"/>
      <c r="AD96" s="682"/>
      <c r="AE96" s="681"/>
      <c r="AF96" s="680"/>
      <c r="AG96" s="682"/>
      <c r="AH96" s="682"/>
      <c r="AI96" s="686"/>
      <c r="AJ96" s="687"/>
      <c r="AK96" s="697" t="s">
        <v>1100</v>
      </c>
    </row>
    <row r="97" spans="2:37" s="674" customFormat="1" ht="13.5" thickBot="1">
      <c r="B97" s="689">
        <v>52</v>
      </c>
      <c r="C97" s="690" t="s">
        <v>1101</v>
      </c>
      <c r="D97" s="690" t="s">
        <v>994</v>
      </c>
      <c r="E97" s="690" t="s">
        <v>994</v>
      </c>
      <c r="F97" s="690" t="s">
        <v>998</v>
      </c>
      <c r="G97" s="691">
        <v>2010</v>
      </c>
      <c r="H97" s="691"/>
      <c r="I97" s="691">
        <v>24</v>
      </c>
      <c r="J97" s="692">
        <v>0.52072974822383633</v>
      </c>
      <c r="K97" s="693">
        <v>0.52072974822383633</v>
      </c>
      <c r="L97" s="692">
        <v>0</v>
      </c>
      <c r="M97" s="694">
        <v>0</v>
      </c>
      <c r="N97" s="694">
        <v>0</v>
      </c>
      <c r="O97" s="694">
        <v>0</v>
      </c>
      <c r="P97" s="695">
        <v>0</v>
      </c>
      <c r="Q97" s="694">
        <v>0</v>
      </c>
      <c r="R97" s="696">
        <v>0</v>
      </c>
      <c r="S97" s="696">
        <v>0</v>
      </c>
      <c r="T97" s="696">
        <v>0</v>
      </c>
      <c r="U97" s="695">
        <v>0.52072974822383633</v>
      </c>
      <c r="V97" s="698"/>
      <c r="W97" s="699"/>
      <c r="X97" s="699"/>
      <c r="Y97" s="699"/>
      <c r="Z97" s="700"/>
      <c r="AA97" s="698"/>
      <c r="AB97" s="699"/>
      <c r="AC97" s="699"/>
      <c r="AD97" s="699"/>
      <c r="AE97" s="700"/>
      <c r="AF97" s="680"/>
      <c r="AG97" s="682"/>
      <c r="AH97" s="682"/>
      <c r="AI97" s="686"/>
      <c r="AJ97" s="687"/>
      <c r="AK97" s="697" t="s">
        <v>1102</v>
      </c>
    </row>
    <row r="98" spans="2:37" s="674" customFormat="1">
      <c r="B98" s="689">
        <v>53</v>
      </c>
      <c r="C98" s="690" t="s">
        <v>1103</v>
      </c>
      <c r="D98" s="690" t="s">
        <v>994</v>
      </c>
      <c r="E98" s="690" t="s">
        <v>994</v>
      </c>
      <c r="F98" s="690" t="s">
        <v>998</v>
      </c>
      <c r="G98" s="691">
        <v>2010</v>
      </c>
      <c r="H98" s="677"/>
      <c r="I98" s="691">
        <v>16</v>
      </c>
      <c r="J98" s="692">
        <v>1.0469742479839641</v>
      </c>
      <c r="K98" s="693">
        <v>1.0469742479839641</v>
      </c>
      <c r="L98" s="692">
        <v>0</v>
      </c>
      <c r="M98" s="694">
        <v>0</v>
      </c>
      <c r="N98" s="694">
        <v>0</v>
      </c>
      <c r="O98" s="694">
        <v>0</v>
      </c>
      <c r="P98" s="695">
        <v>0</v>
      </c>
      <c r="Q98" s="694">
        <v>0.5297334860239471</v>
      </c>
      <c r="R98" s="696">
        <v>0.517240761960017</v>
      </c>
      <c r="S98" s="696">
        <v>0</v>
      </c>
      <c r="T98" s="696">
        <v>0</v>
      </c>
      <c r="U98" s="695">
        <v>0</v>
      </c>
      <c r="V98" s="678"/>
      <c r="W98" s="682"/>
      <c r="X98" s="682"/>
      <c r="Y98" s="682"/>
      <c r="Z98" s="681"/>
      <c r="AA98" s="678"/>
      <c r="AB98" s="682"/>
      <c r="AC98" s="682"/>
      <c r="AD98" s="682"/>
      <c r="AE98" s="681"/>
      <c r="AF98" s="680"/>
      <c r="AG98" s="682"/>
      <c r="AH98" s="682"/>
      <c r="AI98" s="686"/>
      <c r="AJ98" s="687"/>
      <c r="AK98" s="697" t="s">
        <v>1104</v>
      </c>
    </row>
    <row r="99" spans="2:37" s="674" customFormat="1">
      <c r="B99" s="689">
        <v>54</v>
      </c>
      <c r="C99" s="690" t="s">
        <v>1105</v>
      </c>
      <c r="D99" s="690" t="s">
        <v>401</v>
      </c>
      <c r="E99" s="690" t="s">
        <v>401</v>
      </c>
      <c r="F99" s="690" t="s">
        <v>995</v>
      </c>
      <c r="G99" s="691">
        <v>2011</v>
      </c>
      <c r="H99" s="677"/>
      <c r="I99" s="691">
        <v>117</v>
      </c>
      <c r="J99" s="692">
        <v>30.657600688092032</v>
      </c>
      <c r="K99" s="693">
        <v>30.090100688092029</v>
      </c>
      <c r="L99" s="692">
        <v>0</v>
      </c>
      <c r="M99" s="694">
        <v>0</v>
      </c>
      <c r="N99" s="694">
        <v>0</v>
      </c>
      <c r="O99" s="694">
        <v>0</v>
      </c>
      <c r="P99" s="695">
        <v>0.5675</v>
      </c>
      <c r="Q99" s="694">
        <v>1.0594669720478942</v>
      </c>
      <c r="R99" s="696">
        <v>10.03447078202433</v>
      </c>
      <c r="S99" s="696">
        <v>11.978174116299099</v>
      </c>
      <c r="T99" s="696">
        <v>7.0179888177207062</v>
      </c>
      <c r="U99" s="695">
        <v>0</v>
      </c>
      <c r="V99" s="678"/>
      <c r="W99" s="682"/>
      <c r="X99" s="682"/>
      <c r="Y99" s="682"/>
      <c r="Z99" s="681"/>
      <c r="AA99" s="678"/>
      <c r="AB99" s="682"/>
      <c r="AC99" s="682"/>
      <c r="AD99" s="682"/>
      <c r="AE99" s="681"/>
      <c r="AF99" s="680"/>
      <c r="AG99" s="682"/>
      <c r="AH99" s="682"/>
      <c r="AI99" s="686"/>
      <c r="AJ99" s="687"/>
      <c r="AK99" s="697" t="s">
        <v>1106</v>
      </c>
    </row>
    <row r="100" spans="2:37" s="674" customFormat="1">
      <c r="B100" s="689">
        <v>55</v>
      </c>
      <c r="C100" s="690" t="s">
        <v>1107</v>
      </c>
      <c r="D100" s="690" t="s">
        <v>994</v>
      </c>
      <c r="E100" s="690" t="s">
        <v>994</v>
      </c>
      <c r="F100" s="690" t="s">
        <v>995</v>
      </c>
      <c r="G100" s="691">
        <v>2013</v>
      </c>
      <c r="H100" s="677"/>
      <c r="I100" s="691">
        <v>15</v>
      </c>
      <c r="J100" s="692">
        <v>0.72244002535360208</v>
      </c>
      <c r="K100" s="693">
        <v>0.72244002535360208</v>
      </c>
      <c r="L100" s="692">
        <v>0</v>
      </c>
      <c r="M100" s="694">
        <v>0</v>
      </c>
      <c r="N100" s="694">
        <v>0</v>
      </c>
      <c r="O100" s="694">
        <v>0</v>
      </c>
      <c r="P100" s="695">
        <v>0</v>
      </c>
      <c r="Q100" s="694">
        <v>0</v>
      </c>
      <c r="R100" s="696">
        <v>0</v>
      </c>
      <c r="S100" s="696">
        <v>0</v>
      </c>
      <c r="T100" s="696">
        <v>0.72244002535360208</v>
      </c>
      <c r="U100" s="695">
        <v>0</v>
      </c>
      <c r="V100" s="678"/>
      <c r="W100" s="682"/>
      <c r="X100" s="682"/>
      <c r="Y100" s="682"/>
      <c r="Z100" s="681"/>
      <c r="AA100" s="678"/>
      <c r="AB100" s="682"/>
      <c r="AC100" s="682"/>
      <c r="AD100" s="682"/>
      <c r="AE100" s="681"/>
      <c r="AF100" s="680"/>
      <c r="AG100" s="682"/>
      <c r="AH100" s="682"/>
      <c r="AI100" s="686"/>
      <c r="AJ100" s="687"/>
      <c r="AK100" s="697" t="s">
        <v>1108</v>
      </c>
    </row>
    <row r="101" spans="2:37" s="674" customFormat="1">
      <c r="B101" s="689">
        <v>56</v>
      </c>
      <c r="C101" s="690" t="s">
        <v>1109</v>
      </c>
      <c r="D101" s="690" t="s">
        <v>994</v>
      </c>
      <c r="E101" s="690" t="s">
        <v>994</v>
      </c>
      <c r="F101" s="690" t="s">
        <v>995</v>
      </c>
      <c r="G101" s="691">
        <v>2008</v>
      </c>
      <c r="H101" s="677"/>
      <c r="I101" s="691">
        <v>24</v>
      </c>
      <c r="J101" s="692">
        <v>0.63568018322873654</v>
      </c>
      <c r="K101" s="693">
        <v>0.63568018322873654</v>
      </c>
      <c r="L101" s="692">
        <v>0</v>
      </c>
      <c r="M101" s="694">
        <v>0</v>
      </c>
      <c r="N101" s="694">
        <v>0</v>
      </c>
      <c r="O101" s="694">
        <v>0</v>
      </c>
      <c r="P101" s="695">
        <v>0</v>
      </c>
      <c r="Q101" s="694">
        <v>0.63568018322873654</v>
      </c>
      <c r="R101" s="696">
        <v>0</v>
      </c>
      <c r="S101" s="696">
        <v>0</v>
      </c>
      <c r="T101" s="696">
        <v>0</v>
      </c>
      <c r="U101" s="695">
        <v>0</v>
      </c>
      <c r="V101" s="678"/>
      <c r="W101" s="682"/>
      <c r="X101" s="682"/>
      <c r="Y101" s="682"/>
      <c r="Z101" s="681"/>
      <c r="AA101" s="678"/>
      <c r="AB101" s="682"/>
      <c r="AC101" s="682"/>
      <c r="AD101" s="682"/>
      <c r="AE101" s="681"/>
      <c r="AF101" s="680"/>
      <c r="AG101" s="682"/>
      <c r="AH101" s="682"/>
      <c r="AI101" s="686"/>
      <c r="AJ101" s="687"/>
      <c r="AK101" s="697" t="s">
        <v>1110</v>
      </c>
    </row>
    <row r="102" spans="2:37" s="674" customFormat="1">
      <c r="B102" s="689">
        <v>57</v>
      </c>
      <c r="C102" s="690" t="s">
        <v>1111</v>
      </c>
      <c r="D102" s="690" t="s">
        <v>994</v>
      </c>
      <c r="E102" s="690" t="s">
        <v>994</v>
      </c>
      <c r="F102" s="690" t="s">
        <v>1112</v>
      </c>
      <c r="G102" s="691">
        <v>2012</v>
      </c>
      <c r="H102" s="677"/>
      <c r="I102" s="691">
        <v>0</v>
      </c>
      <c r="J102" s="692">
        <v>1.239012652737651</v>
      </c>
      <c r="K102" s="693">
        <v>1.239012652737651</v>
      </c>
      <c r="L102" s="692">
        <v>0</v>
      </c>
      <c r="M102" s="694">
        <v>0</v>
      </c>
      <c r="N102" s="694">
        <v>0</v>
      </c>
      <c r="O102" s="694">
        <v>0</v>
      </c>
      <c r="P102" s="695">
        <v>0</v>
      </c>
      <c r="Q102" s="694">
        <v>0</v>
      </c>
      <c r="R102" s="696">
        <v>0</v>
      </c>
      <c r="S102" s="696">
        <v>1.0326012169223362</v>
      </c>
      <c r="T102" s="696">
        <v>0.2064114358153149</v>
      </c>
      <c r="U102" s="695">
        <v>0</v>
      </c>
      <c r="V102" s="678"/>
      <c r="W102" s="682"/>
      <c r="X102" s="682"/>
      <c r="Y102" s="682"/>
      <c r="Z102" s="681"/>
      <c r="AA102" s="678"/>
      <c r="AB102" s="682"/>
      <c r="AC102" s="682"/>
      <c r="AD102" s="682"/>
      <c r="AE102" s="681"/>
      <c r="AF102" s="680"/>
      <c r="AG102" s="682"/>
      <c r="AH102" s="682"/>
      <c r="AI102" s="686"/>
      <c r="AJ102" s="687"/>
      <c r="AK102" s="697" t="s">
        <v>1113</v>
      </c>
    </row>
    <row r="103" spans="2:37" s="674" customFormat="1">
      <c r="B103" s="689">
        <v>58</v>
      </c>
      <c r="C103" s="690" t="s">
        <v>1114</v>
      </c>
      <c r="D103" s="690" t="s">
        <v>994</v>
      </c>
      <c r="E103" s="690" t="s">
        <v>994</v>
      </c>
      <c r="F103" s="690" t="s">
        <v>998</v>
      </c>
      <c r="G103" s="691">
        <v>2010</v>
      </c>
      <c r="H103" s="677"/>
      <c r="I103" s="691">
        <v>24</v>
      </c>
      <c r="J103" s="692">
        <v>1.4473339799891987</v>
      </c>
      <c r="K103" s="693">
        <v>1.4473339799891987</v>
      </c>
      <c r="L103" s="692">
        <v>0</v>
      </c>
      <c r="M103" s="694">
        <v>0</v>
      </c>
      <c r="N103" s="694">
        <v>0</v>
      </c>
      <c r="O103" s="694">
        <v>0</v>
      </c>
      <c r="P103" s="695">
        <v>0</v>
      </c>
      <c r="Q103" s="694">
        <v>0</v>
      </c>
      <c r="R103" s="696">
        <v>0.93103337152803067</v>
      </c>
      <c r="S103" s="696">
        <v>0.5163006084611681</v>
      </c>
      <c r="T103" s="696">
        <v>0</v>
      </c>
      <c r="U103" s="695">
        <v>0</v>
      </c>
      <c r="V103" s="678"/>
      <c r="W103" s="682"/>
      <c r="X103" s="682"/>
      <c r="Y103" s="682"/>
      <c r="Z103" s="681"/>
      <c r="AA103" s="678"/>
      <c r="AB103" s="682"/>
      <c r="AC103" s="682"/>
      <c r="AD103" s="682"/>
      <c r="AE103" s="681"/>
      <c r="AF103" s="680"/>
      <c r="AG103" s="682"/>
      <c r="AH103" s="682"/>
      <c r="AI103" s="686"/>
      <c r="AJ103" s="687"/>
      <c r="AK103" s="697" t="s">
        <v>1115</v>
      </c>
    </row>
    <row r="104" spans="2:37" s="674" customFormat="1">
      <c r="B104" s="689">
        <v>59</v>
      </c>
      <c r="C104" s="690" t="s">
        <v>1116</v>
      </c>
      <c r="D104" s="690" t="s">
        <v>401</v>
      </c>
      <c r="E104" s="690" t="s">
        <v>401</v>
      </c>
      <c r="F104" s="690" t="s">
        <v>1003</v>
      </c>
      <c r="G104" s="691">
        <v>2010</v>
      </c>
      <c r="H104" s="677"/>
      <c r="I104" s="691">
        <v>40</v>
      </c>
      <c r="J104" s="692">
        <v>0.20689630478400683</v>
      </c>
      <c r="K104" s="693">
        <v>0.20689630478400683</v>
      </c>
      <c r="L104" s="692">
        <v>0</v>
      </c>
      <c r="M104" s="694">
        <v>0</v>
      </c>
      <c r="N104" s="694">
        <v>0</v>
      </c>
      <c r="O104" s="694">
        <v>0</v>
      </c>
      <c r="P104" s="695">
        <v>0</v>
      </c>
      <c r="Q104" s="694">
        <v>0</v>
      </c>
      <c r="R104" s="696">
        <v>0.20689630478400683</v>
      </c>
      <c r="S104" s="696">
        <v>0</v>
      </c>
      <c r="T104" s="696">
        <v>0</v>
      </c>
      <c r="U104" s="695">
        <v>0</v>
      </c>
      <c r="V104" s="678"/>
      <c r="W104" s="682"/>
      <c r="X104" s="682"/>
      <c r="Y104" s="682"/>
      <c r="Z104" s="681"/>
      <c r="AA104" s="678"/>
      <c r="AB104" s="682"/>
      <c r="AC104" s="682"/>
      <c r="AD104" s="682"/>
      <c r="AE104" s="681"/>
      <c r="AF104" s="680"/>
      <c r="AG104" s="682"/>
      <c r="AH104" s="682"/>
      <c r="AI104" s="686"/>
      <c r="AJ104" s="687"/>
      <c r="AK104" s="697" t="s">
        <v>1117</v>
      </c>
    </row>
    <row r="105" spans="2:37" s="674" customFormat="1">
      <c r="B105" s="689">
        <v>60</v>
      </c>
      <c r="C105" s="690" t="s">
        <v>1118</v>
      </c>
      <c r="D105" s="690" t="s">
        <v>994</v>
      </c>
      <c r="E105" s="690" t="s">
        <v>994</v>
      </c>
      <c r="F105" s="690" t="s">
        <v>1119</v>
      </c>
      <c r="G105" s="691">
        <v>2009</v>
      </c>
      <c r="H105" s="677"/>
      <c r="I105" s="691">
        <v>10</v>
      </c>
      <c r="J105" s="692">
        <v>0.5297334860239471</v>
      </c>
      <c r="K105" s="693">
        <v>0.5297334860239471</v>
      </c>
      <c r="L105" s="692">
        <v>0</v>
      </c>
      <c r="M105" s="694">
        <v>0</v>
      </c>
      <c r="N105" s="694">
        <v>0</v>
      </c>
      <c r="O105" s="694">
        <v>0</v>
      </c>
      <c r="P105" s="695">
        <v>0</v>
      </c>
      <c r="Q105" s="694">
        <v>0.5297334860239471</v>
      </c>
      <c r="R105" s="696">
        <v>0</v>
      </c>
      <c r="S105" s="696">
        <v>0</v>
      </c>
      <c r="T105" s="696">
        <v>0</v>
      </c>
      <c r="U105" s="695">
        <v>0</v>
      </c>
      <c r="V105" s="678"/>
      <c r="W105" s="682"/>
      <c r="X105" s="682"/>
      <c r="Y105" s="682"/>
      <c r="Z105" s="681"/>
      <c r="AA105" s="678"/>
      <c r="AB105" s="682"/>
      <c r="AC105" s="682"/>
      <c r="AD105" s="682"/>
      <c r="AE105" s="681"/>
      <c r="AF105" s="680"/>
      <c r="AG105" s="682"/>
      <c r="AH105" s="682"/>
      <c r="AI105" s="686"/>
      <c r="AJ105" s="687"/>
      <c r="AK105" s="697" t="s">
        <v>1120</v>
      </c>
    </row>
    <row r="106" spans="2:37" s="674" customFormat="1">
      <c r="B106" s="689">
        <v>61</v>
      </c>
      <c r="C106" s="690" t="s">
        <v>1121</v>
      </c>
      <c r="D106" s="690" t="s">
        <v>994</v>
      </c>
      <c r="E106" s="690" t="s">
        <v>994</v>
      </c>
      <c r="F106" s="690" t="s">
        <v>995</v>
      </c>
      <c r="G106" s="691">
        <v>2014</v>
      </c>
      <c r="H106" s="677"/>
      <c r="I106" s="691">
        <v>4</v>
      </c>
      <c r="J106" s="692">
        <v>0.20829189928953451</v>
      </c>
      <c r="K106" s="693">
        <v>0.20829189928953451</v>
      </c>
      <c r="L106" s="692">
        <v>0</v>
      </c>
      <c r="M106" s="694">
        <v>0</v>
      </c>
      <c r="N106" s="694">
        <v>0</v>
      </c>
      <c r="O106" s="694">
        <v>0</v>
      </c>
      <c r="P106" s="695">
        <v>0</v>
      </c>
      <c r="Q106" s="694">
        <v>0</v>
      </c>
      <c r="R106" s="696">
        <v>0</v>
      </c>
      <c r="S106" s="696">
        <v>0</v>
      </c>
      <c r="T106" s="696">
        <v>0</v>
      </c>
      <c r="U106" s="695">
        <v>0.20829189928953451</v>
      </c>
      <c r="V106" s="678"/>
      <c r="W106" s="682"/>
      <c r="X106" s="682"/>
      <c r="Y106" s="682"/>
      <c r="Z106" s="681"/>
      <c r="AA106" s="678"/>
      <c r="AB106" s="682"/>
      <c r="AC106" s="682"/>
      <c r="AD106" s="682"/>
      <c r="AE106" s="681"/>
      <c r="AF106" s="680"/>
      <c r="AG106" s="682"/>
      <c r="AH106" s="682"/>
      <c r="AI106" s="686"/>
      <c r="AJ106" s="687"/>
      <c r="AK106" s="697" t="s">
        <v>1122</v>
      </c>
    </row>
    <row r="107" spans="2:37" s="674" customFormat="1">
      <c r="B107" s="689">
        <v>62</v>
      </c>
      <c r="C107" s="690" t="s">
        <v>1123</v>
      </c>
      <c r="D107" s="690" t="s">
        <v>994</v>
      </c>
      <c r="E107" s="690" t="s">
        <v>994</v>
      </c>
      <c r="F107" s="690" t="s">
        <v>998</v>
      </c>
      <c r="G107" s="691">
        <v>2007</v>
      </c>
      <c r="H107" s="677"/>
      <c r="I107" s="691">
        <v>40</v>
      </c>
      <c r="J107" s="692">
        <v>4.207454218938893</v>
      </c>
      <c r="K107" s="693">
        <v>3.0724542189388933</v>
      </c>
      <c r="L107" s="692">
        <v>0</v>
      </c>
      <c r="M107" s="694">
        <v>0</v>
      </c>
      <c r="N107" s="694">
        <v>0</v>
      </c>
      <c r="O107" s="694">
        <v>0</v>
      </c>
      <c r="P107" s="695">
        <v>1.135</v>
      </c>
      <c r="Q107" s="694">
        <v>3.0724542189388933</v>
      </c>
      <c r="R107" s="696">
        <v>0</v>
      </c>
      <c r="S107" s="696">
        <v>0</v>
      </c>
      <c r="T107" s="696">
        <v>0</v>
      </c>
      <c r="U107" s="695">
        <v>0</v>
      </c>
      <c r="V107" s="678"/>
      <c r="W107" s="682"/>
      <c r="X107" s="682"/>
      <c r="Y107" s="682"/>
      <c r="Z107" s="681"/>
      <c r="AA107" s="678"/>
      <c r="AB107" s="682"/>
      <c r="AC107" s="682"/>
      <c r="AD107" s="682"/>
      <c r="AE107" s="681"/>
      <c r="AF107" s="680"/>
      <c r="AG107" s="682"/>
      <c r="AH107" s="682"/>
      <c r="AI107" s="686"/>
      <c r="AJ107" s="687"/>
      <c r="AK107" s="697" t="s">
        <v>1124</v>
      </c>
    </row>
    <row r="108" spans="2:37" s="674" customFormat="1">
      <c r="B108" s="689">
        <v>63</v>
      </c>
      <c r="C108" s="690" t="s">
        <v>1125</v>
      </c>
      <c r="D108" s="690" t="s">
        <v>994</v>
      </c>
      <c r="E108" s="690" t="s">
        <v>994</v>
      </c>
      <c r="F108" s="690" t="s">
        <v>995</v>
      </c>
      <c r="G108" s="691">
        <v>2014</v>
      </c>
      <c r="H108" s="677"/>
      <c r="I108" s="691">
        <v>24</v>
      </c>
      <c r="J108" s="692">
        <v>1.9787730432505775</v>
      </c>
      <c r="K108" s="693">
        <v>1.9787730432505775</v>
      </c>
      <c r="L108" s="692">
        <v>0</v>
      </c>
      <c r="M108" s="694">
        <v>0</v>
      </c>
      <c r="N108" s="694">
        <v>0</v>
      </c>
      <c r="O108" s="694">
        <v>0</v>
      </c>
      <c r="P108" s="695">
        <v>0</v>
      </c>
      <c r="Q108" s="694">
        <v>0</v>
      </c>
      <c r="R108" s="696">
        <v>0</v>
      </c>
      <c r="S108" s="696">
        <v>0</v>
      </c>
      <c r="T108" s="696">
        <v>0</v>
      </c>
      <c r="U108" s="695">
        <v>1.9787730432505775</v>
      </c>
      <c r="V108" s="678"/>
      <c r="W108" s="682"/>
      <c r="X108" s="682"/>
      <c r="Y108" s="682"/>
      <c r="Z108" s="681"/>
      <c r="AA108" s="678"/>
      <c r="AB108" s="682"/>
      <c r="AC108" s="682"/>
      <c r="AD108" s="682"/>
      <c r="AE108" s="681"/>
      <c r="AF108" s="680"/>
      <c r="AG108" s="682"/>
      <c r="AH108" s="682"/>
      <c r="AI108" s="686"/>
      <c r="AJ108" s="687"/>
      <c r="AK108" s="697" t="s">
        <v>1126</v>
      </c>
    </row>
    <row r="109" spans="2:37">
      <c r="B109" s="689">
        <v>64</v>
      </c>
      <c r="C109" s="690" t="s">
        <v>1127</v>
      </c>
      <c r="D109" s="690" t="s">
        <v>401</v>
      </c>
      <c r="E109" s="690" t="s">
        <v>401</v>
      </c>
      <c r="F109" s="690" t="s">
        <v>995</v>
      </c>
      <c r="G109" s="691">
        <v>2012</v>
      </c>
      <c r="H109" s="677"/>
      <c r="I109" s="691">
        <v>75</v>
      </c>
      <c r="J109" s="692">
        <v>6.0131983590203149</v>
      </c>
      <c r="K109" s="693">
        <v>6.0131983590203149</v>
      </c>
      <c r="L109" s="692">
        <v>0</v>
      </c>
      <c r="M109" s="694">
        <v>0</v>
      </c>
      <c r="N109" s="694">
        <v>0</v>
      </c>
      <c r="O109" s="694">
        <v>0</v>
      </c>
      <c r="P109" s="695">
        <v>0</v>
      </c>
      <c r="Q109" s="694">
        <v>0</v>
      </c>
      <c r="R109" s="696">
        <v>0</v>
      </c>
      <c r="S109" s="696">
        <v>0</v>
      </c>
      <c r="T109" s="696">
        <v>2.9929658193220656</v>
      </c>
      <c r="U109" s="695">
        <v>3.0202325396982497</v>
      </c>
      <c r="V109" s="678"/>
      <c r="W109" s="682"/>
      <c r="X109" s="682"/>
      <c r="Y109" s="682"/>
      <c r="Z109" s="681"/>
      <c r="AA109" s="678"/>
      <c r="AB109" s="682"/>
      <c r="AC109" s="682"/>
      <c r="AD109" s="682"/>
      <c r="AE109" s="681"/>
      <c r="AF109" s="680"/>
      <c r="AG109" s="682"/>
      <c r="AH109" s="682"/>
      <c r="AI109" s="686"/>
      <c r="AJ109" s="687"/>
      <c r="AK109" s="697" t="s">
        <v>1128</v>
      </c>
    </row>
    <row r="110" spans="2:37">
      <c r="B110" s="689">
        <v>65</v>
      </c>
      <c r="C110" s="690" t="s">
        <v>1129</v>
      </c>
      <c r="D110" s="690" t="s">
        <v>401</v>
      </c>
      <c r="E110" s="690" t="s">
        <v>401</v>
      </c>
      <c r="F110" s="690" t="s">
        <v>1003</v>
      </c>
      <c r="G110" s="691">
        <v>2013</v>
      </c>
      <c r="H110" s="677"/>
      <c r="I110" s="691">
        <v>240</v>
      </c>
      <c r="J110" s="692">
        <v>1.0320571790765745</v>
      </c>
      <c r="K110" s="693">
        <v>1.0320571790765745</v>
      </c>
      <c r="L110" s="692">
        <v>0</v>
      </c>
      <c r="M110" s="694">
        <v>0</v>
      </c>
      <c r="N110" s="694">
        <v>0</v>
      </c>
      <c r="O110" s="694">
        <v>0</v>
      </c>
      <c r="P110" s="695">
        <v>0</v>
      </c>
      <c r="Q110" s="694">
        <v>0</v>
      </c>
      <c r="R110" s="696">
        <v>0</v>
      </c>
      <c r="S110" s="696">
        <v>0</v>
      </c>
      <c r="T110" s="696">
        <v>1.0320571790765745</v>
      </c>
      <c r="U110" s="695">
        <v>0</v>
      </c>
      <c r="V110" s="678"/>
      <c r="W110" s="682"/>
      <c r="X110" s="682"/>
      <c r="Y110" s="682"/>
      <c r="Z110" s="681"/>
      <c r="AA110" s="678"/>
      <c r="AB110" s="682"/>
      <c r="AC110" s="682"/>
      <c r="AD110" s="682"/>
      <c r="AE110" s="681"/>
      <c r="AF110" s="680"/>
      <c r="AG110" s="682"/>
      <c r="AH110" s="682"/>
      <c r="AI110" s="686"/>
      <c r="AJ110" s="687"/>
      <c r="AK110" s="697" t="s">
        <v>1130</v>
      </c>
    </row>
    <row r="111" spans="2:37">
      <c r="B111" s="689">
        <v>66</v>
      </c>
      <c r="C111" s="690" t="s">
        <v>1131</v>
      </c>
      <c r="D111" s="690" t="s">
        <v>994</v>
      </c>
      <c r="E111" s="690" t="s">
        <v>994</v>
      </c>
      <c r="F111" s="690" t="s">
        <v>998</v>
      </c>
      <c r="G111" s="691">
        <v>2013</v>
      </c>
      <c r="H111" s="677"/>
      <c r="I111" s="691">
        <v>24</v>
      </c>
      <c r="J111" s="692">
        <v>3.6127441646137721</v>
      </c>
      <c r="K111" s="693">
        <v>3.6127441646137721</v>
      </c>
      <c r="L111" s="692">
        <v>0</v>
      </c>
      <c r="M111" s="694">
        <v>0</v>
      </c>
      <c r="N111" s="694">
        <v>0</v>
      </c>
      <c r="O111" s="694">
        <v>0</v>
      </c>
      <c r="P111" s="695">
        <v>0</v>
      </c>
      <c r="Q111" s="694">
        <v>0</v>
      </c>
      <c r="R111" s="696">
        <v>0</v>
      </c>
      <c r="S111" s="696">
        <v>1.0326012169223362</v>
      </c>
      <c r="T111" s="696">
        <v>2.5801429476914359</v>
      </c>
      <c r="U111" s="695">
        <v>0</v>
      </c>
      <c r="V111" s="678"/>
      <c r="W111" s="682"/>
      <c r="X111" s="682"/>
      <c r="Y111" s="682"/>
      <c r="Z111" s="681"/>
      <c r="AA111" s="678"/>
      <c r="AB111" s="682"/>
      <c r="AC111" s="682"/>
      <c r="AD111" s="682"/>
      <c r="AE111" s="681"/>
      <c r="AF111" s="680"/>
      <c r="AG111" s="682"/>
      <c r="AH111" s="682"/>
      <c r="AI111" s="686"/>
      <c r="AJ111" s="687"/>
      <c r="AK111" s="697" t="s">
        <v>1132</v>
      </c>
    </row>
    <row r="112" spans="2:37">
      <c r="B112" s="689">
        <v>67</v>
      </c>
      <c r="C112" s="690" t="s">
        <v>1133</v>
      </c>
      <c r="D112" s="690" t="s">
        <v>994</v>
      </c>
      <c r="E112" s="690" t="s">
        <v>994</v>
      </c>
      <c r="F112" s="690" t="s">
        <v>998</v>
      </c>
      <c r="G112" s="691">
        <v>2008</v>
      </c>
      <c r="H112" s="677"/>
      <c r="I112" s="691">
        <v>32</v>
      </c>
      <c r="J112" s="692">
        <v>1.5767077340079112</v>
      </c>
      <c r="K112" s="693">
        <v>1.5767077340079112</v>
      </c>
      <c r="L112" s="692">
        <v>0</v>
      </c>
      <c r="M112" s="694">
        <v>0</v>
      </c>
      <c r="N112" s="694">
        <v>0</v>
      </c>
      <c r="O112" s="694">
        <v>0</v>
      </c>
      <c r="P112" s="695">
        <v>0</v>
      </c>
      <c r="Q112" s="694">
        <v>1.0594669720478942</v>
      </c>
      <c r="R112" s="696">
        <v>0.517240761960017</v>
      </c>
      <c r="S112" s="696">
        <v>0</v>
      </c>
      <c r="T112" s="696">
        <v>0</v>
      </c>
      <c r="U112" s="695">
        <v>0</v>
      </c>
      <c r="V112" s="678"/>
      <c r="W112" s="682"/>
      <c r="X112" s="682"/>
      <c r="Y112" s="682"/>
      <c r="Z112" s="681"/>
      <c r="AA112" s="678"/>
      <c r="AB112" s="682"/>
      <c r="AC112" s="682"/>
      <c r="AD112" s="682"/>
      <c r="AE112" s="681"/>
      <c r="AF112" s="680"/>
      <c r="AG112" s="682"/>
      <c r="AH112" s="682"/>
      <c r="AI112" s="686"/>
      <c r="AJ112" s="687"/>
      <c r="AK112" s="697" t="s">
        <v>1134</v>
      </c>
    </row>
    <row r="113" spans="2:37">
      <c r="B113" s="689">
        <v>68</v>
      </c>
      <c r="C113" s="690" t="s">
        <v>1135</v>
      </c>
      <c r="D113" s="690" t="s">
        <v>401</v>
      </c>
      <c r="E113" s="690" t="s">
        <v>401</v>
      </c>
      <c r="F113" s="690" t="s">
        <v>1003</v>
      </c>
      <c r="G113" s="691">
        <v>2010</v>
      </c>
      <c r="H113" s="677"/>
      <c r="I113" s="691">
        <v>181</v>
      </c>
      <c r="J113" s="692">
        <v>3.5103000996901814</v>
      </c>
      <c r="K113" s="693">
        <v>3.5103000996901814</v>
      </c>
      <c r="L113" s="692">
        <v>0</v>
      </c>
      <c r="M113" s="694">
        <v>0</v>
      </c>
      <c r="N113" s="694">
        <v>0</v>
      </c>
      <c r="O113" s="694">
        <v>0</v>
      </c>
      <c r="P113" s="695">
        <v>0</v>
      </c>
      <c r="Q113" s="694">
        <v>0</v>
      </c>
      <c r="R113" s="696">
        <v>0</v>
      </c>
      <c r="S113" s="696">
        <v>2.478242920613607</v>
      </c>
      <c r="T113" s="696">
        <v>1.0320571790765745</v>
      </c>
      <c r="U113" s="695">
        <v>0</v>
      </c>
      <c r="V113" s="678"/>
      <c r="W113" s="682"/>
      <c r="X113" s="682"/>
      <c r="Y113" s="682"/>
      <c r="Z113" s="681"/>
      <c r="AA113" s="678"/>
      <c r="AB113" s="682"/>
      <c r="AC113" s="682"/>
      <c r="AD113" s="682"/>
      <c r="AE113" s="681"/>
      <c r="AF113" s="680"/>
      <c r="AG113" s="682"/>
      <c r="AH113" s="682"/>
      <c r="AI113" s="686"/>
      <c r="AJ113" s="687"/>
      <c r="AK113" s="697" t="s">
        <v>1136</v>
      </c>
    </row>
    <row r="114" spans="2:37">
      <c r="B114" s="689">
        <v>69</v>
      </c>
      <c r="C114" s="690" t="s">
        <v>1137</v>
      </c>
      <c r="D114" s="690" t="s">
        <v>994</v>
      </c>
      <c r="E114" s="690" t="s">
        <v>994</v>
      </c>
      <c r="F114" s="690" t="s">
        <v>995</v>
      </c>
      <c r="G114" s="691">
        <v>2011</v>
      </c>
      <c r="H114" s="677"/>
      <c r="I114" s="691">
        <v>27</v>
      </c>
      <c r="J114" s="692">
        <v>0.20652024338446728</v>
      </c>
      <c r="K114" s="693">
        <v>0.20652024338446728</v>
      </c>
      <c r="L114" s="692">
        <v>0</v>
      </c>
      <c r="M114" s="694">
        <v>0</v>
      </c>
      <c r="N114" s="694">
        <v>0</v>
      </c>
      <c r="O114" s="694">
        <v>0</v>
      </c>
      <c r="P114" s="695">
        <v>0</v>
      </c>
      <c r="Q114" s="694">
        <v>0</v>
      </c>
      <c r="R114" s="696">
        <v>0</v>
      </c>
      <c r="S114" s="696">
        <v>0.20652024338446728</v>
      </c>
      <c r="T114" s="696">
        <v>0</v>
      </c>
      <c r="U114" s="695">
        <v>0</v>
      </c>
      <c r="V114" s="678"/>
      <c r="W114" s="682"/>
      <c r="X114" s="682"/>
      <c r="Y114" s="682"/>
      <c r="Z114" s="681"/>
      <c r="AA114" s="678"/>
      <c r="AB114" s="682"/>
      <c r="AC114" s="682"/>
      <c r="AD114" s="682"/>
      <c r="AE114" s="681"/>
      <c r="AF114" s="680"/>
      <c r="AG114" s="682"/>
      <c r="AH114" s="682"/>
      <c r="AI114" s="686"/>
      <c r="AJ114" s="687"/>
      <c r="AK114" s="697" t="s">
        <v>1138</v>
      </c>
    </row>
    <row r="115" spans="2:37">
      <c r="B115" s="689">
        <v>70</v>
      </c>
      <c r="C115" s="690">
        <v>0</v>
      </c>
      <c r="D115" s="690">
        <v>0</v>
      </c>
      <c r="E115" s="690">
        <v>0</v>
      </c>
      <c r="F115" s="690">
        <v>0</v>
      </c>
      <c r="G115" s="691">
        <v>0</v>
      </c>
      <c r="H115" s="677"/>
      <c r="I115" s="691">
        <v>0</v>
      </c>
      <c r="J115" s="692">
        <v>0</v>
      </c>
      <c r="K115" s="693">
        <v>0</v>
      </c>
      <c r="L115" s="692">
        <v>0</v>
      </c>
      <c r="M115" s="694">
        <v>0</v>
      </c>
      <c r="N115" s="694">
        <v>0</v>
      </c>
      <c r="O115" s="694">
        <v>0</v>
      </c>
      <c r="P115" s="695">
        <v>0</v>
      </c>
      <c r="Q115" s="694">
        <v>0</v>
      </c>
      <c r="R115" s="696">
        <v>0</v>
      </c>
      <c r="S115" s="696">
        <v>0</v>
      </c>
      <c r="T115" s="696">
        <v>0</v>
      </c>
      <c r="U115" s="695">
        <v>0</v>
      </c>
      <c r="V115" s="678"/>
      <c r="W115" s="682"/>
      <c r="X115" s="682"/>
      <c r="Y115" s="682"/>
      <c r="Z115" s="681"/>
      <c r="AA115" s="678"/>
      <c r="AB115" s="682"/>
      <c r="AC115" s="682"/>
      <c r="AD115" s="682"/>
      <c r="AE115" s="681"/>
      <c r="AF115" s="680"/>
      <c r="AG115" s="682"/>
      <c r="AH115" s="682"/>
      <c r="AI115" s="686"/>
      <c r="AJ115" s="687"/>
      <c r="AK115" s="697">
        <v>0</v>
      </c>
    </row>
    <row r="116" spans="2:37" s="674" customFormat="1" ht="13.5" thickBot="1">
      <c r="B116" s="701"/>
      <c r="C116" s="702" t="s">
        <v>200</v>
      </c>
      <c r="D116" s="703"/>
      <c r="E116" s="703"/>
      <c r="F116" s="703"/>
      <c r="G116" s="703"/>
      <c r="H116" s="703"/>
      <c r="I116" s="704">
        <f t="shared" ref="I116:U116" si="9">SUM(I46:I115)</f>
        <v>3262.75</v>
      </c>
      <c r="J116" s="705">
        <f t="shared" si="9"/>
        <v>168.72469062745364</v>
      </c>
      <c r="K116" s="706">
        <f t="shared" si="9"/>
        <v>167.0221906274536</v>
      </c>
      <c r="L116" s="707">
        <f t="shared" si="9"/>
        <v>0</v>
      </c>
      <c r="M116" s="708">
        <f t="shared" si="9"/>
        <v>0</v>
      </c>
      <c r="N116" s="708">
        <f t="shared" si="9"/>
        <v>0</v>
      </c>
      <c r="O116" s="708">
        <f t="shared" si="9"/>
        <v>0</v>
      </c>
      <c r="P116" s="709">
        <f t="shared" si="9"/>
        <v>1.7025000000000001</v>
      </c>
      <c r="Q116" s="710">
        <f t="shared" si="9"/>
        <v>24.261793659896771</v>
      </c>
      <c r="R116" s="708">
        <f t="shared" si="9"/>
        <v>29.999964193680984</v>
      </c>
      <c r="S116" s="711">
        <f t="shared" si="9"/>
        <v>37.276903930896339</v>
      </c>
      <c r="T116" s="711">
        <f t="shared" si="9"/>
        <v>36.741235575126048</v>
      </c>
      <c r="U116" s="709">
        <f t="shared" si="9"/>
        <v>38.742293267853412</v>
      </c>
      <c r="V116" s="712">
        <f>SUM(V46:V115)</f>
        <v>0</v>
      </c>
      <c r="W116" s="712">
        <f t="shared" ref="W116:AH116" si="10">SUM(W46:W115)</f>
        <v>0</v>
      </c>
      <c r="X116" s="712">
        <f t="shared" si="10"/>
        <v>0</v>
      </c>
      <c r="Y116" s="712">
        <f t="shared" si="10"/>
        <v>0</v>
      </c>
      <c r="Z116" s="712">
        <f t="shared" si="10"/>
        <v>0</v>
      </c>
      <c r="AA116" s="712">
        <f t="shared" si="10"/>
        <v>0</v>
      </c>
      <c r="AB116" s="712">
        <f t="shared" si="10"/>
        <v>0</v>
      </c>
      <c r="AC116" s="712">
        <f t="shared" si="10"/>
        <v>0</v>
      </c>
      <c r="AD116" s="712">
        <f t="shared" si="10"/>
        <v>0</v>
      </c>
      <c r="AE116" s="712">
        <f t="shared" si="10"/>
        <v>0</v>
      </c>
      <c r="AF116" s="712">
        <f t="shared" si="10"/>
        <v>0</v>
      </c>
      <c r="AG116" s="712">
        <f t="shared" si="10"/>
        <v>0</v>
      </c>
      <c r="AH116" s="712">
        <f t="shared" si="10"/>
        <v>0</v>
      </c>
      <c r="AI116" s="713"/>
      <c r="AJ116" s="714"/>
      <c r="AK116" s="715"/>
    </row>
    <row r="117" spans="2:37" s="674" customFormat="1"/>
    <row r="118" spans="2:37" s="674" customFormat="1"/>
    <row r="119" spans="2:37" s="674" customFormat="1"/>
    <row r="120" spans="2:37" s="674" customFormat="1"/>
    <row r="121" spans="2:37" s="674" customFormat="1"/>
    <row r="122" spans="2:37" s="674" customFormat="1"/>
    <row r="123" spans="2:37" s="674" customFormat="1"/>
    <row r="124" spans="2:37" s="674" customFormat="1"/>
    <row r="125" spans="2:37" s="674" customFormat="1"/>
    <row r="126" spans="2:37" s="674" customFormat="1"/>
  </sheetData>
  <mergeCells count="9">
    <mergeCell ref="V43:AI43"/>
    <mergeCell ref="AJ43:AJ44"/>
    <mergeCell ref="V44:AE44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workbookViewId="0">
      <selection sqref="A1:XFD1048576"/>
    </sheetView>
  </sheetViews>
  <sheetFormatPr defaultColWidth="8.85546875" defaultRowHeight="12.75"/>
  <cols>
    <col min="1" max="1" width="5.5703125" style="74" customWidth="1"/>
    <col min="2" max="2" width="18.140625" style="74" customWidth="1"/>
    <col min="3" max="3" width="15.7109375" style="74" customWidth="1"/>
    <col min="4" max="18" width="8.85546875" style="74"/>
    <col min="19" max="19" width="10.7109375" style="74" customWidth="1"/>
    <col min="20" max="16384" width="8.85546875" style="74"/>
  </cols>
  <sheetData>
    <row r="1" spans="1:19">
      <c r="A1" s="716" t="s">
        <v>74</v>
      </c>
      <c r="F1" s="125" t="s">
        <v>985</v>
      </c>
    </row>
    <row r="2" spans="1:19">
      <c r="A2" s="716"/>
    </row>
    <row r="3" spans="1:19">
      <c r="A3" s="716" t="s">
        <v>397</v>
      </c>
    </row>
    <row r="6" spans="1:19">
      <c r="B6" s="563" t="s">
        <v>398</v>
      </c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</row>
    <row r="7" spans="1:19" ht="13.5" thickBot="1"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</row>
    <row r="8" spans="1:19" ht="15" customHeight="1">
      <c r="B8" s="1540"/>
      <c r="C8" s="1541"/>
      <c r="D8" s="717" t="s">
        <v>399</v>
      </c>
      <c r="E8" s="718"/>
      <c r="F8" s="719"/>
      <c r="G8" s="717" t="s">
        <v>400</v>
      </c>
      <c r="H8" s="718"/>
      <c r="I8" s="719"/>
      <c r="J8" s="618"/>
      <c r="K8" s="618"/>
      <c r="L8" s="618"/>
      <c r="M8" s="618"/>
      <c r="N8" s="618"/>
      <c r="O8" s="618"/>
      <c r="P8" s="618"/>
      <c r="Q8" s="618"/>
      <c r="R8" s="618"/>
      <c r="S8" s="618"/>
    </row>
    <row r="9" spans="1:19" ht="15" customHeight="1">
      <c r="B9" s="1542"/>
      <c r="C9" s="1543"/>
      <c r="D9" s="720" t="s">
        <v>401</v>
      </c>
      <c r="E9" s="721" t="s">
        <v>402</v>
      </c>
      <c r="F9" s="722" t="s">
        <v>223</v>
      </c>
      <c r="G9" s="720" t="s">
        <v>401</v>
      </c>
      <c r="H9" s="721" t="s">
        <v>402</v>
      </c>
      <c r="I9" s="722" t="s">
        <v>223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</row>
    <row r="10" spans="1:19" ht="15" customHeight="1">
      <c r="B10" s="1533" t="s">
        <v>403</v>
      </c>
      <c r="C10" s="1534"/>
      <c r="D10" s="723">
        <v>50</v>
      </c>
      <c r="E10" s="724">
        <v>175</v>
      </c>
      <c r="F10" s="725">
        <v>411</v>
      </c>
      <c r="G10" s="723">
        <v>51</v>
      </c>
      <c r="H10" s="724">
        <v>177</v>
      </c>
      <c r="I10" s="725">
        <v>420</v>
      </c>
      <c r="J10" s="618"/>
      <c r="K10" s="618"/>
      <c r="L10" s="618"/>
      <c r="M10" s="618"/>
      <c r="N10" s="618"/>
      <c r="O10" s="618"/>
      <c r="P10" s="618"/>
      <c r="Q10" s="618"/>
      <c r="R10" s="618"/>
      <c r="S10" s="618"/>
    </row>
    <row r="11" spans="1:19" ht="27" customHeight="1">
      <c r="B11" s="1544" t="s">
        <v>404</v>
      </c>
      <c r="C11" s="1545"/>
      <c r="D11" s="726">
        <v>5</v>
      </c>
      <c r="E11" s="727">
        <v>12</v>
      </c>
      <c r="F11" s="728">
        <v>32</v>
      </c>
      <c r="G11" s="726">
        <v>5</v>
      </c>
      <c r="H11" s="727">
        <v>10</v>
      </c>
      <c r="I11" s="728">
        <v>30</v>
      </c>
      <c r="J11" s="618"/>
      <c r="K11" s="618"/>
      <c r="L11" s="618"/>
      <c r="M11" s="618"/>
      <c r="N11" s="618"/>
      <c r="O11" s="618"/>
      <c r="P11" s="618"/>
      <c r="Q11" s="618"/>
      <c r="R11" s="618"/>
      <c r="S11" s="618"/>
    </row>
    <row r="12" spans="1:19" ht="30" customHeight="1" thickBot="1">
      <c r="B12" s="1546" t="s">
        <v>405</v>
      </c>
      <c r="C12" s="1547"/>
      <c r="D12" s="729">
        <v>5</v>
      </c>
      <c r="E12" s="730">
        <v>12</v>
      </c>
      <c r="F12" s="731">
        <v>32</v>
      </c>
      <c r="G12" s="729">
        <v>5</v>
      </c>
      <c r="H12" s="730">
        <v>10</v>
      </c>
      <c r="I12" s="731">
        <v>30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</row>
    <row r="13" spans="1:19">
      <c r="B13" s="618"/>
      <c r="C13" s="618"/>
      <c r="D13" s="732"/>
      <c r="E13" s="732"/>
      <c r="F13" s="732"/>
      <c r="G13" s="732"/>
      <c r="H13" s="732"/>
      <c r="I13" s="732"/>
      <c r="J13" s="618"/>
      <c r="K13" s="618"/>
      <c r="L13" s="618"/>
      <c r="M13" s="618"/>
      <c r="N13" s="618"/>
      <c r="O13" s="618"/>
      <c r="P13" s="618"/>
      <c r="Q13" s="618"/>
      <c r="R13" s="618"/>
      <c r="S13" s="618"/>
    </row>
    <row r="14" spans="1:19">
      <c r="B14" s="563" t="s">
        <v>406</v>
      </c>
      <c r="C14" s="618"/>
      <c r="D14" s="732"/>
      <c r="E14" s="732"/>
      <c r="F14" s="732"/>
      <c r="G14" s="732"/>
      <c r="H14" s="732"/>
      <c r="I14" s="732"/>
      <c r="J14" s="618"/>
      <c r="K14" s="618"/>
      <c r="L14" s="618"/>
      <c r="M14" s="618"/>
      <c r="N14" s="618"/>
      <c r="O14" s="618"/>
      <c r="P14" s="618"/>
      <c r="Q14" s="618"/>
      <c r="R14" s="618"/>
      <c r="S14" s="618"/>
    </row>
    <row r="15" spans="1:19" ht="13.5" thickBot="1">
      <c r="B15" s="618"/>
      <c r="C15" s="618"/>
      <c r="D15" s="732"/>
      <c r="E15" s="732"/>
      <c r="F15" s="732"/>
      <c r="G15" s="732"/>
      <c r="H15" s="732"/>
      <c r="I15" s="732"/>
      <c r="J15" s="618"/>
      <c r="K15" s="618"/>
      <c r="L15" s="618"/>
      <c r="M15" s="618"/>
      <c r="N15" s="618"/>
      <c r="O15" s="618"/>
      <c r="P15" s="618"/>
      <c r="Q15" s="618"/>
      <c r="R15" s="618"/>
      <c r="S15" s="618"/>
    </row>
    <row r="16" spans="1:19">
      <c r="B16" s="1548" t="s">
        <v>407</v>
      </c>
      <c r="C16" s="1549"/>
      <c r="D16" s="717" t="s">
        <v>191</v>
      </c>
      <c r="E16" s="718"/>
      <c r="F16" s="719"/>
      <c r="G16" s="717" t="s">
        <v>192</v>
      </c>
      <c r="H16" s="718"/>
      <c r="I16" s="719"/>
      <c r="J16" s="618"/>
      <c r="K16" s="618"/>
      <c r="L16" s="618"/>
      <c r="M16" s="618"/>
      <c r="N16" s="618"/>
      <c r="O16" s="618"/>
      <c r="P16" s="618"/>
      <c r="Q16" s="618"/>
      <c r="R16" s="618"/>
      <c r="S16" s="618"/>
    </row>
    <row r="17" spans="2:19">
      <c r="B17" s="1550"/>
      <c r="C17" s="1551"/>
      <c r="D17" s="733" t="s">
        <v>401</v>
      </c>
      <c r="E17" s="734" t="s">
        <v>402</v>
      </c>
      <c r="F17" s="735" t="s">
        <v>223</v>
      </c>
      <c r="G17" s="733" t="s">
        <v>401</v>
      </c>
      <c r="H17" s="734" t="s">
        <v>402</v>
      </c>
      <c r="I17" s="735" t="s">
        <v>223</v>
      </c>
      <c r="J17" s="618"/>
      <c r="K17" s="618"/>
      <c r="L17" s="618"/>
      <c r="M17" s="618"/>
      <c r="N17" s="618"/>
      <c r="O17" s="618"/>
      <c r="P17" s="618"/>
      <c r="Q17" s="618"/>
      <c r="R17" s="618"/>
      <c r="S17" s="618"/>
    </row>
    <row r="18" spans="2:19" ht="15" customHeight="1">
      <c r="B18" s="1533" t="s">
        <v>408</v>
      </c>
      <c r="C18" s="1534"/>
      <c r="D18" s="726">
        <v>0</v>
      </c>
      <c r="E18" s="727">
        <v>0</v>
      </c>
      <c r="F18" s="736">
        <v>0</v>
      </c>
      <c r="G18" s="726">
        <v>1</v>
      </c>
      <c r="H18" s="727">
        <v>3</v>
      </c>
      <c r="I18" s="736">
        <v>3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</row>
    <row r="19" spans="2:19" ht="15" customHeight="1">
      <c r="B19" s="1533" t="s">
        <v>409</v>
      </c>
      <c r="C19" s="1534"/>
      <c r="D19" s="726">
        <v>0</v>
      </c>
      <c r="E19" s="727">
        <v>0</v>
      </c>
      <c r="F19" s="736">
        <v>0</v>
      </c>
      <c r="G19" s="726">
        <v>0</v>
      </c>
      <c r="H19" s="727">
        <v>0</v>
      </c>
      <c r="I19" s="736">
        <v>0</v>
      </c>
      <c r="J19" s="618"/>
      <c r="K19" s="618"/>
      <c r="L19" s="618"/>
      <c r="M19" s="618"/>
      <c r="N19" s="618"/>
      <c r="O19" s="618"/>
      <c r="P19" s="618"/>
      <c r="Q19" s="618"/>
      <c r="R19" s="618"/>
      <c r="S19" s="618"/>
    </row>
    <row r="20" spans="2:19" ht="15" customHeight="1" thickBot="1">
      <c r="B20" s="1535" t="s">
        <v>410</v>
      </c>
      <c r="C20" s="1536"/>
      <c r="D20" s="729">
        <v>0</v>
      </c>
      <c r="E20" s="737">
        <v>0</v>
      </c>
      <c r="F20" s="731">
        <v>0</v>
      </c>
      <c r="G20" s="729">
        <v>0</v>
      </c>
      <c r="H20" s="737">
        <v>0</v>
      </c>
      <c r="I20" s="731">
        <v>0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</row>
    <row r="21" spans="2:19">
      <c r="B21" s="618"/>
      <c r="C21" s="618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</row>
    <row r="22" spans="2:19">
      <c r="B22" s="563" t="s">
        <v>411</v>
      </c>
      <c r="C22" s="618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</row>
    <row r="23" spans="2:19" ht="13.5" thickBot="1">
      <c r="B23" s="563"/>
      <c r="C23" s="618"/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</row>
    <row r="24" spans="2:19">
      <c r="B24" s="1537"/>
      <c r="C24" s="565" t="s">
        <v>191</v>
      </c>
      <c r="D24" s="566"/>
      <c r="E24" s="566"/>
      <c r="F24" s="566"/>
      <c r="G24" s="738"/>
      <c r="H24" s="565" t="s">
        <v>192</v>
      </c>
      <c r="I24" s="739"/>
      <c r="J24" s="739"/>
      <c r="K24" s="739"/>
      <c r="L24" s="738"/>
      <c r="M24" s="740"/>
      <c r="N24" s="570" t="s">
        <v>191</v>
      </c>
      <c r="O24" s="571"/>
      <c r="P24" s="572"/>
      <c r="Q24" s="740"/>
      <c r="R24" s="570" t="s">
        <v>192</v>
      </c>
      <c r="S24" s="572"/>
    </row>
    <row r="25" spans="2:19">
      <c r="B25" s="1538"/>
      <c r="C25" s="575" t="s">
        <v>79</v>
      </c>
      <c r="D25" s="576" t="s">
        <v>80</v>
      </c>
      <c r="E25" s="576" t="s">
        <v>81</v>
      </c>
      <c r="F25" s="576" t="s">
        <v>82</v>
      </c>
      <c r="G25" s="577" t="s">
        <v>44</v>
      </c>
      <c r="H25" s="575" t="s">
        <v>193</v>
      </c>
      <c r="I25" s="576" t="s">
        <v>194</v>
      </c>
      <c r="J25" s="576" t="s">
        <v>195</v>
      </c>
      <c r="K25" s="576" t="s">
        <v>196</v>
      </c>
      <c r="L25" s="577" t="s">
        <v>197</v>
      </c>
      <c r="M25" s="740"/>
      <c r="N25" s="575" t="s">
        <v>198</v>
      </c>
      <c r="O25" s="576" t="s">
        <v>199</v>
      </c>
      <c r="P25" s="577" t="s">
        <v>200</v>
      </c>
      <c r="Q25" s="740"/>
      <c r="R25" s="575" t="s">
        <v>199</v>
      </c>
      <c r="S25" s="577" t="s">
        <v>201</v>
      </c>
    </row>
    <row r="26" spans="2:19">
      <c r="B26" s="1539"/>
      <c r="C26" s="581" t="s">
        <v>343</v>
      </c>
      <c r="D26" s="582" t="s">
        <v>343</v>
      </c>
      <c r="E26" s="582" t="s">
        <v>343</v>
      </c>
      <c r="F26" s="582" t="s">
        <v>343</v>
      </c>
      <c r="G26" s="583" t="s">
        <v>343</v>
      </c>
      <c r="H26" s="581" t="s">
        <v>343</v>
      </c>
      <c r="I26" s="582" t="s">
        <v>343</v>
      </c>
      <c r="J26" s="582" t="s">
        <v>343</v>
      </c>
      <c r="K26" s="582" t="s">
        <v>343</v>
      </c>
      <c r="L26" s="583" t="s">
        <v>343</v>
      </c>
      <c r="M26" s="741"/>
      <c r="N26" s="581" t="s">
        <v>343</v>
      </c>
      <c r="O26" s="582" t="s">
        <v>343</v>
      </c>
      <c r="P26" s="583" t="s">
        <v>343</v>
      </c>
      <c r="Q26" s="741"/>
      <c r="R26" s="581" t="s">
        <v>343</v>
      </c>
      <c r="S26" s="583" t="s">
        <v>343</v>
      </c>
    </row>
    <row r="27" spans="2:19" ht="25.5">
      <c r="B27" s="601" t="s">
        <v>412</v>
      </c>
      <c r="C27" s="742"/>
      <c r="D27" s="743"/>
      <c r="E27" s="743"/>
      <c r="F27" s="743"/>
      <c r="G27" s="744"/>
      <c r="H27" s="742"/>
      <c r="I27" s="743"/>
      <c r="J27" s="743"/>
      <c r="K27" s="743"/>
      <c r="L27" s="744"/>
      <c r="M27" s="741"/>
      <c r="N27" s="742"/>
      <c r="O27" s="194"/>
      <c r="P27" s="195"/>
      <c r="Q27" s="741"/>
      <c r="R27" s="742"/>
      <c r="S27" s="593"/>
    </row>
    <row r="28" spans="2:19">
      <c r="B28" s="595" t="s">
        <v>413</v>
      </c>
      <c r="C28" s="183">
        <v>0</v>
      </c>
      <c r="D28" s="184">
        <v>0</v>
      </c>
      <c r="E28" s="184">
        <v>0</v>
      </c>
      <c r="F28" s="184">
        <v>0</v>
      </c>
      <c r="G28" s="185">
        <v>0</v>
      </c>
      <c r="H28" s="183">
        <v>0</v>
      </c>
      <c r="I28" s="186">
        <v>0</v>
      </c>
      <c r="J28" s="186">
        <v>0</v>
      </c>
      <c r="K28" s="186">
        <v>0</v>
      </c>
      <c r="L28" s="185">
        <v>0</v>
      </c>
      <c r="M28" s="745"/>
      <c r="N28" s="151">
        <v>0</v>
      </c>
      <c r="O28" s="152">
        <v>0</v>
      </c>
      <c r="P28" s="153">
        <v>0</v>
      </c>
      <c r="Q28" s="745"/>
      <c r="R28" s="151">
        <v>0</v>
      </c>
      <c r="S28" s="155" t="s">
        <v>989</v>
      </c>
    </row>
    <row r="29" spans="2:19">
      <c r="B29" s="595" t="s">
        <v>223</v>
      </c>
      <c r="C29" s="183">
        <v>0</v>
      </c>
      <c r="D29" s="184">
        <v>0</v>
      </c>
      <c r="E29" s="184">
        <v>0.79757580115990068</v>
      </c>
      <c r="F29" s="184">
        <v>0</v>
      </c>
      <c r="G29" s="185">
        <v>0</v>
      </c>
      <c r="H29" s="183">
        <v>0.5297334860239471</v>
      </c>
      <c r="I29" s="186">
        <v>0</v>
      </c>
      <c r="J29" s="186">
        <v>0</v>
      </c>
      <c r="K29" s="186">
        <v>0.72244002535360208</v>
      </c>
      <c r="L29" s="185">
        <v>0</v>
      </c>
      <c r="M29" s="745"/>
      <c r="N29" s="151">
        <v>0.79757580115990068</v>
      </c>
      <c r="O29" s="152">
        <v>0</v>
      </c>
      <c r="P29" s="153">
        <v>0.79757580115990068</v>
      </c>
      <c r="Q29" s="745"/>
      <c r="R29" s="151">
        <v>1.2521735113775492</v>
      </c>
      <c r="S29" s="155">
        <v>0.56997430157301021</v>
      </c>
    </row>
    <row r="30" spans="2:19">
      <c r="B30" s="595" t="s">
        <v>414</v>
      </c>
      <c r="C30" s="183">
        <v>0</v>
      </c>
      <c r="D30" s="184">
        <v>0</v>
      </c>
      <c r="E30" s="184">
        <v>0.79757580115990068</v>
      </c>
      <c r="F30" s="184">
        <v>2.454108931623932</v>
      </c>
      <c r="G30" s="185">
        <v>0.66653071094507021</v>
      </c>
      <c r="H30" s="183">
        <v>3.6021877049628404</v>
      </c>
      <c r="I30" s="186">
        <v>0.72413706674402389</v>
      </c>
      <c r="J30" s="186">
        <v>1.0326012169223362</v>
      </c>
      <c r="K30" s="186">
        <v>1.6512914865225192</v>
      </c>
      <c r="L30" s="185">
        <v>0</v>
      </c>
      <c r="M30" s="745"/>
      <c r="N30" s="151">
        <v>0.79757580115990068</v>
      </c>
      <c r="O30" s="152">
        <v>3.1206396425690022</v>
      </c>
      <c r="P30" s="153">
        <v>3.918215443728903</v>
      </c>
      <c r="Q30" s="745"/>
      <c r="R30" s="151">
        <v>7.0102174751517197</v>
      </c>
      <c r="S30" s="155">
        <v>0.78913527748239587</v>
      </c>
    </row>
    <row r="31" spans="2:19">
      <c r="B31" s="595" t="s">
        <v>415</v>
      </c>
      <c r="C31" s="183">
        <v>0</v>
      </c>
      <c r="D31" s="184">
        <v>0</v>
      </c>
      <c r="E31" s="184">
        <v>2.093636478044739</v>
      </c>
      <c r="F31" s="184">
        <v>2.7887601495726493</v>
      </c>
      <c r="G31" s="185">
        <v>4.2213611693187794</v>
      </c>
      <c r="H31" s="183">
        <v>0</v>
      </c>
      <c r="I31" s="186">
        <v>0.517240761960017</v>
      </c>
      <c r="J31" s="186">
        <v>0.5163006084611681</v>
      </c>
      <c r="K31" s="186">
        <v>0</v>
      </c>
      <c r="L31" s="185">
        <v>0</v>
      </c>
      <c r="M31" s="745"/>
      <c r="N31" s="151">
        <v>2.093636478044739</v>
      </c>
      <c r="O31" s="152">
        <v>7.0101213188914286</v>
      </c>
      <c r="P31" s="153">
        <v>9.1037577969361685</v>
      </c>
      <c r="Q31" s="745"/>
      <c r="R31" s="151">
        <v>1.0335413704211851</v>
      </c>
      <c r="S31" s="155">
        <v>-0.8864709064679841</v>
      </c>
    </row>
    <row r="32" spans="2:19" ht="13.5" thickBot="1">
      <c r="B32" s="746" t="s">
        <v>416</v>
      </c>
      <c r="C32" s="167">
        <v>0</v>
      </c>
      <c r="D32" s="170">
        <v>0</v>
      </c>
      <c r="E32" s="170">
        <v>3.6887880803645405</v>
      </c>
      <c r="F32" s="170">
        <v>5.2428690811965808</v>
      </c>
      <c r="G32" s="169">
        <v>4.8878918802638491</v>
      </c>
      <c r="H32" s="167">
        <v>4.1319211909867875</v>
      </c>
      <c r="I32" s="168">
        <v>1.2413778287040409</v>
      </c>
      <c r="J32" s="168">
        <v>1.5489018253835043</v>
      </c>
      <c r="K32" s="168">
        <v>2.3737315118761213</v>
      </c>
      <c r="L32" s="169">
        <v>0</v>
      </c>
      <c r="M32" s="747"/>
      <c r="N32" s="167">
        <v>3.6887880803645405</v>
      </c>
      <c r="O32" s="168">
        <v>10.13076096146043</v>
      </c>
      <c r="P32" s="169">
        <v>13.81954904182497</v>
      </c>
      <c r="Q32" s="747"/>
      <c r="R32" s="167">
        <v>9.2959323569504537</v>
      </c>
      <c r="S32" s="273">
        <v>-0.32733460919627377</v>
      </c>
    </row>
    <row r="33" spans="2:19">
      <c r="B33" s="562"/>
      <c r="C33" s="562"/>
      <c r="D33" s="562"/>
      <c r="E33" s="562"/>
      <c r="F33" s="562"/>
      <c r="G33" s="562"/>
      <c r="H33" s="562"/>
      <c r="I33" s="562"/>
      <c r="J33" s="562"/>
      <c r="K33" s="562"/>
      <c r="L33" s="562"/>
      <c r="M33" s="569"/>
      <c r="N33" s="562"/>
      <c r="O33" s="562"/>
      <c r="P33" s="562"/>
      <c r="Q33" s="569"/>
      <c r="R33" s="562"/>
      <c r="S33" s="562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workbookViewId="0">
      <selection sqref="A1:XFD1048576"/>
    </sheetView>
  </sheetViews>
  <sheetFormatPr defaultRowHeight="14.25"/>
  <cols>
    <col min="1" max="1" width="4.28515625" style="835" customWidth="1"/>
    <col min="2" max="2" width="45.85546875" style="837" customWidth="1"/>
    <col min="3" max="3" width="40.28515625" style="837" customWidth="1"/>
    <col min="4" max="8" width="10.28515625" style="837" customWidth="1"/>
    <col min="9" max="13" width="10.28515625" style="838" customWidth="1"/>
    <col min="14" max="14" width="4.140625" style="838" customWidth="1"/>
    <col min="15" max="17" width="13.7109375" style="838" customWidth="1"/>
    <col min="18" max="18" width="4.28515625" style="838" customWidth="1"/>
    <col min="19" max="20" width="11.85546875" style="838" customWidth="1"/>
    <col min="21" max="23" width="9.140625" style="838"/>
    <col min="24" max="16384" width="9.140625" style="837"/>
  </cols>
  <sheetData>
    <row r="1" spans="1:20" s="748" customFormat="1" ht="20.25">
      <c r="A1" s="716" t="s">
        <v>340</v>
      </c>
      <c r="G1" s="749" t="s">
        <v>47</v>
      </c>
    </row>
    <row r="2" spans="1:20" s="748" customFormat="1" ht="20.25">
      <c r="A2" s="716" t="s">
        <v>990</v>
      </c>
      <c r="B2" s="749"/>
    </row>
    <row r="3" spans="1:20" s="748" customFormat="1" ht="20.25">
      <c r="A3" s="716" t="s">
        <v>417</v>
      </c>
    </row>
    <row r="4" spans="1:20" s="751" customFormat="1" ht="12.75">
      <c r="A4" s="750"/>
      <c r="S4" s="740"/>
      <c r="T4" s="740"/>
    </row>
    <row r="5" spans="1:20" s="751" customFormat="1" ht="12.75">
      <c r="A5" s="750"/>
      <c r="B5" s="752" t="s">
        <v>418</v>
      </c>
      <c r="O5" s="740"/>
      <c r="P5" s="740"/>
      <c r="Q5" s="740"/>
      <c r="R5" s="740"/>
      <c r="S5" s="740"/>
      <c r="T5" s="740"/>
    </row>
    <row r="6" spans="1:20" s="754" customFormat="1" ht="13.5" thickBot="1">
      <c r="A6" s="753"/>
      <c r="B6" s="639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740"/>
      <c r="O6" s="640"/>
      <c r="P6" s="640"/>
      <c r="Q6" s="640"/>
      <c r="R6" s="740"/>
      <c r="S6" s="640"/>
      <c r="T6" s="640"/>
    </row>
    <row r="7" spans="1:20" s="754" customFormat="1" ht="12.75">
      <c r="A7" s="753"/>
      <c r="B7" s="1554" t="s">
        <v>419</v>
      </c>
      <c r="C7" s="1555"/>
      <c r="D7" s="755" t="s">
        <v>420</v>
      </c>
      <c r="E7" s="756"/>
      <c r="F7" s="756"/>
      <c r="G7" s="756"/>
      <c r="H7" s="757"/>
      <c r="I7" s="755" t="s">
        <v>421</v>
      </c>
      <c r="J7" s="756"/>
      <c r="K7" s="756"/>
      <c r="L7" s="756"/>
      <c r="M7" s="757"/>
      <c r="N7" s="740"/>
      <c r="O7" s="570" t="s">
        <v>191</v>
      </c>
      <c r="P7" s="571"/>
      <c r="Q7" s="572"/>
      <c r="R7" s="740"/>
      <c r="S7" s="570" t="s">
        <v>192</v>
      </c>
      <c r="T7" s="572"/>
    </row>
    <row r="8" spans="1:20" s="754" customFormat="1" ht="12.75">
      <c r="A8" s="753"/>
      <c r="B8" s="1556"/>
      <c r="C8" s="1557"/>
      <c r="D8" s="758" t="s">
        <v>79</v>
      </c>
      <c r="E8" s="623" t="s">
        <v>80</v>
      </c>
      <c r="F8" s="623" t="s">
        <v>81</v>
      </c>
      <c r="G8" s="623" t="s">
        <v>82</v>
      </c>
      <c r="H8" s="759" t="s">
        <v>44</v>
      </c>
      <c r="I8" s="758" t="s">
        <v>193</v>
      </c>
      <c r="J8" s="623" t="s">
        <v>194</v>
      </c>
      <c r="K8" s="623" t="s">
        <v>195</v>
      </c>
      <c r="L8" s="623" t="s">
        <v>196</v>
      </c>
      <c r="M8" s="759" t="s">
        <v>197</v>
      </c>
      <c r="N8" s="740"/>
      <c r="O8" s="575" t="s">
        <v>198</v>
      </c>
      <c r="P8" s="576" t="s">
        <v>199</v>
      </c>
      <c r="Q8" s="577" t="s">
        <v>200</v>
      </c>
      <c r="R8" s="740"/>
      <c r="S8" s="575" t="s">
        <v>199</v>
      </c>
      <c r="T8" s="577" t="s">
        <v>201</v>
      </c>
    </row>
    <row r="9" spans="1:20" s="754" customFormat="1" ht="12.75">
      <c r="A9" s="753"/>
      <c r="B9" s="1558"/>
      <c r="C9" s="1559"/>
      <c r="D9" s="758" t="s">
        <v>203</v>
      </c>
      <c r="E9" s="623" t="s">
        <v>203</v>
      </c>
      <c r="F9" s="623" t="s">
        <v>203</v>
      </c>
      <c r="G9" s="623" t="s">
        <v>203</v>
      </c>
      <c r="H9" s="759" t="s">
        <v>203</v>
      </c>
      <c r="I9" s="760" t="s">
        <v>203</v>
      </c>
      <c r="J9" s="623" t="s">
        <v>203</v>
      </c>
      <c r="K9" s="623" t="s">
        <v>203</v>
      </c>
      <c r="L9" s="623" t="s">
        <v>203</v>
      </c>
      <c r="M9" s="759" t="s">
        <v>203</v>
      </c>
      <c r="N9" s="639"/>
      <c r="O9" s="270"/>
      <c r="P9" s="271"/>
      <c r="Q9" s="272"/>
      <c r="R9" s="740"/>
      <c r="S9" s="761"/>
      <c r="T9" s="762"/>
    </row>
    <row r="10" spans="1:20" s="754" customFormat="1" ht="15" customHeight="1">
      <c r="A10" s="753"/>
      <c r="B10" s="1568" t="s">
        <v>422</v>
      </c>
      <c r="C10" s="763" t="s">
        <v>423</v>
      </c>
      <c r="D10" s="764">
        <v>0.29920762142543345</v>
      </c>
      <c r="E10" s="765">
        <v>0.29907656419407114</v>
      </c>
      <c r="F10" s="765">
        <v>1.0976789316002178</v>
      </c>
      <c r="G10" s="765">
        <v>4.0210204957240183</v>
      </c>
      <c r="H10" s="766">
        <v>2.3369847146460714</v>
      </c>
      <c r="I10" s="764">
        <v>1.9103522168597962</v>
      </c>
      <c r="J10" s="765">
        <v>1.8661899290299955</v>
      </c>
      <c r="K10" s="765">
        <v>1.8629502247538514</v>
      </c>
      <c r="L10" s="765">
        <v>1.9658635063471863</v>
      </c>
      <c r="M10" s="766">
        <v>1.983307357938886</v>
      </c>
      <c r="N10" s="767"/>
      <c r="O10" s="151">
        <v>1.6959631172197223</v>
      </c>
      <c r="P10" s="152">
        <v>6.3580052103700897</v>
      </c>
      <c r="Q10" s="153">
        <v>8.0539683275898124</v>
      </c>
      <c r="R10" s="154"/>
      <c r="S10" s="151">
        <v>9.5886632349297152</v>
      </c>
      <c r="T10" s="155">
        <v>0.19055139589792344</v>
      </c>
    </row>
    <row r="11" spans="1:20" s="754" customFormat="1" ht="15" customHeight="1">
      <c r="A11" s="753"/>
      <c r="B11" s="1569"/>
      <c r="C11" s="768" t="s">
        <v>424</v>
      </c>
      <c r="D11" s="769">
        <v>1.6955098547441227</v>
      </c>
      <c r="E11" s="770">
        <v>2.3926125135525695</v>
      </c>
      <c r="F11" s="770">
        <v>3.5924037761461669</v>
      </c>
      <c r="G11" s="770">
        <v>0.33508504131033484</v>
      </c>
      <c r="H11" s="771">
        <v>0.77899490488202372</v>
      </c>
      <c r="I11" s="769">
        <v>1.2735681445731974</v>
      </c>
      <c r="J11" s="770">
        <v>1.3478038376327743</v>
      </c>
      <c r="K11" s="770">
        <v>1.4489612859196621</v>
      </c>
      <c r="L11" s="770">
        <v>1.6554640053449992</v>
      </c>
      <c r="M11" s="771">
        <v>1.7745381623663716</v>
      </c>
      <c r="N11" s="767"/>
      <c r="O11" s="151">
        <v>7.680526144442859</v>
      </c>
      <c r="P11" s="152">
        <v>1.1140799461923585</v>
      </c>
      <c r="Q11" s="153">
        <v>8.7946060906352184</v>
      </c>
      <c r="R11" s="154"/>
      <c r="S11" s="151">
        <v>7.5003354358370045</v>
      </c>
      <c r="T11" s="155">
        <v>-0.14716641558015831</v>
      </c>
    </row>
    <row r="12" spans="1:20" s="754" customFormat="1" ht="15" customHeight="1">
      <c r="A12" s="753"/>
      <c r="B12" s="1569" t="s">
        <v>425</v>
      </c>
      <c r="C12" s="768" t="s">
        <v>423</v>
      </c>
      <c r="D12" s="769">
        <v>0</v>
      </c>
      <c r="E12" s="770">
        <v>0</v>
      </c>
      <c r="F12" s="770">
        <v>0</v>
      </c>
      <c r="G12" s="770">
        <v>0</v>
      </c>
      <c r="H12" s="771">
        <v>0</v>
      </c>
      <c r="I12" s="769">
        <v>0</v>
      </c>
      <c r="J12" s="770">
        <v>0</v>
      </c>
      <c r="K12" s="770">
        <v>0</v>
      </c>
      <c r="L12" s="770">
        <v>0</v>
      </c>
      <c r="M12" s="771">
        <v>0</v>
      </c>
      <c r="N12" s="767"/>
      <c r="O12" s="151">
        <v>0</v>
      </c>
      <c r="P12" s="152">
        <v>0</v>
      </c>
      <c r="Q12" s="153">
        <v>0</v>
      </c>
      <c r="R12" s="154"/>
      <c r="S12" s="151">
        <v>0</v>
      </c>
      <c r="T12" s="155" t="s">
        <v>989</v>
      </c>
    </row>
    <row r="13" spans="1:20" s="754" customFormat="1" ht="15" customHeight="1">
      <c r="A13" s="753"/>
      <c r="B13" s="1569"/>
      <c r="C13" s="768" t="s">
        <v>424</v>
      </c>
      <c r="D13" s="769">
        <v>0</v>
      </c>
      <c r="E13" s="770">
        <v>0</v>
      </c>
      <c r="F13" s="770">
        <v>0</v>
      </c>
      <c r="G13" s="770">
        <v>0</v>
      </c>
      <c r="H13" s="771">
        <v>0</v>
      </c>
      <c r="I13" s="769">
        <v>0</v>
      </c>
      <c r="J13" s="770">
        <v>0</v>
      </c>
      <c r="K13" s="770">
        <v>0</v>
      </c>
      <c r="L13" s="770">
        <v>0</v>
      </c>
      <c r="M13" s="771">
        <v>0</v>
      </c>
      <c r="N13" s="767"/>
      <c r="O13" s="151">
        <v>0</v>
      </c>
      <c r="P13" s="152">
        <v>0</v>
      </c>
      <c r="Q13" s="153">
        <v>0</v>
      </c>
      <c r="R13" s="154"/>
      <c r="S13" s="151">
        <v>0</v>
      </c>
      <c r="T13" s="155" t="s">
        <v>989</v>
      </c>
    </row>
    <row r="14" spans="1:20" s="754" customFormat="1" ht="15" customHeight="1">
      <c r="A14" s="753"/>
      <c r="B14" s="1564" t="s">
        <v>345</v>
      </c>
      <c r="C14" s="768" t="s">
        <v>426</v>
      </c>
      <c r="D14" s="769">
        <v>0.39894349523391126</v>
      </c>
      <c r="E14" s="770">
        <v>0.49846094032345195</v>
      </c>
      <c r="F14" s="770">
        <v>0.69852295647286589</v>
      </c>
      <c r="G14" s="770">
        <v>4.9145806058849111</v>
      </c>
      <c r="H14" s="771">
        <v>4.7852544157038608</v>
      </c>
      <c r="I14" s="769">
        <v>1.2735681445731974</v>
      </c>
      <c r="J14" s="770">
        <v>1.2441266193533302</v>
      </c>
      <c r="K14" s="770">
        <v>1.3454640512111147</v>
      </c>
      <c r="L14" s="770">
        <v>1.3450645043428118</v>
      </c>
      <c r="M14" s="771">
        <v>1.3569997712213433</v>
      </c>
      <c r="N14" s="767"/>
      <c r="O14" s="151">
        <v>1.595927392030229</v>
      </c>
      <c r="P14" s="152">
        <v>9.6998350215887719</v>
      </c>
      <c r="Q14" s="153">
        <v>11.295762413619002</v>
      </c>
      <c r="R14" s="154"/>
      <c r="S14" s="151">
        <v>6.5652230907017977</v>
      </c>
      <c r="T14" s="155">
        <v>-0.41878884750742618</v>
      </c>
    </row>
    <row r="15" spans="1:20" s="754" customFormat="1" ht="15" customHeight="1">
      <c r="A15" s="753"/>
      <c r="B15" s="1564"/>
      <c r="C15" s="768" t="s">
        <v>427</v>
      </c>
      <c r="D15" s="769">
        <v>1.3963022333186894</v>
      </c>
      <c r="E15" s="770">
        <v>2.4923047016172597</v>
      </c>
      <c r="F15" s="770">
        <v>3.9915597512735186</v>
      </c>
      <c r="G15" s="770">
        <v>0.33508504131033484</v>
      </c>
      <c r="H15" s="771">
        <v>0.77899490488202372</v>
      </c>
      <c r="I15" s="769">
        <v>0.84904542971546504</v>
      </c>
      <c r="J15" s="770">
        <v>0.82941774623555353</v>
      </c>
      <c r="K15" s="770">
        <v>1.2419668165025675</v>
      </c>
      <c r="L15" s="770">
        <v>1.5519975050109367</v>
      </c>
      <c r="M15" s="771">
        <v>1.7745381623663721</v>
      </c>
      <c r="N15" s="767"/>
      <c r="O15" s="151">
        <v>7.8801666862094679</v>
      </c>
      <c r="P15" s="152">
        <v>1.1140799461923585</v>
      </c>
      <c r="Q15" s="153">
        <v>8.9942466324018273</v>
      </c>
      <c r="R15" s="154"/>
      <c r="S15" s="151">
        <v>6.2469656598308951</v>
      </c>
      <c r="T15" s="155">
        <v>-0.30544870347159886</v>
      </c>
    </row>
    <row r="16" spans="1:20" s="754" customFormat="1" ht="15" customHeight="1">
      <c r="A16" s="753"/>
      <c r="B16" s="1564"/>
      <c r="C16" s="772" t="s">
        <v>428</v>
      </c>
      <c r="D16" s="769">
        <v>0.59841524285086689</v>
      </c>
      <c r="E16" s="770">
        <v>0.89722969258221341</v>
      </c>
      <c r="F16" s="770">
        <v>1.1974679253820557</v>
      </c>
      <c r="G16" s="770">
        <v>0.55847506885055809</v>
      </c>
      <c r="H16" s="771">
        <v>1.1128498641171767</v>
      </c>
      <c r="I16" s="769">
        <v>0.84904542971546504</v>
      </c>
      <c r="J16" s="770">
        <v>0.93309496451499774</v>
      </c>
      <c r="K16" s="770">
        <v>1.034972347085473</v>
      </c>
      <c r="L16" s="770">
        <v>1.1381315036746869</v>
      </c>
      <c r="M16" s="771">
        <v>1.2526151734350861</v>
      </c>
      <c r="N16" s="767"/>
      <c r="O16" s="151">
        <v>2.6931128608151358</v>
      </c>
      <c r="P16" s="152">
        <v>1.6713249329677349</v>
      </c>
      <c r="Q16" s="153">
        <v>4.3644377937828711</v>
      </c>
      <c r="R16" s="154"/>
      <c r="S16" s="151">
        <v>5.2078594184257083</v>
      </c>
      <c r="T16" s="155">
        <v>0.1932486300627973</v>
      </c>
    </row>
    <row r="17" spans="1:20" s="754" customFormat="1" ht="15" customHeight="1">
      <c r="A17" s="753"/>
      <c r="B17" s="1564" t="s">
        <v>223</v>
      </c>
      <c r="C17" s="768" t="s">
        <v>429</v>
      </c>
      <c r="D17" s="769">
        <v>2.7926044666373793</v>
      </c>
      <c r="E17" s="770">
        <v>2.7913812658113311</v>
      </c>
      <c r="F17" s="770">
        <v>2.7940918258914631</v>
      </c>
      <c r="G17" s="770">
        <v>11.727976445861719</v>
      </c>
      <c r="H17" s="771">
        <v>10.238218749878026</v>
      </c>
      <c r="I17" s="769">
        <v>6.4739714015804211</v>
      </c>
      <c r="J17" s="770">
        <v>5.9096014419283192</v>
      </c>
      <c r="K17" s="770">
        <v>5.588850674261554</v>
      </c>
      <c r="L17" s="770">
        <v>5.276791517037184</v>
      </c>
      <c r="M17" s="771">
        <v>5.2192298893128584</v>
      </c>
      <c r="N17" s="767"/>
      <c r="O17" s="151">
        <v>8.3780775583401734</v>
      </c>
      <c r="P17" s="152">
        <v>21.966195195739743</v>
      </c>
      <c r="Q17" s="153">
        <v>30.34427275407992</v>
      </c>
      <c r="R17" s="154"/>
      <c r="S17" s="151">
        <v>28.468444924120334</v>
      </c>
      <c r="T17" s="155">
        <v>-6.1818183785847143E-2</v>
      </c>
    </row>
    <row r="18" spans="1:20" s="754" customFormat="1" ht="15" customHeight="1">
      <c r="A18" s="753"/>
      <c r="B18" s="1564"/>
      <c r="C18" s="768" t="s">
        <v>95</v>
      </c>
      <c r="D18" s="769">
        <v>1.4960381071271673</v>
      </c>
      <c r="E18" s="770">
        <v>1.9938437612938078</v>
      </c>
      <c r="F18" s="770">
        <v>3.0934588072369773</v>
      </c>
      <c r="G18" s="770">
        <v>0.55847506885055809</v>
      </c>
      <c r="H18" s="771">
        <v>1.0015648777054591</v>
      </c>
      <c r="I18" s="769">
        <v>1.0613067871443311</v>
      </c>
      <c r="J18" s="770">
        <v>1.1404494010738859</v>
      </c>
      <c r="K18" s="770">
        <v>1.2419668165025675</v>
      </c>
      <c r="L18" s="770">
        <v>1.2415980040087493</v>
      </c>
      <c r="M18" s="771">
        <v>1.4613843690076003</v>
      </c>
      <c r="N18" s="767"/>
      <c r="O18" s="151">
        <v>6.5833406756579524</v>
      </c>
      <c r="P18" s="152">
        <v>1.5600399465560173</v>
      </c>
      <c r="Q18" s="153">
        <v>8.1433806222139697</v>
      </c>
      <c r="R18" s="154"/>
      <c r="S18" s="151">
        <v>6.1467053777371339</v>
      </c>
      <c r="T18" s="155">
        <v>-0.2451899692653679</v>
      </c>
    </row>
    <row r="19" spans="1:20" s="754" customFormat="1" ht="15" customHeight="1">
      <c r="A19" s="753"/>
      <c r="B19" s="1564"/>
      <c r="C19" s="772" t="s">
        <v>430</v>
      </c>
      <c r="D19" s="769">
        <v>0</v>
      </c>
      <c r="E19" s="770">
        <v>0</v>
      </c>
      <c r="F19" s="770">
        <v>0</v>
      </c>
      <c r="G19" s="770">
        <v>0</v>
      </c>
      <c r="H19" s="771">
        <v>0</v>
      </c>
      <c r="I19" s="769">
        <v>0</v>
      </c>
      <c r="J19" s="770">
        <v>0</v>
      </c>
      <c r="K19" s="770">
        <v>0</v>
      </c>
      <c r="L19" s="770">
        <v>0</v>
      </c>
      <c r="M19" s="771">
        <v>0</v>
      </c>
      <c r="N19" s="767"/>
      <c r="O19" s="151">
        <v>0</v>
      </c>
      <c r="P19" s="152">
        <v>0</v>
      </c>
      <c r="Q19" s="153">
        <v>0</v>
      </c>
      <c r="R19" s="154"/>
      <c r="S19" s="151">
        <v>0</v>
      </c>
      <c r="T19" s="155" t="s">
        <v>989</v>
      </c>
    </row>
    <row r="20" spans="1:20" s="754" customFormat="1" ht="15" customHeight="1">
      <c r="A20" s="753"/>
      <c r="B20" s="1564"/>
      <c r="C20" s="772" t="s">
        <v>428</v>
      </c>
      <c r="D20" s="769">
        <v>3.8896990785306347</v>
      </c>
      <c r="E20" s="770">
        <v>6.4799922242048753</v>
      </c>
      <c r="F20" s="770">
        <v>6.5860735896013063</v>
      </c>
      <c r="G20" s="770">
        <v>4.3561055370343524</v>
      </c>
      <c r="H20" s="771">
        <v>6.0093892662327537</v>
      </c>
      <c r="I20" s="769">
        <v>6.8984941164381528</v>
      </c>
      <c r="J20" s="770">
        <v>7.6721141526788701</v>
      </c>
      <c r="K20" s="770">
        <v>8.1762815419752375</v>
      </c>
      <c r="L20" s="770">
        <v>9.105052029397493</v>
      </c>
      <c r="M20" s="771">
        <v>8.350767822900572</v>
      </c>
      <c r="N20" s="767"/>
      <c r="O20" s="151">
        <v>16.955764892336816</v>
      </c>
      <c r="P20" s="152">
        <v>10.365494803267106</v>
      </c>
      <c r="Q20" s="153">
        <v>27.321259695603921</v>
      </c>
      <c r="R20" s="154"/>
      <c r="S20" s="151">
        <v>40.202709663390323</v>
      </c>
      <c r="T20" s="155">
        <v>0.47148082157643229</v>
      </c>
    </row>
    <row r="21" spans="1:20" s="754" customFormat="1" ht="15" customHeight="1">
      <c r="A21" s="753"/>
      <c r="B21" s="1564"/>
      <c r="C21" s="768" t="s">
        <v>431</v>
      </c>
      <c r="D21" s="769">
        <v>0</v>
      </c>
      <c r="E21" s="770">
        <v>0.89722969258221352</v>
      </c>
      <c r="F21" s="770">
        <v>1.1974679253820557</v>
      </c>
      <c r="G21" s="770">
        <v>0.67017008262066957</v>
      </c>
      <c r="H21" s="771">
        <v>1.7805597825874828</v>
      </c>
      <c r="I21" s="769">
        <v>1.1674374658587645</v>
      </c>
      <c r="J21" s="770">
        <v>1.2441266193533302</v>
      </c>
      <c r="K21" s="770">
        <v>1.3454640512111147</v>
      </c>
      <c r="L21" s="770">
        <v>1.6554640053449992</v>
      </c>
      <c r="M21" s="771">
        <v>1.878922760152629</v>
      </c>
      <c r="N21" s="767"/>
      <c r="O21" s="151">
        <v>2.0946976179642691</v>
      </c>
      <c r="P21" s="152">
        <v>2.4507298652081522</v>
      </c>
      <c r="Q21" s="153">
        <v>4.5454274831724213</v>
      </c>
      <c r="R21" s="154"/>
      <c r="S21" s="151">
        <v>7.2914149019208372</v>
      </c>
      <c r="T21" s="155">
        <v>0.60412082888007934</v>
      </c>
    </row>
    <row r="22" spans="1:20" s="754" customFormat="1" ht="15" customHeight="1">
      <c r="A22" s="753"/>
      <c r="B22" s="1564"/>
      <c r="C22" s="768" t="s">
        <v>432</v>
      </c>
      <c r="D22" s="769">
        <v>0.89762286427630034</v>
      </c>
      <c r="E22" s="770">
        <v>2.3926125135525695</v>
      </c>
      <c r="F22" s="770">
        <v>2.2951468569822735</v>
      </c>
      <c r="G22" s="770">
        <v>1.5637301927815628</v>
      </c>
      <c r="H22" s="771">
        <v>2.559554687469507</v>
      </c>
      <c r="I22" s="769">
        <v>1.2735681445731974</v>
      </c>
      <c r="J22" s="770">
        <v>1.2441266193533302</v>
      </c>
      <c r="K22" s="770">
        <v>1.2419668165025675</v>
      </c>
      <c r="L22" s="770">
        <v>1.2415980040087495</v>
      </c>
      <c r="M22" s="771">
        <v>1.2526151734350859</v>
      </c>
      <c r="N22" s="767"/>
      <c r="O22" s="151">
        <v>5.5853822348111439</v>
      </c>
      <c r="P22" s="152">
        <v>4.1232848802510702</v>
      </c>
      <c r="Q22" s="153">
        <v>9.7086671150622141</v>
      </c>
      <c r="R22" s="154"/>
      <c r="S22" s="151">
        <v>6.2538747578729303</v>
      </c>
      <c r="T22" s="155">
        <v>-0.35584620589467447</v>
      </c>
    </row>
    <row r="23" spans="1:20" s="754" customFormat="1" ht="15" customHeight="1">
      <c r="A23" s="753"/>
      <c r="B23" s="1564" t="s">
        <v>402</v>
      </c>
      <c r="C23" s="768" t="s">
        <v>429</v>
      </c>
      <c r="D23" s="769">
        <v>9.9735873808477815E-2</v>
      </c>
      <c r="E23" s="770">
        <v>0.49846094032345195</v>
      </c>
      <c r="F23" s="770">
        <v>0.99788993781837976</v>
      </c>
      <c r="G23" s="770">
        <v>3.4625454268734597</v>
      </c>
      <c r="H23" s="771">
        <v>0.89027989129374141</v>
      </c>
      <c r="I23" s="769">
        <v>2.0164828955742293</v>
      </c>
      <c r="J23" s="770">
        <v>6.4279875333255392</v>
      </c>
      <c r="K23" s="770">
        <v>2.3804363982965873</v>
      </c>
      <c r="L23" s="770">
        <v>12.209047039419369</v>
      </c>
      <c r="M23" s="771">
        <v>7.4113064428242588</v>
      </c>
      <c r="N23" s="767"/>
      <c r="O23" s="151">
        <v>1.5960867519503097</v>
      </c>
      <c r="P23" s="152">
        <v>4.3528253181672012</v>
      </c>
      <c r="Q23" s="153">
        <v>5.9489120701175109</v>
      </c>
      <c r="R23" s="154"/>
      <c r="S23" s="151">
        <v>30.445260309439984</v>
      </c>
      <c r="T23" s="155">
        <v>4.1177862356332637</v>
      </c>
    </row>
    <row r="24" spans="1:20" s="754" customFormat="1" ht="15" customHeight="1">
      <c r="A24" s="753"/>
      <c r="B24" s="1564"/>
      <c r="C24" s="768" t="s">
        <v>95</v>
      </c>
      <c r="D24" s="769">
        <v>1.4960381071271673</v>
      </c>
      <c r="E24" s="770">
        <v>1.3956906329056653</v>
      </c>
      <c r="F24" s="770">
        <v>1.8959908818549214</v>
      </c>
      <c r="G24" s="770">
        <v>0</v>
      </c>
      <c r="H24" s="771">
        <v>1.1128498641171769</v>
      </c>
      <c r="I24" s="769">
        <v>0</v>
      </c>
      <c r="J24" s="770">
        <v>0</v>
      </c>
      <c r="K24" s="770">
        <v>5.0713645007188175</v>
      </c>
      <c r="L24" s="770">
        <v>3.1039950100218734</v>
      </c>
      <c r="M24" s="771">
        <v>0</v>
      </c>
      <c r="N24" s="767"/>
      <c r="O24" s="151">
        <v>4.7877196218877547</v>
      </c>
      <c r="P24" s="152">
        <v>1.1128498641171769</v>
      </c>
      <c r="Q24" s="153">
        <v>5.9005694860049314</v>
      </c>
      <c r="R24" s="154"/>
      <c r="S24" s="151">
        <v>8.1753595107406909</v>
      </c>
      <c r="T24" s="155">
        <v>0.38552041970374967</v>
      </c>
    </row>
    <row r="25" spans="1:20" s="754" customFormat="1" ht="15" customHeight="1">
      <c r="A25" s="753"/>
      <c r="B25" s="1564"/>
      <c r="C25" s="768" t="s">
        <v>430</v>
      </c>
      <c r="D25" s="769">
        <v>0</v>
      </c>
      <c r="E25" s="770">
        <v>0</v>
      </c>
      <c r="F25" s="770">
        <v>0</v>
      </c>
      <c r="G25" s="770">
        <v>0</v>
      </c>
      <c r="H25" s="771">
        <v>0</v>
      </c>
      <c r="I25" s="769">
        <v>0</v>
      </c>
      <c r="J25" s="770">
        <v>0</v>
      </c>
      <c r="K25" s="770">
        <v>0</v>
      </c>
      <c r="L25" s="770">
        <v>0</v>
      </c>
      <c r="M25" s="771">
        <v>0</v>
      </c>
      <c r="N25" s="767"/>
      <c r="O25" s="151">
        <v>0</v>
      </c>
      <c r="P25" s="152">
        <v>0</v>
      </c>
      <c r="Q25" s="153">
        <v>0</v>
      </c>
      <c r="R25" s="154"/>
      <c r="S25" s="151">
        <v>0</v>
      </c>
      <c r="T25" s="155" t="s">
        <v>989</v>
      </c>
    </row>
    <row r="26" spans="1:20" s="754" customFormat="1" ht="15" customHeight="1">
      <c r="A26" s="753"/>
      <c r="B26" s="1564"/>
      <c r="C26" s="768" t="s">
        <v>428</v>
      </c>
      <c r="D26" s="769">
        <v>0.29920762142543345</v>
      </c>
      <c r="E26" s="770">
        <v>0.89722969258221352</v>
      </c>
      <c r="F26" s="770">
        <v>1.1974679253820557</v>
      </c>
      <c r="G26" s="770">
        <v>1.1169501377011162</v>
      </c>
      <c r="H26" s="771">
        <v>1.0015648777054591</v>
      </c>
      <c r="I26" s="769">
        <v>1.6980908594309299</v>
      </c>
      <c r="J26" s="770">
        <v>2.6956076752655487</v>
      </c>
      <c r="K26" s="770">
        <v>4.8643700313017222</v>
      </c>
      <c r="L26" s="770">
        <v>3.9317270126943726</v>
      </c>
      <c r="M26" s="771">
        <v>6.8893834538929726</v>
      </c>
      <c r="N26" s="767"/>
      <c r="O26" s="151">
        <v>2.3939052393897029</v>
      </c>
      <c r="P26" s="152">
        <v>2.1185150154065751</v>
      </c>
      <c r="Q26" s="153">
        <v>4.5124202547962788</v>
      </c>
      <c r="R26" s="154"/>
      <c r="S26" s="151">
        <v>20.079179032585547</v>
      </c>
      <c r="T26" s="155">
        <v>3.4497582004342937</v>
      </c>
    </row>
    <row r="27" spans="1:20" s="754" customFormat="1" ht="15" customHeight="1">
      <c r="A27" s="753"/>
      <c r="B27" s="1564"/>
      <c r="C27" s="768" t="s">
        <v>431</v>
      </c>
      <c r="D27" s="769">
        <v>0.19947174761695563</v>
      </c>
      <c r="E27" s="770">
        <v>0.89722969258221352</v>
      </c>
      <c r="F27" s="770">
        <v>0.49894496890918988</v>
      </c>
      <c r="G27" s="770">
        <v>0.67017008262066957</v>
      </c>
      <c r="H27" s="771">
        <v>0.55642493205858834</v>
      </c>
      <c r="I27" s="769">
        <v>0.74291475100103188</v>
      </c>
      <c r="J27" s="770">
        <v>1.8661899290299955</v>
      </c>
      <c r="K27" s="770">
        <v>2.6909281024222294</v>
      </c>
      <c r="L27" s="770">
        <v>2.6901290086856235</v>
      </c>
      <c r="M27" s="771">
        <v>0.73069218450380025</v>
      </c>
      <c r="N27" s="767"/>
      <c r="O27" s="151">
        <v>1.5956464091083589</v>
      </c>
      <c r="P27" s="152">
        <v>1.2265950146792579</v>
      </c>
      <c r="Q27" s="153">
        <v>2.8222414237876166</v>
      </c>
      <c r="R27" s="154"/>
      <c r="S27" s="151">
        <v>8.7208539756426813</v>
      </c>
      <c r="T27" s="155">
        <v>2.0900453455674866</v>
      </c>
    </row>
    <row r="28" spans="1:20" s="754" customFormat="1" ht="15" customHeight="1">
      <c r="A28" s="753"/>
      <c r="B28" s="1564"/>
      <c r="C28" s="772" t="s">
        <v>432</v>
      </c>
      <c r="D28" s="769">
        <v>0.19947174761695563</v>
      </c>
      <c r="E28" s="770">
        <v>1.4953828209703559</v>
      </c>
      <c r="F28" s="770">
        <v>0.99788993781837976</v>
      </c>
      <c r="G28" s="770">
        <v>2.2339002754022323</v>
      </c>
      <c r="H28" s="771">
        <v>2.2256997282343538</v>
      </c>
      <c r="I28" s="769">
        <v>0.31839203614329936</v>
      </c>
      <c r="J28" s="770">
        <v>0.10367721827944419</v>
      </c>
      <c r="K28" s="770">
        <v>0.2069944694170946</v>
      </c>
      <c r="L28" s="770">
        <v>0.10346650033406245</v>
      </c>
      <c r="M28" s="771">
        <v>0.20876919557251436</v>
      </c>
      <c r="N28" s="767"/>
      <c r="O28" s="151">
        <v>2.6927445064056914</v>
      </c>
      <c r="P28" s="152">
        <v>4.4596000036365862</v>
      </c>
      <c r="Q28" s="153">
        <v>7.152344510042278</v>
      </c>
      <c r="R28" s="154"/>
      <c r="S28" s="151">
        <v>0.94129941974641507</v>
      </c>
      <c r="T28" s="155">
        <v>-0.86839288593764186</v>
      </c>
    </row>
    <row r="29" spans="1:20" s="754" customFormat="1" ht="15" customHeight="1">
      <c r="A29" s="753"/>
      <c r="B29" s="1564" t="s">
        <v>401</v>
      </c>
      <c r="C29" s="768" t="s">
        <v>429</v>
      </c>
      <c r="D29" s="769">
        <v>0.79788699046782252</v>
      </c>
      <c r="E29" s="770">
        <v>0.89722969258221352</v>
      </c>
      <c r="F29" s="770">
        <v>7.7835415149833613</v>
      </c>
      <c r="G29" s="770">
        <v>8.3771260327583708</v>
      </c>
      <c r="H29" s="771">
        <v>6.8996691575264961</v>
      </c>
      <c r="I29" s="769">
        <v>2.7593976465752608</v>
      </c>
      <c r="J29" s="770">
        <v>0</v>
      </c>
      <c r="K29" s="770">
        <v>0.72448064295983106</v>
      </c>
      <c r="L29" s="770">
        <v>0</v>
      </c>
      <c r="M29" s="771">
        <v>4.3841531070228017</v>
      </c>
      <c r="N29" s="767"/>
      <c r="O29" s="151">
        <v>9.478658198033397</v>
      </c>
      <c r="P29" s="152">
        <v>15.276795190284867</v>
      </c>
      <c r="Q29" s="153">
        <v>24.755453388318266</v>
      </c>
      <c r="R29" s="154"/>
      <c r="S29" s="151">
        <v>7.8680313965578934</v>
      </c>
      <c r="T29" s="155">
        <v>-0.68216977192303407</v>
      </c>
    </row>
    <row r="30" spans="1:20" s="754" customFormat="1" ht="15" customHeight="1">
      <c r="A30" s="753"/>
      <c r="B30" s="1564"/>
      <c r="C30" s="768" t="s">
        <v>95</v>
      </c>
      <c r="D30" s="769">
        <v>2.9920762142543347</v>
      </c>
      <c r="E30" s="770">
        <v>0.29907656419407114</v>
      </c>
      <c r="F30" s="770">
        <v>0</v>
      </c>
      <c r="G30" s="770">
        <v>0</v>
      </c>
      <c r="H30" s="771">
        <v>0.55642493205858845</v>
      </c>
      <c r="I30" s="769">
        <v>1.2735681445731974</v>
      </c>
      <c r="J30" s="770">
        <v>5.7022470053694292</v>
      </c>
      <c r="K30" s="770">
        <v>6.8308174907641206</v>
      </c>
      <c r="L30" s="770">
        <v>9.8293175317359314</v>
      </c>
      <c r="M30" s="771">
        <v>9.9165367896944296</v>
      </c>
      <c r="N30" s="767"/>
      <c r="O30" s="151">
        <v>3.2911527784484056</v>
      </c>
      <c r="P30" s="152">
        <v>0.55642493205858845</v>
      </c>
      <c r="Q30" s="153">
        <v>3.8475777105069939</v>
      </c>
      <c r="R30" s="154"/>
      <c r="S30" s="151">
        <v>33.55248696213711</v>
      </c>
      <c r="T30" s="155">
        <v>7.7204182700486408</v>
      </c>
    </row>
    <row r="31" spans="1:20" s="754" customFormat="1" ht="15" customHeight="1">
      <c r="A31" s="753"/>
      <c r="B31" s="1564"/>
      <c r="C31" s="772" t="s">
        <v>433</v>
      </c>
      <c r="D31" s="769">
        <v>0</v>
      </c>
      <c r="E31" s="770">
        <v>0</v>
      </c>
      <c r="F31" s="770">
        <v>0</v>
      </c>
      <c r="G31" s="770">
        <v>0</v>
      </c>
      <c r="H31" s="771">
        <v>0</v>
      </c>
      <c r="I31" s="769">
        <v>0</v>
      </c>
      <c r="J31" s="770">
        <v>0</v>
      </c>
      <c r="K31" s="770">
        <v>0</v>
      </c>
      <c r="L31" s="770">
        <v>0</v>
      </c>
      <c r="M31" s="771">
        <v>0</v>
      </c>
      <c r="N31" s="767"/>
      <c r="O31" s="151">
        <v>0</v>
      </c>
      <c r="P31" s="152">
        <v>0</v>
      </c>
      <c r="Q31" s="153">
        <v>0</v>
      </c>
      <c r="R31" s="154"/>
      <c r="S31" s="151">
        <v>0</v>
      </c>
      <c r="T31" s="155" t="s">
        <v>989</v>
      </c>
    </row>
    <row r="32" spans="1:20" s="754" customFormat="1" ht="15" customHeight="1">
      <c r="A32" s="753"/>
      <c r="B32" s="1564"/>
      <c r="C32" s="772" t="s">
        <v>428</v>
      </c>
      <c r="D32" s="769">
        <v>2.8923403404458568</v>
      </c>
      <c r="E32" s="770">
        <v>1.8941515732291172</v>
      </c>
      <c r="F32" s="770">
        <v>0.19957798756367595</v>
      </c>
      <c r="G32" s="770">
        <v>0</v>
      </c>
      <c r="H32" s="771">
        <v>4.6739694292921428</v>
      </c>
      <c r="I32" s="769">
        <v>12.735681445731974</v>
      </c>
      <c r="J32" s="770">
        <v>11.92288010213608</v>
      </c>
      <c r="K32" s="770">
        <v>6.8308174907641206</v>
      </c>
      <c r="L32" s="770">
        <v>3.8282605123603104</v>
      </c>
      <c r="M32" s="771">
        <v>3.8622301180915155</v>
      </c>
      <c r="N32" s="767"/>
      <c r="O32" s="151">
        <v>4.9860699012386496</v>
      </c>
      <c r="P32" s="152">
        <v>4.6739694292921428</v>
      </c>
      <c r="Q32" s="153">
        <v>9.6600393305307932</v>
      </c>
      <c r="R32" s="154"/>
      <c r="S32" s="151">
        <v>39.179869669083999</v>
      </c>
      <c r="T32" s="155">
        <v>3.0558706158943942</v>
      </c>
    </row>
    <row r="33" spans="1:20" s="754" customFormat="1" ht="15" customHeight="1">
      <c r="A33" s="753"/>
      <c r="B33" s="1564"/>
      <c r="C33" s="772" t="s">
        <v>431</v>
      </c>
      <c r="D33" s="769">
        <v>2.0944533499780342</v>
      </c>
      <c r="E33" s="770">
        <v>0.79753750451752314</v>
      </c>
      <c r="F33" s="770">
        <v>0</v>
      </c>
      <c r="G33" s="770">
        <v>0</v>
      </c>
      <c r="H33" s="771">
        <v>2.1144147418226358</v>
      </c>
      <c r="I33" s="769">
        <v>2.0164828955742293</v>
      </c>
      <c r="J33" s="770">
        <v>2.4882532387066605</v>
      </c>
      <c r="K33" s="770">
        <v>1.9664474594623982</v>
      </c>
      <c r="L33" s="770">
        <v>1.9658635063471863</v>
      </c>
      <c r="M33" s="771">
        <v>0</v>
      </c>
      <c r="N33" s="767"/>
      <c r="O33" s="151">
        <v>2.8919908544955573</v>
      </c>
      <c r="P33" s="152">
        <v>2.1144147418226358</v>
      </c>
      <c r="Q33" s="153">
        <v>5.006405596318193</v>
      </c>
      <c r="R33" s="154"/>
      <c r="S33" s="151">
        <v>8.4370471000904743</v>
      </c>
      <c r="T33" s="155">
        <v>0.68525041324962588</v>
      </c>
    </row>
    <row r="34" spans="1:20" s="754" customFormat="1" ht="15" customHeight="1">
      <c r="A34" s="753"/>
      <c r="B34" s="1564"/>
      <c r="C34" s="772" t="s">
        <v>432</v>
      </c>
      <c r="D34" s="769">
        <v>0</v>
      </c>
      <c r="E34" s="770">
        <v>0</v>
      </c>
      <c r="F34" s="770">
        <v>0</v>
      </c>
      <c r="G34" s="770">
        <v>0</v>
      </c>
      <c r="H34" s="771">
        <v>0</v>
      </c>
      <c r="I34" s="769">
        <v>0.19526135742886624</v>
      </c>
      <c r="J34" s="770">
        <v>0</v>
      </c>
      <c r="K34" s="770">
        <v>0</v>
      </c>
      <c r="L34" s="770">
        <v>0</v>
      </c>
      <c r="M34" s="771">
        <v>0</v>
      </c>
      <c r="N34" s="767"/>
      <c r="O34" s="151">
        <v>0</v>
      </c>
      <c r="P34" s="152">
        <v>0</v>
      </c>
      <c r="Q34" s="153">
        <v>0</v>
      </c>
      <c r="R34" s="154"/>
      <c r="S34" s="151">
        <v>0.19526135742886624</v>
      </c>
      <c r="T34" s="155" t="s">
        <v>989</v>
      </c>
    </row>
    <row r="35" spans="1:20" s="754" customFormat="1" ht="15" customHeight="1" thickBot="1">
      <c r="A35" s="753"/>
      <c r="B35" s="1562" t="s">
        <v>434</v>
      </c>
      <c r="C35" s="1563"/>
      <c r="D35" s="773">
        <v>24.535024956885543</v>
      </c>
      <c r="E35" s="774">
        <v>30.206732983601189</v>
      </c>
      <c r="F35" s="774">
        <v>40.115175500298861</v>
      </c>
      <c r="G35" s="774">
        <v>44.901395535584868</v>
      </c>
      <c r="H35" s="775">
        <v>51.41366372221357</v>
      </c>
      <c r="I35" s="773">
        <v>46.786629313065006</v>
      </c>
      <c r="J35" s="774">
        <v>54.637894033267088</v>
      </c>
      <c r="K35" s="774">
        <v>56.095501212032637</v>
      </c>
      <c r="L35" s="774">
        <v>63.838830706116525</v>
      </c>
      <c r="M35" s="775">
        <v>59.7079899337391</v>
      </c>
      <c r="N35" s="767"/>
      <c r="O35" s="171">
        <v>94.856933440785596</v>
      </c>
      <c r="P35" s="172">
        <v>96.315059257798438</v>
      </c>
      <c r="Q35" s="173">
        <v>191.17199269858406</v>
      </c>
      <c r="R35" s="154"/>
      <c r="S35" s="171">
        <v>281.06684519822034</v>
      </c>
      <c r="T35" s="174">
        <v>0.47023024257204432</v>
      </c>
    </row>
    <row r="36" spans="1:20" s="754" customFormat="1" ht="12.75">
      <c r="A36" s="753"/>
      <c r="B36" s="776"/>
      <c r="C36" s="776"/>
      <c r="D36" s="777"/>
      <c r="E36" s="777"/>
      <c r="F36" s="777"/>
      <c r="G36" s="777"/>
      <c r="H36" s="777"/>
      <c r="I36" s="777"/>
      <c r="J36" s="777"/>
      <c r="K36" s="777"/>
      <c r="L36" s="777"/>
      <c r="M36" s="777"/>
      <c r="N36" s="639"/>
      <c r="O36" s="639"/>
      <c r="P36" s="639"/>
      <c r="Q36" s="639"/>
    </row>
    <row r="37" spans="1:20" s="754" customFormat="1" ht="12.75">
      <c r="A37" s="753"/>
      <c r="B37" s="639"/>
      <c r="C37" s="639"/>
      <c r="D37" s="639"/>
      <c r="E37" s="639"/>
      <c r="F37" s="639"/>
      <c r="G37" s="639"/>
      <c r="H37" s="639"/>
      <c r="I37" s="639"/>
      <c r="J37" s="639"/>
      <c r="K37" s="639"/>
      <c r="L37" s="639"/>
      <c r="M37" s="639"/>
      <c r="N37" s="639"/>
      <c r="O37" s="639"/>
      <c r="P37" s="639"/>
      <c r="Q37" s="639"/>
    </row>
    <row r="38" spans="1:20" s="754" customFormat="1" ht="12.75">
      <c r="A38" s="753"/>
      <c r="B38" s="752" t="s">
        <v>435</v>
      </c>
      <c r="C38" s="639"/>
      <c r="D38" s="639"/>
      <c r="E38" s="639"/>
      <c r="F38" s="639"/>
      <c r="G38" s="639"/>
      <c r="H38" s="639"/>
      <c r="I38" s="639"/>
      <c r="J38" s="639"/>
      <c r="K38" s="639"/>
      <c r="L38" s="639"/>
      <c r="M38" s="639"/>
      <c r="O38" s="639"/>
      <c r="P38" s="639"/>
      <c r="Q38" s="639"/>
    </row>
    <row r="39" spans="1:20" s="754" customFormat="1" ht="13.5" thickBot="1">
      <c r="A39" s="753"/>
      <c r="B39" s="639"/>
      <c r="C39" s="639"/>
      <c r="D39" s="639"/>
      <c r="E39" s="639"/>
      <c r="F39" s="639"/>
      <c r="G39" s="639"/>
      <c r="H39" s="639"/>
      <c r="I39" s="639"/>
      <c r="J39" s="639"/>
      <c r="K39" s="639"/>
      <c r="L39" s="639"/>
      <c r="M39" s="639"/>
      <c r="N39" s="740"/>
      <c r="O39" s="639"/>
      <c r="P39" s="639"/>
      <c r="Q39" s="639"/>
    </row>
    <row r="40" spans="1:20" s="754" customFormat="1" ht="12.75">
      <c r="A40" s="753"/>
      <c r="B40" s="1554" t="s">
        <v>419</v>
      </c>
      <c r="C40" s="1555"/>
      <c r="D40" s="756" t="s">
        <v>420</v>
      </c>
      <c r="E40" s="756"/>
      <c r="F40" s="756"/>
      <c r="G40" s="756"/>
      <c r="H40" s="757"/>
      <c r="I40" s="755" t="s">
        <v>421</v>
      </c>
      <c r="J40" s="756"/>
      <c r="K40" s="756"/>
      <c r="L40" s="756"/>
      <c r="M40" s="757"/>
      <c r="N40" s="740"/>
      <c r="O40" s="570" t="s">
        <v>191</v>
      </c>
      <c r="P40" s="571"/>
      <c r="Q40" s="572"/>
      <c r="R40" s="740"/>
      <c r="S40" s="570" t="s">
        <v>192</v>
      </c>
      <c r="T40" s="572"/>
    </row>
    <row r="41" spans="1:20" s="754" customFormat="1" ht="12.75">
      <c r="A41" s="753"/>
      <c r="B41" s="1556"/>
      <c r="C41" s="1557"/>
      <c r="D41" s="760" t="s">
        <v>79</v>
      </c>
      <c r="E41" s="623" t="s">
        <v>80</v>
      </c>
      <c r="F41" s="623" t="s">
        <v>81</v>
      </c>
      <c r="G41" s="623" t="s">
        <v>82</v>
      </c>
      <c r="H41" s="759" t="s">
        <v>44</v>
      </c>
      <c r="I41" s="758" t="s">
        <v>193</v>
      </c>
      <c r="J41" s="623" t="s">
        <v>194</v>
      </c>
      <c r="K41" s="623" t="s">
        <v>195</v>
      </c>
      <c r="L41" s="623" t="s">
        <v>196</v>
      </c>
      <c r="M41" s="759" t="s">
        <v>197</v>
      </c>
      <c r="N41" s="740"/>
      <c r="O41" s="575" t="s">
        <v>198</v>
      </c>
      <c r="P41" s="576" t="s">
        <v>199</v>
      </c>
      <c r="Q41" s="577" t="s">
        <v>200</v>
      </c>
      <c r="R41" s="740"/>
      <c r="S41" s="575" t="s">
        <v>199</v>
      </c>
      <c r="T41" s="577" t="s">
        <v>201</v>
      </c>
    </row>
    <row r="42" spans="1:20" s="754" customFormat="1" ht="12.75">
      <c r="A42" s="753"/>
      <c r="B42" s="1558"/>
      <c r="C42" s="1559"/>
      <c r="D42" s="760" t="s">
        <v>203</v>
      </c>
      <c r="E42" s="623" t="s">
        <v>203</v>
      </c>
      <c r="F42" s="623" t="s">
        <v>203</v>
      </c>
      <c r="G42" s="623" t="s">
        <v>203</v>
      </c>
      <c r="H42" s="759" t="s">
        <v>203</v>
      </c>
      <c r="I42" s="760" t="s">
        <v>203</v>
      </c>
      <c r="J42" s="623" t="s">
        <v>203</v>
      </c>
      <c r="K42" s="623" t="s">
        <v>203</v>
      </c>
      <c r="L42" s="623" t="s">
        <v>203</v>
      </c>
      <c r="M42" s="759" t="s">
        <v>203</v>
      </c>
      <c r="N42" s="639"/>
      <c r="O42" s="270"/>
      <c r="P42" s="271"/>
      <c r="Q42" s="272"/>
      <c r="R42" s="740"/>
      <c r="S42" s="761"/>
      <c r="T42" s="762"/>
    </row>
    <row r="43" spans="1:20" s="754" customFormat="1" ht="15" customHeight="1">
      <c r="A43" s="753"/>
      <c r="B43" s="1568" t="s">
        <v>422</v>
      </c>
      <c r="C43" s="763" t="s">
        <v>423</v>
      </c>
      <c r="D43" s="778">
        <v>0.29920762142543345</v>
      </c>
      <c r="E43" s="778">
        <v>0.29907656419407114</v>
      </c>
      <c r="F43" s="778">
        <v>1.0976789316002178</v>
      </c>
      <c r="G43" s="778">
        <v>4.0210204957240183</v>
      </c>
      <c r="H43" s="779">
        <v>2.3369847146460714</v>
      </c>
      <c r="I43" s="780">
        <v>1.9103522168597962</v>
      </c>
      <c r="J43" s="781">
        <v>1.8661899290299955</v>
      </c>
      <c r="K43" s="781">
        <v>1.8629502247538514</v>
      </c>
      <c r="L43" s="781">
        <v>1.9658635063471863</v>
      </c>
      <c r="M43" s="782">
        <v>1.983307357938886</v>
      </c>
      <c r="N43" s="767"/>
      <c r="O43" s="151">
        <v>1.6959631172197223</v>
      </c>
      <c r="P43" s="152">
        <v>6.3580052103700897</v>
      </c>
      <c r="Q43" s="153">
        <v>8.0539683275898124</v>
      </c>
      <c r="R43" s="154"/>
      <c r="S43" s="151">
        <v>9.5886632349297152</v>
      </c>
      <c r="T43" s="155">
        <v>0.19055139589792344</v>
      </c>
    </row>
    <row r="44" spans="1:20" s="754" customFormat="1" ht="15" customHeight="1">
      <c r="A44" s="753"/>
      <c r="B44" s="1569"/>
      <c r="C44" s="768" t="s">
        <v>424</v>
      </c>
      <c r="D44" s="783">
        <v>1.6955098547441227</v>
      </c>
      <c r="E44" s="783">
        <v>2.2929203254878789</v>
      </c>
      <c r="F44" s="783">
        <v>3.492614782364329</v>
      </c>
      <c r="G44" s="783">
        <v>0.22339002754022322</v>
      </c>
      <c r="H44" s="784">
        <v>0.66770991847030603</v>
      </c>
      <c r="I44" s="785">
        <v>1.2735681445731974</v>
      </c>
      <c r="J44" s="786">
        <v>1.3478038376327743</v>
      </c>
      <c r="K44" s="786">
        <v>1.4489612859196621</v>
      </c>
      <c r="L44" s="786">
        <v>1.6554640053449992</v>
      </c>
      <c r="M44" s="787">
        <v>1.7745381623663716</v>
      </c>
      <c r="N44" s="767"/>
      <c r="O44" s="151">
        <v>7.4810449625963304</v>
      </c>
      <c r="P44" s="152">
        <v>0.89109994601052922</v>
      </c>
      <c r="Q44" s="153">
        <v>8.3721449086068596</v>
      </c>
      <c r="R44" s="154"/>
      <c r="S44" s="151">
        <v>7.5003354358370045</v>
      </c>
      <c r="T44" s="155">
        <v>-0.10413215278603268</v>
      </c>
    </row>
    <row r="45" spans="1:20" s="754" customFormat="1" ht="15" customHeight="1">
      <c r="A45" s="753"/>
      <c r="B45" s="1569" t="s">
        <v>425</v>
      </c>
      <c r="C45" s="768" t="s">
        <v>423</v>
      </c>
      <c r="D45" s="783">
        <v>0</v>
      </c>
      <c r="E45" s="783">
        <v>0</v>
      </c>
      <c r="F45" s="783">
        <v>0</v>
      </c>
      <c r="G45" s="783">
        <v>0</v>
      </c>
      <c r="H45" s="784">
        <v>0</v>
      </c>
      <c r="I45" s="785">
        <v>0</v>
      </c>
      <c r="J45" s="786">
        <v>0</v>
      </c>
      <c r="K45" s="786">
        <v>0</v>
      </c>
      <c r="L45" s="786">
        <v>0</v>
      </c>
      <c r="M45" s="787">
        <v>0</v>
      </c>
      <c r="N45" s="767"/>
      <c r="O45" s="151">
        <v>0</v>
      </c>
      <c r="P45" s="152">
        <v>0</v>
      </c>
      <c r="Q45" s="153">
        <v>0</v>
      </c>
      <c r="R45" s="154"/>
      <c r="S45" s="151">
        <v>0</v>
      </c>
      <c r="T45" s="155" t="s">
        <v>989</v>
      </c>
    </row>
    <row r="46" spans="1:20" s="754" customFormat="1" ht="15" customHeight="1">
      <c r="A46" s="753"/>
      <c r="B46" s="1569"/>
      <c r="C46" s="768" t="s">
        <v>424</v>
      </c>
      <c r="D46" s="783">
        <v>0</v>
      </c>
      <c r="E46" s="786">
        <v>0</v>
      </c>
      <c r="F46" s="786">
        <v>0</v>
      </c>
      <c r="G46" s="786">
        <v>0</v>
      </c>
      <c r="H46" s="787">
        <v>0</v>
      </c>
      <c r="I46" s="785">
        <v>0</v>
      </c>
      <c r="J46" s="786">
        <v>0</v>
      </c>
      <c r="K46" s="786">
        <v>0</v>
      </c>
      <c r="L46" s="786">
        <v>0</v>
      </c>
      <c r="M46" s="787">
        <v>0</v>
      </c>
      <c r="N46" s="767"/>
      <c r="O46" s="151">
        <v>0</v>
      </c>
      <c r="P46" s="152">
        <v>0</v>
      </c>
      <c r="Q46" s="153">
        <v>0</v>
      </c>
      <c r="R46" s="154"/>
      <c r="S46" s="151">
        <v>0</v>
      </c>
      <c r="T46" s="155" t="s">
        <v>989</v>
      </c>
    </row>
    <row r="47" spans="1:20" s="754" customFormat="1" ht="15" customHeight="1">
      <c r="A47" s="753"/>
      <c r="B47" s="1564" t="s">
        <v>345</v>
      </c>
      <c r="C47" s="768" t="s">
        <v>426</v>
      </c>
      <c r="D47" s="788">
        <v>0.39894349523391126</v>
      </c>
      <c r="E47" s="789">
        <v>0.49846094032345195</v>
      </c>
      <c r="F47" s="789">
        <v>0.69852295647286589</v>
      </c>
      <c r="G47" s="789">
        <v>4.9145806058849111</v>
      </c>
      <c r="H47" s="790">
        <v>4.7852544157038608</v>
      </c>
      <c r="I47" s="791">
        <v>1.2735681445731974</v>
      </c>
      <c r="J47" s="789">
        <v>1.2441266193533302</v>
      </c>
      <c r="K47" s="789">
        <v>1.3454640512111147</v>
      </c>
      <c r="L47" s="789">
        <v>1.3450645043428118</v>
      </c>
      <c r="M47" s="790">
        <v>1.3569997712213433</v>
      </c>
      <c r="N47" s="767"/>
      <c r="O47" s="151">
        <v>1.595927392030229</v>
      </c>
      <c r="P47" s="152">
        <v>9.6998350215887719</v>
      </c>
      <c r="Q47" s="153">
        <v>11.295762413619002</v>
      </c>
      <c r="R47" s="154"/>
      <c r="S47" s="151">
        <v>6.5652230907017977</v>
      </c>
      <c r="T47" s="155">
        <v>-0.41878884750742618</v>
      </c>
    </row>
    <row r="48" spans="1:20" s="754" customFormat="1" ht="15" customHeight="1">
      <c r="A48" s="753"/>
      <c r="B48" s="1564"/>
      <c r="C48" s="768" t="s">
        <v>427</v>
      </c>
      <c r="D48" s="783">
        <v>1.3963022333186894</v>
      </c>
      <c r="E48" s="786">
        <v>2.3926125135525691</v>
      </c>
      <c r="F48" s="786">
        <v>3.8917707574916807</v>
      </c>
      <c r="G48" s="786">
        <v>0.22339002754022322</v>
      </c>
      <c r="H48" s="787">
        <v>0.66770991847030603</v>
      </c>
      <c r="I48" s="785">
        <v>0.84904542971546504</v>
      </c>
      <c r="J48" s="786">
        <v>0.82941774623555353</v>
      </c>
      <c r="K48" s="786">
        <v>1.1384695817940202</v>
      </c>
      <c r="L48" s="786">
        <v>1.4485310046768742</v>
      </c>
      <c r="M48" s="787">
        <v>1.6701535645801149</v>
      </c>
      <c r="N48" s="792"/>
      <c r="O48" s="151">
        <v>7.6806855043629394</v>
      </c>
      <c r="P48" s="152">
        <v>0.89109994601052922</v>
      </c>
      <c r="Q48" s="153">
        <v>8.5717854503734685</v>
      </c>
      <c r="R48" s="154"/>
      <c r="S48" s="151">
        <v>5.9356173270020278</v>
      </c>
      <c r="T48" s="155">
        <v>-0.30754014302312993</v>
      </c>
    </row>
    <row r="49" spans="1:20" s="754" customFormat="1" ht="15" customHeight="1">
      <c r="A49" s="753"/>
      <c r="B49" s="1564"/>
      <c r="C49" s="772" t="s">
        <v>428</v>
      </c>
      <c r="D49" s="783">
        <v>0.19947174761695563</v>
      </c>
      <c r="E49" s="786">
        <v>0.29907656419407114</v>
      </c>
      <c r="F49" s="786">
        <v>0.3991559751273519</v>
      </c>
      <c r="G49" s="786">
        <v>0.11169501377011161</v>
      </c>
      <c r="H49" s="787">
        <v>0.66770991847030603</v>
      </c>
      <c r="I49" s="785">
        <v>0.42452271485773252</v>
      </c>
      <c r="J49" s="786">
        <v>0.51838609139722092</v>
      </c>
      <c r="K49" s="786">
        <v>0.62098340825128373</v>
      </c>
      <c r="L49" s="786">
        <v>0.72426550233843712</v>
      </c>
      <c r="M49" s="787">
        <v>0.83507678229005744</v>
      </c>
      <c r="N49" s="792"/>
      <c r="O49" s="151">
        <v>0.89770428693837867</v>
      </c>
      <c r="P49" s="152">
        <v>0.77940493224041762</v>
      </c>
      <c r="Q49" s="153">
        <v>1.6771092191787962</v>
      </c>
      <c r="R49" s="154"/>
      <c r="S49" s="151">
        <v>3.1232344991347318</v>
      </c>
      <c r="T49" s="155">
        <v>0.86227257200579766</v>
      </c>
    </row>
    <row r="50" spans="1:20" s="754" customFormat="1" ht="15" customHeight="1">
      <c r="A50" s="753"/>
      <c r="B50" s="1564" t="s">
        <v>223</v>
      </c>
      <c r="C50" s="768" t="s">
        <v>429</v>
      </c>
      <c r="D50" s="788">
        <v>2.6928685928289013</v>
      </c>
      <c r="E50" s="789">
        <v>2.6916890777466405</v>
      </c>
      <c r="F50" s="789">
        <v>2.6943028321096252</v>
      </c>
      <c r="G50" s="789">
        <v>11.616281432091608</v>
      </c>
      <c r="H50" s="790">
        <v>10.126933763466308</v>
      </c>
      <c r="I50" s="791">
        <v>6.3678407228659877</v>
      </c>
      <c r="J50" s="789">
        <v>5.8059242236488746</v>
      </c>
      <c r="K50" s="789">
        <v>5.4853534395530064</v>
      </c>
      <c r="L50" s="789">
        <v>5.1733250167031217</v>
      </c>
      <c r="M50" s="790">
        <v>5.1148452915266009</v>
      </c>
      <c r="N50" s="767"/>
      <c r="O50" s="151">
        <v>8.078860502685167</v>
      </c>
      <c r="P50" s="152">
        <v>21.743215195557916</v>
      </c>
      <c r="Q50" s="153">
        <v>29.822075698243083</v>
      </c>
      <c r="R50" s="154"/>
      <c r="S50" s="151">
        <v>27.94728869429759</v>
      </c>
      <c r="T50" s="155">
        <v>-6.2865744923849901E-2</v>
      </c>
    </row>
    <row r="51" spans="1:20" s="754" customFormat="1" ht="15" customHeight="1">
      <c r="A51" s="753"/>
      <c r="B51" s="1564"/>
      <c r="C51" s="768" t="s">
        <v>95</v>
      </c>
      <c r="D51" s="783">
        <v>1.4960381071271673</v>
      </c>
      <c r="E51" s="786">
        <v>1.9938437612938078</v>
      </c>
      <c r="F51" s="786">
        <v>3.0934588072369773</v>
      </c>
      <c r="G51" s="786">
        <v>0.55847506885055809</v>
      </c>
      <c r="H51" s="787">
        <v>1.0015648777054591</v>
      </c>
      <c r="I51" s="785">
        <v>1.0613067871443311</v>
      </c>
      <c r="J51" s="786">
        <v>1.1404494010738859</v>
      </c>
      <c r="K51" s="786">
        <v>1.2419668165025675</v>
      </c>
      <c r="L51" s="786">
        <v>1.2415980040087493</v>
      </c>
      <c r="M51" s="787">
        <v>1.4613843690076003</v>
      </c>
      <c r="N51" s="767"/>
      <c r="O51" s="151">
        <v>6.5833406756579524</v>
      </c>
      <c r="P51" s="152">
        <v>1.5600399465560173</v>
      </c>
      <c r="Q51" s="153">
        <v>8.1433806222139697</v>
      </c>
      <c r="R51" s="154"/>
      <c r="S51" s="151">
        <v>6.1467053777371339</v>
      </c>
      <c r="T51" s="155">
        <v>-0.2451899692653679</v>
      </c>
    </row>
    <row r="52" spans="1:20" s="754" customFormat="1" ht="15" customHeight="1">
      <c r="A52" s="753"/>
      <c r="B52" s="1564"/>
      <c r="C52" s="772" t="s">
        <v>430</v>
      </c>
      <c r="D52" s="783">
        <v>0</v>
      </c>
      <c r="E52" s="786">
        <v>0</v>
      </c>
      <c r="F52" s="786">
        <v>0</v>
      </c>
      <c r="G52" s="786">
        <v>0</v>
      </c>
      <c r="H52" s="787">
        <v>0</v>
      </c>
      <c r="I52" s="785">
        <v>0</v>
      </c>
      <c r="J52" s="786">
        <v>0</v>
      </c>
      <c r="K52" s="786">
        <v>0</v>
      </c>
      <c r="L52" s="786">
        <v>0</v>
      </c>
      <c r="M52" s="787">
        <v>0</v>
      </c>
      <c r="N52" s="767"/>
      <c r="O52" s="151">
        <v>0</v>
      </c>
      <c r="P52" s="152">
        <v>0</v>
      </c>
      <c r="Q52" s="153">
        <v>0</v>
      </c>
      <c r="R52" s="154"/>
      <c r="S52" s="151">
        <v>0</v>
      </c>
      <c r="T52" s="155" t="s">
        <v>989</v>
      </c>
    </row>
    <row r="53" spans="1:20" s="754" customFormat="1" ht="15" customHeight="1">
      <c r="A53" s="753"/>
      <c r="B53" s="1564"/>
      <c r="C53" s="772" t="s">
        <v>428</v>
      </c>
      <c r="D53" s="783">
        <v>3.2912838356797676</v>
      </c>
      <c r="E53" s="786">
        <v>5.4830703435579711</v>
      </c>
      <c r="F53" s="786">
        <v>5.5881836517829262</v>
      </c>
      <c r="G53" s="786">
        <v>3.4625454268734597</v>
      </c>
      <c r="H53" s="787">
        <v>5.1191093749390122</v>
      </c>
      <c r="I53" s="785">
        <v>6.1555793654371209</v>
      </c>
      <c r="J53" s="786">
        <v>6.946373624722761</v>
      </c>
      <c r="K53" s="786">
        <v>7.4518008990154057</v>
      </c>
      <c r="L53" s="786">
        <v>8.3807865270590565</v>
      </c>
      <c r="M53" s="787">
        <v>7.6200756383967727</v>
      </c>
      <c r="N53" s="767"/>
      <c r="O53" s="151">
        <v>14.362537831020664</v>
      </c>
      <c r="P53" s="152">
        <v>8.5816548018124728</v>
      </c>
      <c r="Q53" s="153">
        <v>22.944192632833133</v>
      </c>
      <c r="R53" s="154"/>
      <c r="S53" s="151">
        <v>36.554616054631111</v>
      </c>
      <c r="T53" s="155">
        <v>0.59319687729266479</v>
      </c>
    </row>
    <row r="54" spans="1:20" s="754" customFormat="1" ht="15" customHeight="1">
      <c r="A54" s="753"/>
      <c r="B54" s="1564"/>
      <c r="C54" s="768" t="s">
        <v>431</v>
      </c>
      <c r="D54" s="783">
        <v>0</v>
      </c>
      <c r="E54" s="786">
        <v>0.39876875225876157</v>
      </c>
      <c r="F54" s="786">
        <v>0.49894496890918988</v>
      </c>
      <c r="G54" s="786">
        <v>0.33508504131033479</v>
      </c>
      <c r="H54" s="787">
        <v>1.4467048233523299</v>
      </c>
      <c r="I54" s="785">
        <v>0.84904542971546504</v>
      </c>
      <c r="J54" s="786">
        <v>0.93309496451499774</v>
      </c>
      <c r="K54" s="786">
        <v>1.0349723470854728</v>
      </c>
      <c r="L54" s="786">
        <v>1.2415980040087493</v>
      </c>
      <c r="M54" s="787">
        <v>1.4613843690076003</v>
      </c>
      <c r="N54" s="767"/>
      <c r="O54" s="151">
        <v>0.89771372116795145</v>
      </c>
      <c r="P54" s="152">
        <v>1.7817898646626646</v>
      </c>
      <c r="Q54" s="153">
        <v>2.679503585830616</v>
      </c>
      <c r="R54" s="154"/>
      <c r="S54" s="151">
        <v>5.5200951143322854</v>
      </c>
      <c r="T54" s="155">
        <v>1.0601185770091508</v>
      </c>
    </row>
    <row r="55" spans="1:20" s="754" customFormat="1" ht="15" customHeight="1">
      <c r="A55" s="753"/>
      <c r="B55" s="1564"/>
      <c r="C55" s="768" t="s">
        <v>432</v>
      </c>
      <c r="D55" s="783">
        <v>0.69815111665934471</v>
      </c>
      <c r="E55" s="786">
        <v>1.9938437612938078</v>
      </c>
      <c r="F55" s="786">
        <v>1.8959908818549214</v>
      </c>
      <c r="G55" s="786">
        <v>1.228645151471228</v>
      </c>
      <c r="H55" s="787">
        <v>2.2256997282343538</v>
      </c>
      <c r="I55" s="785">
        <v>0.95517610842989809</v>
      </c>
      <c r="J55" s="786">
        <v>0.93309496451499774</v>
      </c>
      <c r="K55" s="786">
        <v>0.93147511237692571</v>
      </c>
      <c r="L55" s="786">
        <v>0.93119850300656215</v>
      </c>
      <c r="M55" s="787">
        <v>0.93946138007631452</v>
      </c>
      <c r="N55" s="767"/>
      <c r="O55" s="151">
        <v>4.587985759808074</v>
      </c>
      <c r="P55" s="152">
        <v>3.454344879705582</v>
      </c>
      <c r="Q55" s="153">
        <v>8.042330639513656</v>
      </c>
      <c r="R55" s="154"/>
      <c r="S55" s="151">
        <v>4.6904060684046982</v>
      </c>
      <c r="T55" s="155">
        <v>-0.41678522325857259</v>
      </c>
    </row>
    <row r="56" spans="1:20" s="754" customFormat="1" ht="15" customHeight="1">
      <c r="A56" s="753"/>
      <c r="B56" s="1564" t="s">
        <v>402</v>
      </c>
      <c r="C56" s="768" t="s">
        <v>429</v>
      </c>
      <c r="D56" s="788">
        <v>9.9735873808477815E-2</v>
      </c>
      <c r="E56" s="789">
        <v>0.49846094032345195</v>
      </c>
      <c r="F56" s="789">
        <v>0.99788993781837976</v>
      </c>
      <c r="G56" s="789">
        <v>3.4625454268734597</v>
      </c>
      <c r="H56" s="790">
        <v>0.89027989129374141</v>
      </c>
      <c r="I56" s="791">
        <v>2.0164828955742293</v>
      </c>
      <c r="J56" s="789">
        <v>6.4279875333255392</v>
      </c>
      <c r="K56" s="789">
        <v>2.3804363982965873</v>
      </c>
      <c r="L56" s="789">
        <v>12.209047039419369</v>
      </c>
      <c r="M56" s="790">
        <v>7.4113064428242588</v>
      </c>
      <c r="N56" s="767"/>
      <c r="O56" s="151">
        <v>1.5960867519503097</v>
      </c>
      <c r="P56" s="152">
        <v>4.3528253181672012</v>
      </c>
      <c r="Q56" s="153">
        <v>5.9489120701175109</v>
      </c>
      <c r="R56" s="154"/>
      <c r="S56" s="151">
        <v>30.445260309439984</v>
      </c>
      <c r="T56" s="155">
        <v>4.1177862356332637</v>
      </c>
    </row>
    <row r="57" spans="1:20" s="754" customFormat="1" ht="15" customHeight="1">
      <c r="A57" s="753"/>
      <c r="B57" s="1564"/>
      <c r="C57" s="768" t="s">
        <v>95</v>
      </c>
      <c r="D57" s="783">
        <v>1.4960381071271673</v>
      </c>
      <c r="E57" s="786">
        <v>1.3956906329056653</v>
      </c>
      <c r="F57" s="786">
        <v>1.8959908818549214</v>
      </c>
      <c r="G57" s="786">
        <v>0</v>
      </c>
      <c r="H57" s="787">
        <v>1.1128498641171769</v>
      </c>
      <c r="I57" s="785">
        <v>0</v>
      </c>
      <c r="J57" s="786">
        <v>0</v>
      </c>
      <c r="K57" s="786">
        <v>5.0713645007188175</v>
      </c>
      <c r="L57" s="786">
        <v>3.1039950100218734</v>
      </c>
      <c r="M57" s="787">
        <v>0</v>
      </c>
      <c r="N57" s="767"/>
      <c r="O57" s="151">
        <v>4.7877196218877547</v>
      </c>
      <c r="P57" s="152">
        <v>1.1128498641171769</v>
      </c>
      <c r="Q57" s="153">
        <v>5.9005694860049314</v>
      </c>
      <c r="R57" s="154"/>
      <c r="S57" s="151">
        <v>8.1753595107406909</v>
      </c>
      <c r="T57" s="155">
        <v>0.38552041970374967</v>
      </c>
    </row>
    <row r="58" spans="1:20" s="754" customFormat="1" ht="15" customHeight="1">
      <c r="A58" s="753"/>
      <c r="B58" s="1564"/>
      <c r="C58" s="768" t="s">
        <v>430</v>
      </c>
      <c r="D58" s="783">
        <v>0</v>
      </c>
      <c r="E58" s="786">
        <v>0</v>
      </c>
      <c r="F58" s="786">
        <v>0</v>
      </c>
      <c r="G58" s="786">
        <v>0</v>
      </c>
      <c r="H58" s="787">
        <v>0</v>
      </c>
      <c r="I58" s="785">
        <v>0</v>
      </c>
      <c r="J58" s="786">
        <v>0</v>
      </c>
      <c r="K58" s="786">
        <v>0</v>
      </c>
      <c r="L58" s="786">
        <v>0</v>
      </c>
      <c r="M58" s="787">
        <v>0</v>
      </c>
      <c r="N58" s="767"/>
      <c r="O58" s="151">
        <v>0</v>
      </c>
      <c r="P58" s="152">
        <v>0</v>
      </c>
      <c r="Q58" s="153">
        <v>0</v>
      </c>
      <c r="R58" s="154"/>
      <c r="S58" s="151">
        <v>0</v>
      </c>
      <c r="T58" s="155" t="s">
        <v>989</v>
      </c>
    </row>
    <row r="59" spans="1:20" s="754" customFormat="1" ht="15" customHeight="1">
      <c r="A59" s="753"/>
      <c r="B59" s="1564"/>
      <c r="C59" s="768" t="s">
        <v>428</v>
      </c>
      <c r="D59" s="783">
        <v>0.29920762142543345</v>
      </c>
      <c r="E59" s="786">
        <v>0.79753750451752314</v>
      </c>
      <c r="F59" s="786">
        <v>1.0976789316002178</v>
      </c>
      <c r="G59" s="786">
        <v>1.0052551239310046</v>
      </c>
      <c r="H59" s="787">
        <v>0.89027989129374141</v>
      </c>
      <c r="I59" s="785">
        <v>1.5919601807164967</v>
      </c>
      <c r="J59" s="786">
        <v>2.5919304569861046</v>
      </c>
      <c r="K59" s="786">
        <v>4.7608727965931745</v>
      </c>
      <c r="L59" s="786">
        <v>3.8282605123603104</v>
      </c>
      <c r="M59" s="787">
        <v>6.7849988561067152</v>
      </c>
      <c r="N59" s="767"/>
      <c r="O59" s="151">
        <v>2.1944240575431744</v>
      </c>
      <c r="P59" s="152">
        <v>1.8955350152247461</v>
      </c>
      <c r="Q59" s="153">
        <v>4.08995907276792</v>
      </c>
      <c r="R59" s="154"/>
      <c r="S59" s="151">
        <v>19.558022802762803</v>
      </c>
      <c r="T59" s="155">
        <v>3.7819605171566471</v>
      </c>
    </row>
    <row r="60" spans="1:20" s="754" customFormat="1" ht="15" customHeight="1">
      <c r="A60" s="753"/>
      <c r="B60" s="1564"/>
      <c r="C60" s="768" t="s">
        <v>431</v>
      </c>
      <c r="D60" s="783">
        <v>9.9735873808477815E-2</v>
      </c>
      <c r="E60" s="786">
        <v>0.39876875225876157</v>
      </c>
      <c r="F60" s="786">
        <v>0.19957798756367595</v>
      </c>
      <c r="G60" s="786">
        <v>0.33508504131033479</v>
      </c>
      <c r="H60" s="787">
        <v>0.22256997282343535</v>
      </c>
      <c r="I60" s="785">
        <v>0.53065339357216557</v>
      </c>
      <c r="J60" s="786">
        <v>1.6588354924711071</v>
      </c>
      <c r="K60" s="786">
        <v>2.4839336330051349</v>
      </c>
      <c r="L60" s="786">
        <v>2.4831960080174986</v>
      </c>
      <c r="M60" s="787">
        <v>0.52192298893128586</v>
      </c>
      <c r="N60" s="767"/>
      <c r="O60" s="151">
        <v>0.69808261363091528</v>
      </c>
      <c r="P60" s="152">
        <v>0.55765501413377017</v>
      </c>
      <c r="Q60" s="153">
        <v>1.2557376277646854</v>
      </c>
      <c r="R60" s="154"/>
      <c r="S60" s="151">
        <v>7.6785415159971917</v>
      </c>
      <c r="T60" s="155">
        <v>5.1147658127164801</v>
      </c>
    </row>
    <row r="61" spans="1:20" s="754" customFormat="1" ht="15" customHeight="1">
      <c r="A61" s="753"/>
      <c r="B61" s="1564"/>
      <c r="C61" s="772" t="s">
        <v>432</v>
      </c>
      <c r="D61" s="783">
        <v>0.19947174761695563</v>
      </c>
      <c r="E61" s="786">
        <v>1.4953828209703559</v>
      </c>
      <c r="F61" s="786">
        <v>0.99788993781837976</v>
      </c>
      <c r="G61" s="786">
        <v>2.2339002754022323</v>
      </c>
      <c r="H61" s="787">
        <v>2.2256997282343538</v>
      </c>
      <c r="I61" s="785">
        <v>0.31839203614329936</v>
      </c>
      <c r="J61" s="786">
        <v>0.10367721827944419</v>
      </c>
      <c r="K61" s="786">
        <v>0.2069944694170946</v>
      </c>
      <c r="L61" s="786">
        <v>0.10346650033406245</v>
      </c>
      <c r="M61" s="787">
        <v>0.20876919557251436</v>
      </c>
      <c r="N61" s="767"/>
      <c r="O61" s="151">
        <v>2.6927445064056914</v>
      </c>
      <c r="P61" s="152">
        <v>4.4596000036365862</v>
      </c>
      <c r="Q61" s="153">
        <v>7.152344510042278</v>
      </c>
      <c r="R61" s="154"/>
      <c r="S61" s="151">
        <v>0.94129941974641507</v>
      </c>
      <c r="T61" s="155">
        <v>-0.86839288593764186</v>
      </c>
    </row>
    <row r="62" spans="1:20" s="754" customFormat="1" ht="15" customHeight="1">
      <c r="A62" s="753"/>
      <c r="B62" s="1564" t="s">
        <v>401</v>
      </c>
      <c r="C62" s="768" t="s">
        <v>429</v>
      </c>
      <c r="D62" s="788">
        <v>0.79788699046782252</v>
      </c>
      <c r="E62" s="789">
        <v>0.89722969258221352</v>
      </c>
      <c r="F62" s="789">
        <v>7.7835415149833613</v>
      </c>
      <c r="G62" s="789">
        <v>8.3771260327583708</v>
      </c>
      <c r="H62" s="790">
        <v>6.8996691575264961</v>
      </c>
      <c r="I62" s="791">
        <v>2.7593976465752608</v>
      </c>
      <c r="J62" s="789">
        <v>0</v>
      </c>
      <c r="K62" s="789">
        <v>0.72448064295983106</v>
      </c>
      <c r="L62" s="789">
        <v>0</v>
      </c>
      <c r="M62" s="790">
        <v>4.3841531070228017</v>
      </c>
      <c r="N62" s="767"/>
      <c r="O62" s="151">
        <v>9.478658198033397</v>
      </c>
      <c r="P62" s="152">
        <v>15.276795190284867</v>
      </c>
      <c r="Q62" s="153">
        <v>24.755453388318266</v>
      </c>
      <c r="R62" s="154"/>
      <c r="S62" s="151">
        <v>7.8680313965578934</v>
      </c>
      <c r="T62" s="155">
        <v>-0.68216977192303407</v>
      </c>
    </row>
    <row r="63" spans="1:20" s="754" customFormat="1" ht="15" customHeight="1">
      <c r="A63" s="753"/>
      <c r="B63" s="1564"/>
      <c r="C63" s="768" t="s">
        <v>95</v>
      </c>
      <c r="D63" s="783">
        <v>2.9920762142543347</v>
      </c>
      <c r="E63" s="786">
        <v>0.29907656419407114</v>
      </c>
      <c r="F63" s="786">
        <v>0</v>
      </c>
      <c r="G63" s="786">
        <v>0</v>
      </c>
      <c r="H63" s="787">
        <v>0.55642493205858845</v>
      </c>
      <c r="I63" s="785">
        <v>1.2735681445731974</v>
      </c>
      <c r="J63" s="786">
        <v>5.7022470053694292</v>
      </c>
      <c r="K63" s="786">
        <v>6.8308174907641206</v>
      </c>
      <c r="L63" s="786">
        <v>9.8293175317359314</v>
      </c>
      <c r="M63" s="787">
        <v>9.9165367896944296</v>
      </c>
      <c r="N63" s="767"/>
      <c r="O63" s="151">
        <v>3.2911527784484056</v>
      </c>
      <c r="P63" s="152">
        <v>0.55642493205858845</v>
      </c>
      <c r="Q63" s="153">
        <v>3.8475777105069939</v>
      </c>
      <c r="R63" s="154"/>
      <c r="S63" s="151">
        <v>33.55248696213711</v>
      </c>
      <c r="T63" s="155">
        <v>7.7204182700486408</v>
      </c>
    </row>
    <row r="64" spans="1:20" s="754" customFormat="1" ht="15" customHeight="1">
      <c r="A64" s="753"/>
      <c r="B64" s="1564"/>
      <c r="C64" s="772" t="s">
        <v>433</v>
      </c>
      <c r="D64" s="783">
        <v>0</v>
      </c>
      <c r="E64" s="786">
        <v>0</v>
      </c>
      <c r="F64" s="786">
        <v>0</v>
      </c>
      <c r="G64" s="786">
        <v>0</v>
      </c>
      <c r="H64" s="787">
        <v>0</v>
      </c>
      <c r="I64" s="785">
        <v>0</v>
      </c>
      <c r="J64" s="786">
        <v>0</v>
      </c>
      <c r="K64" s="786">
        <v>0</v>
      </c>
      <c r="L64" s="786">
        <v>0</v>
      </c>
      <c r="M64" s="787">
        <v>0</v>
      </c>
      <c r="N64" s="767"/>
      <c r="O64" s="151">
        <v>0</v>
      </c>
      <c r="P64" s="152">
        <v>0</v>
      </c>
      <c r="Q64" s="153">
        <v>0</v>
      </c>
      <c r="R64" s="154"/>
      <c r="S64" s="151">
        <v>0</v>
      </c>
      <c r="T64" s="155" t="s">
        <v>989</v>
      </c>
    </row>
    <row r="65" spans="1:20" s="754" customFormat="1" ht="15" customHeight="1">
      <c r="A65" s="753"/>
      <c r="B65" s="1564"/>
      <c r="C65" s="772" t="s">
        <v>428</v>
      </c>
      <c r="D65" s="783">
        <v>2.8923403404458568</v>
      </c>
      <c r="E65" s="786">
        <v>1.8941515732291172</v>
      </c>
      <c r="F65" s="786">
        <v>0.19957798756367595</v>
      </c>
      <c r="G65" s="786">
        <v>0</v>
      </c>
      <c r="H65" s="787">
        <v>4.6739694292921428</v>
      </c>
      <c r="I65" s="785">
        <v>12.735681445731974</v>
      </c>
      <c r="J65" s="786">
        <v>11.92288010213608</v>
      </c>
      <c r="K65" s="786">
        <v>6.8308174907641206</v>
      </c>
      <c r="L65" s="786">
        <v>3.8282605123603104</v>
      </c>
      <c r="M65" s="787">
        <v>3.8622301180915155</v>
      </c>
      <c r="N65" s="767"/>
      <c r="O65" s="151">
        <v>4.9860699012386496</v>
      </c>
      <c r="P65" s="152">
        <v>4.6739694292921428</v>
      </c>
      <c r="Q65" s="153">
        <v>9.6600393305307932</v>
      </c>
      <c r="R65" s="154"/>
      <c r="S65" s="151">
        <v>39.179869669083999</v>
      </c>
      <c r="T65" s="155">
        <v>3.0558706158943942</v>
      </c>
    </row>
    <row r="66" spans="1:20" s="754" customFormat="1" ht="15" customHeight="1">
      <c r="A66" s="753"/>
      <c r="B66" s="1564"/>
      <c r="C66" s="772" t="s">
        <v>431</v>
      </c>
      <c r="D66" s="783">
        <v>2.0944533499780342</v>
      </c>
      <c r="E66" s="786">
        <v>0.79753750451752314</v>
      </c>
      <c r="F66" s="786">
        <v>0</v>
      </c>
      <c r="G66" s="786">
        <v>0</v>
      </c>
      <c r="H66" s="787">
        <v>2.1144147418226358</v>
      </c>
      <c r="I66" s="785">
        <v>2.0164828955742293</v>
      </c>
      <c r="J66" s="786">
        <v>2.4882532387066605</v>
      </c>
      <c r="K66" s="786">
        <v>1.9664474594623982</v>
      </c>
      <c r="L66" s="786">
        <v>1.9658635063471863</v>
      </c>
      <c r="M66" s="787">
        <v>0</v>
      </c>
      <c r="N66" s="767"/>
      <c r="O66" s="151">
        <v>2.8919908544955573</v>
      </c>
      <c r="P66" s="152">
        <v>2.1144147418226358</v>
      </c>
      <c r="Q66" s="153">
        <v>5.006405596318193</v>
      </c>
      <c r="R66" s="154"/>
      <c r="S66" s="151">
        <v>8.4370471000904743</v>
      </c>
      <c r="T66" s="155">
        <v>0.68525041324962588</v>
      </c>
    </row>
    <row r="67" spans="1:20" s="754" customFormat="1" ht="15" customHeight="1" thickBot="1">
      <c r="A67" s="753"/>
      <c r="B67" s="1565"/>
      <c r="C67" s="793" t="s">
        <v>432</v>
      </c>
      <c r="D67" s="794">
        <v>0</v>
      </c>
      <c r="E67" s="795">
        <v>0</v>
      </c>
      <c r="F67" s="795">
        <v>0</v>
      </c>
      <c r="G67" s="795">
        <v>0</v>
      </c>
      <c r="H67" s="796">
        <v>0</v>
      </c>
      <c r="I67" s="797">
        <v>0.19526135742886624</v>
      </c>
      <c r="J67" s="795">
        <v>0</v>
      </c>
      <c r="K67" s="795">
        <v>0</v>
      </c>
      <c r="L67" s="795">
        <v>0</v>
      </c>
      <c r="M67" s="796">
        <v>0</v>
      </c>
      <c r="N67" s="767"/>
      <c r="O67" s="151">
        <v>0</v>
      </c>
      <c r="P67" s="152">
        <v>0</v>
      </c>
      <c r="Q67" s="153">
        <v>0</v>
      </c>
      <c r="R67" s="154"/>
      <c r="S67" s="151">
        <v>0.19526135742886624</v>
      </c>
      <c r="T67" s="155" t="s">
        <v>989</v>
      </c>
    </row>
    <row r="68" spans="1:20" s="754" customFormat="1" ht="15" customHeight="1" thickBot="1">
      <c r="A68" s="753"/>
      <c r="B68" s="1566" t="s">
        <v>436</v>
      </c>
      <c r="C68" s="1567"/>
      <c r="D68" s="798">
        <v>23.138722723566854</v>
      </c>
      <c r="E68" s="799">
        <v>26.817198589401716</v>
      </c>
      <c r="F68" s="799">
        <v>36.522771724152697</v>
      </c>
      <c r="G68" s="799">
        <v>42.109020191332078</v>
      </c>
      <c r="H68" s="800">
        <v>48.631539061920627</v>
      </c>
      <c r="I68" s="801">
        <v>44.557885060061913</v>
      </c>
      <c r="J68" s="799">
        <v>52.460672449398757</v>
      </c>
      <c r="K68" s="799">
        <v>53.818562048444598</v>
      </c>
      <c r="L68" s="799">
        <v>61.459101198433089</v>
      </c>
      <c r="M68" s="800">
        <v>57.307144184655186</v>
      </c>
      <c r="N68" s="767"/>
      <c r="O68" s="171">
        <v>86.478693037121275</v>
      </c>
      <c r="P68" s="172">
        <v>90.740559253252712</v>
      </c>
      <c r="Q68" s="173">
        <v>177.21925229037399</v>
      </c>
      <c r="R68" s="154"/>
      <c r="S68" s="171">
        <v>269.60336494099352</v>
      </c>
      <c r="T68" s="174">
        <v>0.52129839990097704</v>
      </c>
    </row>
    <row r="69" spans="1:20" s="754" customFormat="1" ht="12.75">
      <c r="A69" s="753"/>
      <c r="B69" s="776"/>
      <c r="C69" s="776"/>
      <c r="D69" s="740"/>
      <c r="E69" s="740"/>
      <c r="F69" s="740"/>
      <c r="G69" s="740"/>
      <c r="H69" s="740"/>
      <c r="I69" s="740"/>
      <c r="J69" s="740"/>
      <c r="K69" s="740"/>
      <c r="L69" s="740"/>
      <c r="M69" s="740"/>
      <c r="N69" s="639"/>
      <c r="O69" s="639"/>
      <c r="P69" s="639"/>
      <c r="Q69" s="639"/>
    </row>
    <row r="70" spans="1:20" s="754" customFormat="1" ht="12.75">
      <c r="A70" s="753"/>
      <c r="B70" s="639"/>
      <c r="C70" s="639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</row>
    <row r="71" spans="1:20" s="754" customFormat="1" ht="15" customHeight="1">
      <c r="A71" s="753"/>
      <c r="B71" s="752" t="s">
        <v>437</v>
      </c>
      <c r="C71" s="639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740"/>
      <c r="O71" s="639"/>
      <c r="P71" s="639"/>
      <c r="Q71" s="639"/>
    </row>
    <row r="72" spans="1:20" s="754" customFormat="1" ht="13.5" thickBot="1">
      <c r="A72" s="753"/>
      <c r="B72" s="639"/>
      <c r="C72" s="639"/>
      <c r="D72" s="639"/>
      <c r="E72" s="639"/>
      <c r="F72" s="639"/>
      <c r="G72" s="639"/>
      <c r="H72" s="639"/>
      <c r="I72" s="639"/>
      <c r="J72" s="639"/>
      <c r="K72" s="639"/>
      <c r="L72" s="639"/>
      <c r="M72" s="639"/>
      <c r="N72" s="740"/>
      <c r="O72" s="639"/>
      <c r="P72" s="639"/>
      <c r="Q72" s="639"/>
    </row>
    <row r="73" spans="1:20" s="754" customFormat="1" ht="12.75">
      <c r="A73" s="753"/>
      <c r="B73" s="1554" t="s">
        <v>419</v>
      </c>
      <c r="C73" s="1555"/>
      <c r="D73" s="756" t="s">
        <v>420</v>
      </c>
      <c r="E73" s="756"/>
      <c r="F73" s="756"/>
      <c r="G73" s="756"/>
      <c r="H73" s="757"/>
      <c r="I73" s="755" t="s">
        <v>421</v>
      </c>
      <c r="J73" s="756"/>
      <c r="K73" s="756"/>
      <c r="L73" s="756"/>
      <c r="M73" s="757"/>
      <c r="N73" s="740"/>
      <c r="O73" s="570" t="s">
        <v>191</v>
      </c>
      <c r="P73" s="571"/>
      <c r="Q73" s="572"/>
      <c r="R73" s="740"/>
      <c r="S73" s="570" t="s">
        <v>192</v>
      </c>
      <c r="T73" s="572"/>
    </row>
    <row r="74" spans="1:20" s="754" customFormat="1" ht="12.75">
      <c r="A74" s="753"/>
      <c r="B74" s="1556"/>
      <c r="C74" s="1557"/>
      <c r="D74" s="760" t="s">
        <v>79</v>
      </c>
      <c r="E74" s="623" t="s">
        <v>80</v>
      </c>
      <c r="F74" s="623" t="s">
        <v>81</v>
      </c>
      <c r="G74" s="623" t="s">
        <v>82</v>
      </c>
      <c r="H74" s="759" t="s">
        <v>44</v>
      </c>
      <c r="I74" s="758" t="s">
        <v>193</v>
      </c>
      <c r="J74" s="623" t="s">
        <v>194</v>
      </c>
      <c r="K74" s="623" t="s">
        <v>195</v>
      </c>
      <c r="L74" s="623" t="s">
        <v>196</v>
      </c>
      <c r="M74" s="759" t="s">
        <v>197</v>
      </c>
      <c r="N74" s="740"/>
      <c r="O74" s="575" t="s">
        <v>198</v>
      </c>
      <c r="P74" s="576" t="s">
        <v>199</v>
      </c>
      <c r="Q74" s="577" t="s">
        <v>200</v>
      </c>
      <c r="R74" s="740"/>
      <c r="S74" s="575" t="s">
        <v>199</v>
      </c>
      <c r="T74" s="577" t="s">
        <v>201</v>
      </c>
    </row>
    <row r="75" spans="1:20" s="754" customFormat="1" ht="12.75">
      <c r="A75" s="753"/>
      <c r="B75" s="1558"/>
      <c r="C75" s="1559"/>
      <c r="D75" s="760" t="s">
        <v>203</v>
      </c>
      <c r="E75" s="623" t="s">
        <v>203</v>
      </c>
      <c r="F75" s="623" t="s">
        <v>203</v>
      </c>
      <c r="G75" s="623" t="s">
        <v>203</v>
      </c>
      <c r="H75" s="759" t="s">
        <v>203</v>
      </c>
      <c r="I75" s="758" t="s">
        <v>203</v>
      </c>
      <c r="J75" s="623" t="s">
        <v>203</v>
      </c>
      <c r="K75" s="623" t="s">
        <v>203</v>
      </c>
      <c r="L75" s="623" t="s">
        <v>203</v>
      </c>
      <c r="M75" s="759" t="s">
        <v>203</v>
      </c>
      <c r="N75" s="639"/>
      <c r="O75" s="270"/>
      <c r="P75" s="271"/>
      <c r="Q75" s="272"/>
      <c r="R75" s="740"/>
      <c r="S75" s="761"/>
      <c r="T75" s="762"/>
    </row>
    <row r="76" spans="1:20" s="754" customFormat="1" ht="15" customHeight="1">
      <c r="A76" s="753"/>
      <c r="B76" s="1568" t="s">
        <v>422</v>
      </c>
      <c r="C76" s="763" t="s">
        <v>423</v>
      </c>
      <c r="D76" s="778">
        <v>0</v>
      </c>
      <c r="E76" s="778">
        <v>0</v>
      </c>
      <c r="F76" s="778">
        <v>0</v>
      </c>
      <c r="G76" s="778">
        <v>0</v>
      </c>
      <c r="H76" s="779">
        <v>0</v>
      </c>
      <c r="I76" s="780">
        <v>0</v>
      </c>
      <c r="J76" s="781">
        <v>0</v>
      </c>
      <c r="K76" s="781">
        <v>0</v>
      </c>
      <c r="L76" s="781">
        <v>0</v>
      </c>
      <c r="M76" s="782">
        <v>0</v>
      </c>
      <c r="N76" s="767"/>
      <c r="O76" s="151">
        <v>0</v>
      </c>
      <c r="P76" s="152">
        <v>0</v>
      </c>
      <c r="Q76" s="153">
        <v>0</v>
      </c>
      <c r="R76" s="154"/>
      <c r="S76" s="151">
        <v>0</v>
      </c>
      <c r="T76" s="155" t="s">
        <v>989</v>
      </c>
    </row>
    <row r="77" spans="1:20" s="754" customFormat="1" ht="15" customHeight="1">
      <c r="A77" s="753"/>
      <c r="B77" s="1569"/>
      <c r="C77" s="768" t="s">
        <v>424</v>
      </c>
      <c r="D77" s="783">
        <v>0</v>
      </c>
      <c r="E77" s="783">
        <v>9.9692188064690393E-2</v>
      </c>
      <c r="F77" s="783">
        <v>9.9788993781837976E-2</v>
      </c>
      <c r="G77" s="783">
        <v>0.11169501377011161</v>
      </c>
      <c r="H77" s="784">
        <v>0.11128498641171768</v>
      </c>
      <c r="I77" s="785">
        <v>0</v>
      </c>
      <c r="J77" s="786">
        <v>0</v>
      </c>
      <c r="K77" s="786">
        <v>0</v>
      </c>
      <c r="L77" s="786">
        <v>0</v>
      </c>
      <c r="M77" s="787">
        <v>0</v>
      </c>
      <c r="N77" s="767"/>
      <c r="O77" s="151">
        <v>0.19948118184652835</v>
      </c>
      <c r="P77" s="152">
        <v>0.22298000018182929</v>
      </c>
      <c r="Q77" s="153">
        <v>0.42246118202835764</v>
      </c>
      <c r="R77" s="154"/>
      <c r="S77" s="151">
        <v>0</v>
      </c>
      <c r="T77" s="155">
        <v>-1</v>
      </c>
    </row>
    <row r="78" spans="1:20" s="754" customFormat="1" ht="15" customHeight="1">
      <c r="A78" s="753"/>
      <c r="B78" s="1569" t="s">
        <v>425</v>
      </c>
      <c r="C78" s="768" t="s">
        <v>423</v>
      </c>
      <c r="D78" s="783">
        <v>0</v>
      </c>
      <c r="E78" s="783">
        <v>0</v>
      </c>
      <c r="F78" s="783">
        <v>0</v>
      </c>
      <c r="G78" s="783">
        <v>0</v>
      </c>
      <c r="H78" s="784">
        <v>0</v>
      </c>
      <c r="I78" s="785">
        <v>0</v>
      </c>
      <c r="J78" s="786">
        <v>0</v>
      </c>
      <c r="K78" s="786">
        <v>0</v>
      </c>
      <c r="L78" s="786">
        <v>0</v>
      </c>
      <c r="M78" s="787">
        <v>0</v>
      </c>
      <c r="N78" s="767"/>
      <c r="O78" s="151">
        <v>0</v>
      </c>
      <c r="P78" s="152">
        <v>0</v>
      </c>
      <c r="Q78" s="153">
        <v>0</v>
      </c>
      <c r="R78" s="154"/>
      <c r="S78" s="151">
        <v>0</v>
      </c>
      <c r="T78" s="155" t="s">
        <v>989</v>
      </c>
    </row>
    <row r="79" spans="1:20" s="754" customFormat="1" ht="15" customHeight="1">
      <c r="A79" s="753"/>
      <c r="B79" s="1569"/>
      <c r="C79" s="768" t="s">
        <v>424</v>
      </c>
      <c r="D79" s="783">
        <v>0</v>
      </c>
      <c r="E79" s="783">
        <v>0</v>
      </c>
      <c r="F79" s="783">
        <v>0</v>
      </c>
      <c r="G79" s="783">
        <v>0</v>
      </c>
      <c r="H79" s="784">
        <v>0</v>
      </c>
      <c r="I79" s="785">
        <v>0</v>
      </c>
      <c r="J79" s="786">
        <v>0</v>
      </c>
      <c r="K79" s="786">
        <v>0</v>
      </c>
      <c r="L79" s="786">
        <v>0</v>
      </c>
      <c r="M79" s="787">
        <v>0</v>
      </c>
      <c r="N79" s="767"/>
      <c r="O79" s="151">
        <v>0</v>
      </c>
      <c r="P79" s="152">
        <v>0</v>
      </c>
      <c r="Q79" s="153">
        <v>0</v>
      </c>
      <c r="R79" s="154"/>
      <c r="S79" s="151">
        <v>0</v>
      </c>
      <c r="T79" s="155" t="s">
        <v>989</v>
      </c>
    </row>
    <row r="80" spans="1:20" s="754" customFormat="1" ht="15" customHeight="1">
      <c r="A80" s="753"/>
      <c r="B80" s="1564" t="s">
        <v>345</v>
      </c>
      <c r="C80" s="768" t="s">
        <v>426</v>
      </c>
      <c r="D80" s="783">
        <v>0</v>
      </c>
      <c r="E80" s="783">
        <v>0</v>
      </c>
      <c r="F80" s="783">
        <v>0</v>
      </c>
      <c r="G80" s="783">
        <v>0</v>
      </c>
      <c r="H80" s="784">
        <v>0</v>
      </c>
      <c r="I80" s="785">
        <v>0</v>
      </c>
      <c r="J80" s="786">
        <v>0</v>
      </c>
      <c r="K80" s="786">
        <v>0</v>
      </c>
      <c r="L80" s="786">
        <v>0</v>
      </c>
      <c r="M80" s="787">
        <v>0</v>
      </c>
      <c r="N80" s="767"/>
      <c r="O80" s="151">
        <v>0</v>
      </c>
      <c r="P80" s="152">
        <v>0</v>
      </c>
      <c r="Q80" s="153">
        <v>0</v>
      </c>
      <c r="R80" s="154"/>
      <c r="S80" s="151">
        <v>0</v>
      </c>
      <c r="T80" s="155" t="s">
        <v>989</v>
      </c>
    </row>
    <row r="81" spans="1:20" s="754" customFormat="1" ht="15" customHeight="1">
      <c r="A81" s="753"/>
      <c r="B81" s="1564"/>
      <c r="C81" s="768" t="s">
        <v>427</v>
      </c>
      <c r="D81" s="783">
        <v>0</v>
      </c>
      <c r="E81" s="783">
        <v>9.9692188064690393E-2</v>
      </c>
      <c r="F81" s="783">
        <v>9.9788993781837976E-2</v>
      </c>
      <c r="G81" s="783">
        <v>0.11169501377011161</v>
      </c>
      <c r="H81" s="784">
        <v>0.11128498641171768</v>
      </c>
      <c r="I81" s="785">
        <v>0</v>
      </c>
      <c r="J81" s="786">
        <v>0</v>
      </c>
      <c r="K81" s="786">
        <v>0.1034972347085473</v>
      </c>
      <c r="L81" s="786">
        <v>0.10346650033406245</v>
      </c>
      <c r="M81" s="787">
        <v>0.10438459778625718</v>
      </c>
      <c r="N81" s="767"/>
      <c r="O81" s="151">
        <v>0.19948118184652835</v>
      </c>
      <c r="P81" s="152">
        <v>0.22298000018182929</v>
      </c>
      <c r="Q81" s="153">
        <v>0.42246118202835764</v>
      </c>
      <c r="R81" s="154"/>
      <c r="S81" s="151">
        <v>0.31134833282886692</v>
      </c>
      <c r="T81" s="155">
        <v>-0.26301315701008543</v>
      </c>
    </row>
    <row r="82" spans="1:20" s="754" customFormat="1" ht="15" customHeight="1">
      <c r="A82" s="753"/>
      <c r="B82" s="1564"/>
      <c r="C82" s="772" t="s">
        <v>428</v>
      </c>
      <c r="D82" s="783">
        <v>0.39894349523391126</v>
      </c>
      <c r="E82" s="783">
        <v>0.59815312838814227</v>
      </c>
      <c r="F82" s="783">
        <v>0.79831195025470381</v>
      </c>
      <c r="G82" s="783">
        <v>0.44678005508044644</v>
      </c>
      <c r="H82" s="784">
        <v>0.4451399456468707</v>
      </c>
      <c r="I82" s="785">
        <v>0.42452271485773252</v>
      </c>
      <c r="J82" s="786">
        <v>0.41470887311777677</v>
      </c>
      <c r="K82" s="786">
        <v>0.41398893883418919</v>
      </c>
      <c r="L82" s="786">
        <v>0.41386600133624979</v>
      </c>
      <c r="M82" s="787">
        <v>0.41753839114502872</v>
      </c>
      <c r="N82" s="767"/>
      <c r="O82" s="151">
        <v>1.7954085738767573</v>
      </c>
      <c r="P82" s="152">
        <v>0.89192000072731714</v>
      </c>
      <c r="Q82" s="153">
        <v>2.6873285746040745</v>
      </c>
      <c r="R82" s="154"/>
      <c r="S82" s="151">
        <v>2.0846249192909769</v>
      </c>
      <c r="T82" s="155">
        <v>-0.22427613095354154</v>
      </c>
    </row>
    <row r="83" spans="1:20" s="754" customFormat="1" ht="15" customHeight="1">
      <c r="A83" s="753"/>
      <c r="B83" s="1564" t="s">
        <v>223</v>
      </c>
      <c r="C83" s="768" t="s">
        <v>429</v>
      </c>
      <c r="D83" s="783">
        <v>9.9735873808477815E-2</v>
      </c>
      <c r="E83" s="783">
        <v>9.9692188064690393E-2</v>
      </c>
      <c r="F83" s="783">
        <v>9.9788993781837976E-2</v>
      </c>
      <c r="G83" s="783">
        <v>0.11169501377011161</v>
      </c>
      <c r="H83" s="784">
        <v>0.11128498641171768</v>
      </c>
      <c r="I83" s="785">
        <v>0.10613067871443313</v>
      </c>
      <c r="J83" s="786">
        <v>0.10367721827944419</v>
      </c>
      <c r="K83" s="786">
        <v>0.1034972347085473</v>
      </c>
      <c r="L83" s="786">
        <v>0.10346650033406245</v>
      </c>
      <c r="M83" s="787">
        <v>0.10438459778625718</v>
      </c>
      <c r="N83" s="767"/>
      <c r="O83" s="151">
        <v>0.29921705565500617</v>
      </c>
      <c r="P83" s="152">
        <v>0.22298000018182929</v>
      </c>
      <c r="Q83" s="153">
        <v>0.5221970558368354</v>
      </c>
      <c r="R83" s="154"/>
      <c r="S83" s="151">
        <v>0.52115622982274423</v>
      </c>
      <c r="T83" s="155">
        <v>-1.9931671434325008E-3</v>
      </c>
    </row>
    <row r="84" spans="1:20" s="754" customFormat="1" ht="15" customHeight="1">
      <c r="A84" s="753"/>
      <c r="B84" s="1564"/>
      <c r="C84" s="768" t="s">
        <v>95</v>
      </c>
      <c r="D84" s="783">
        <v>0</v>
      </c>
      <c r="E84" s="783">
        <v>0</v>
      </c>
      <c r="F84" s="783">
        <v>0</v>
      </c>
      <c r="G84" s="783">
        <v>0</v>
      </c>
      <c r="H84" s="784">
        <v>0</v>
      </c>
      <c r="I84" s="785">
        <v>0</v>
      </c>
      <c r="J84" s="786">
        <v>0</v>
      </c>
      <c r="K84" s="786">
        <v>0</v>
      </c>
      <c r="L84" s="786">
        <v>0</v>
      </c>
      <c r="M84" s="787">
        <v>0</v>
      </c>
      <c r="N84" s="767"/>
      <c r="O84" s="151">
        <v>0</v>
      </c>
      <c r="P84" s="152">
        <v>0</v>
      </c>
      <c r="Q84" s="153">
        <v>0</v>
      </c>
      <c r="R84" s="154"/>
      <c r="S84" s="151">
        <v>0</v>
      </c>
      <c r="T84" s="155" t="s">
        <v>989</v>
      </c>
    </row>
    <row r="85" spans="1:20" s="754" customFormat="1" ht="15" customHeight="1">
      <c r="A85" s="753"/>
      <c r="B85" s="1564"/>
      <c r="C85" s="772" t="s">
        <v>430</v>
      </c>
      <c r="D85" s="783">
        <v>0</v>
      </c>
      <c r="E85" s="783">
        <v>0</v>
      </c>
      <c r="F85" s="783">
        <v>0</v>
      </c>
      <c r="G85" s="783">
        <v>0</v>
      </c>
      <c r="H85" s="784">
        <v>0</v>
      </c>
      <c r="I85" s="785">
        <v>0</v>
      </c>
      <c r="J85" s="786">
        <v>0</v>
      </c>
      <c r="K85" s="786">
        <v>0</v>
      </c>
      <c r="L85" s="786">
        <v>0</v>
      </c>
      <c r="M85" s="787">
        <v>0</v>
      </c>
      <c r="N85" s="767"/>
      <c r="O85" s="151">
        <v>0</v>
      </c>
      <c r="P85" s="152">
        <v>0</v>
      </c>
      <c r="Q85" s="153">
        <v>0</v>
      </c>
      <c r="R85" s="154"/>
      <c r="S85" s="151">
        <v>0</v>
      </c>
      <c r="T85" s="155" t="s">
        <v>989</v>
      </c>
    </row>
    <row r="86" spans="1:20" s="754" customFormat="1" ht="15" customHeight="1">
      <c r="A86" s="753"/>
      <c r="B86" s="1564"/>
      <c r="C86" s="772" t="s">
        <v>428</v>
      </c>
      <c r="D86" s="783">
        <v>0.59841524285086689</v>
      </c>
      <c r="E86" s="783">
        <v>0.9969218806469039</v>
      </c>
      <c r="F86" s="783">
        <v>0.99788993781837976</v>
      </c>
      <c r="G86" s="783">
        <v>0.89356011016089287</v>
      </c>
      <c r="H86" s="784">
        <v>0.89027989129374141</v>
      </c>
      <c r="I86" s="785">
        <v>0.74291475100103177</v>
      </c>
      <c r="J86" s="786">
        <v>0.72574052795610933</v>
      </c>
      <c r="K86" s="786">
        <v>0.72448064295983106</v>
      </c>
      <c r="L86" s="786">
        <v>0.72426550233843712</v>
      </c>
      <c r="M86" s="787">
        <v>0.73069218450380014</v>
      </c>
      <c r="N86" s="767"/>
      <c r="O86" s="151">
        <v>2.5932270613161506</v>
      </c>
      <c r="P86" s="152">
        <v>1.7838400014546343</v>
      </c>
      <c r="Q86" s="153">
        <v>4.3770670627707844</v>
      </c>
      <c r="R86" s="154"/>
      <c r="S86" s="151">
        <v>3.6480936087592091</v>
      </c>
      <c r="T86" s="155">
        <v>-0.16654381656883235</v>
      </c>
    </row>
    <row r="87" spans="1:20" s="754" customFormat="1" ht="15" customHeight="1">
      <c r="A87" s="753"/>
      <c r="B87" s="1564"/>
      <c r="C87" s="768" t="s">
        <v>431</v>
      </c>
      <c r="D87" s="783">
        <v>0</v>
      </c>
      <c r="E87" s="783">
        <v>0.49846094032345195</v>
      </c>
      <c r="F87" s="783">
        <v>0.69852295647286577</v>
      </c>
      <c r="G87" s="783">
        <v>0.33508504131033479</v>
      </c>
      <c r="H87" s="784">
        <v>0.33385495923515301</v>
      </c>
      <c r="I87" s="785">
        <v>0.31839203614329936</v>
      </c>
      <c r="J87" s="786">
        <v>0.31103165483833256</v>
      </c>
      <c r="K87" s="786">
        <v>0.31049170412564187</v>
      </c>
      <c r="L87" s="786">
        <v>0.41386600133624979</v>
      </c>
      <c r="M87" s="787">
        <v>0.41753839114502872</v>
      </c>
      <c r="N87" s="767"/>
      <c r="O87" s="151">
        <v>1.1969838967963178</v>
      </c>
      <c r="P87" s="152">
        <v>0.66894000054548775</v>
      </c>
      <c r="Q87" s="153">
        <v>1.8659238973418055</v>
      </c>
      <c r="R87" s="154"/>
      <c r="S87" s="151">
        <v>1.7713197875885525</v>
      </c>
      <c r="T87" s="155">
        <v>-5.0700947604575962E-2</v>
      </c>
    </row>
    <row r="88" spans="1:20" s="754" customFormat="1" ht="15" customHeight="1">
      <c r="A88" s="753"/>
      <c r="B88" s="1564"/>
      <c r="C88" s="768" t="s">
        <v>432</v>
      </c>
      <c r="D88" s="783">
        <v>0.19947174761695563</v>
      </c>
      <c r="E88" s="783">
        <v>0.39876875225876157</v>
      </c>
      <c r="F88" s="783">
        <v>0.3991559751273519</v>
      </c>
      <c r="G88" s="783">
        <v>0.33508504131033479</v>
      </c>
      <c r="H88" s="784">
        <v>0.33385495923515301</v>
      </c>
      <c r="I88" s="785">
        <v>0.31839203614329936</v>
      </c>
      <c r="J88" s="786">
        <v>0.31103165483833256</v>
      </c>
      <c r="K88" s="786">
        <v>0.31049170412564187</v>
      </c>
      <c r="L88" s="786">
        <v>0.31039950100218733</v>
      </c>
      <c r="M88" s="787">
        <v>0.31315379335877147</v>
      </c>
      <c r="N88" s="767"/>
      <c r="O88" s="151">
        <v>0.99739647500306905</v>
      </c>
      <c r="P88" s="152">
        <v>0.66894000054548775</v>
      </c>
      <c r="Q88" s="153">
        <v>1.6663364755485568</v>
      </c>
      <c r="R88" s="154"/>
      <c r="S88" s="151">
        <v>1.5634686894682326</v>
      </c>
      <c r="T88" s="155">
        <v>-6.1732901841724495E-2</v>
      </c>
    </row>
    <row r="89" spans="1:20" s="754" customFormat="1" ht="15" customHeight="1">
      <c r="A89" s="753"/>
      <c r="B89" s="1564" t="s">
        <v>402</v>
      </c>
      <c r="C89" s="768" t="s">
        <v>429</v>
      </c>
      <c r="D89" s="783">
        <v>0</v>
      </c>
      <c r="E89" s="783">
        <v>0</v>
      </c>
      <c r="F89" s="783">
        <v>0</v>
      </c>
      <c r="G89" s="783">
        <v>0</v>
      </c>
      <c r="H89" s="784">
        <v>0</v>
      </c>
      <c r="I89" s="785">
        <v>0</v>
      </c>
      <c r="J89" s="786">
        <v>0</v>
      </c>
      <c r="K89" s="786">
        <v>0</v>
      </c>
      <c r="L89" s="786">
        <v>0</v>
      </c>
      <c r="M89" s="787">
        <v>0</v>
      </c>
      <c r="N89" s="767"/>
      <c r="O89" s="151">
        <v>0</v>
      </c>
      <c r="P89" s="152">
        <v>0</v>
      </c>
      <c r="Q89" s="153">
        <v>0</v>
      </c>
      <c r="R89" s="154"/>
      <c r="S89" s="151">
        <v>0</v>
      </c>
      <c r="T89" s="155" t="s">
        <v>989</v>
      </c>
    </row>
    <row r="90" spans="1:20" s="754" customFormat="1" ht="15" customHeight="1">
      <c r="A90" s="753"/>
      <c r="B90" s="1564"/>
      <c r="C90" s="768" t="s">
        <v>95</v>
      </c>
      <c r="D90" s="783">
        <v>0</v>
      </c>
      <c r="E90" s="783">
        <v>0</v>
      </c>
      <c r="F90" s="783">
        <v>0</v>
      </c>
      <c r="G90" s="783">
        <v>0</v>
      </c>
      <c r="H90" s="784">
        <v>0</v>
      </c>
      <c r="I90" s="785">
        <v>0</v>
      </c>
      <c r="J90" s="786">
        <v>0</v>
      </c>
      <c r="K90" s="786">
        <v>0</v>
      </c>
      <c r="L90" s="786">
        <v>0</v>
      </c>
      <c r="M90" s="787">
        <v>0</v>
      </c>
      <c r="N90" s="767"/>
      <c r="O90" s="151">
        <v>0</v>
      </c>
      <c r="P90" s="152">
        <v>0</v>
      </c>
      <c r="Q90" s="153">
        <v>0</v>
      </c>
      <c r="R90" s="154"/>
      <c r="S90" s="151">
        <v>0</v>
      </c>
      <c r="T90" s="155" t="s">
        <v>989</v>
      </c>
    </row>
    <row r="91" spans="1:20" s="754" customFormat="1" ht="15" customHeight="1">
      <c r="A91" s="753"/>
      <c r="B91" s="1564"/>
      <c r="C91" s="768" t="s">
        <v>430</v>
      </c>
      <c r="D91" s="783">
        <v>0</v>
      </c>
      <c r="E91" s="783">
        <v>0</v>
      </c>
      <c r="F91" s="783">
        <v>0</v>
      </c>
      <c r="G91" s="783">
        <v>0</v>
      </c>
      <c r="H91" s="784">
        <v>0</v>
      </c>
      <c r="I91" s="785">
        <v>0</v>
      </c>
      <c r="J91" s="786">
        <v>0</v>
      </c>
      <c r="K91" s="786">
        <v>0</v>
      </c>
      <c r="L91" s="786">
        <v>0</v>
      </c>
      <c r="M91" s="787">
        <v>0</v>
      </c>
      <c r="N91" s="767"/>
      <c r="O91" s="151">
        <v>0</v>
      </c>
      <c r="P91" s="152">
        <v>0</v>
      </c>
      <c r="Q91" s="153">
        <v>0</v>
      </c>
      <c r="R91" s="154"/>
      <c r="S91" s="151">
        <v>0</v>
      </c>
      <c r="T91" s="155" t="s">
        <v>989</v>
      </c>
    </row>
    <row r="92" spans="1:20" s="754" customFormat="1" ht="15" customHeight="1">
      <c r="A92" s="753"/>
      <c r="B92" s="1564"/>
      <c r="C92" s="768" t="s">
        <v>428</v>
      </c>
      <c r="D92" s="783">
        <v>0</v>
      </c>
      <c r="E92" s="783">
        <v>9.9692188064690393E-2</v>
      </c>
      <c r="F92" s="783">
        <v>9.9788993781837976E-2</v>
      </c>
      <c r="G92" s="783">
        <v>0.11169501377011161</v>
      </c>
      <c r="H92" s="784">
        <v>0.11128498641171768</v>
      </c>
      <c r="I92" s="785">
        <v>0.10613067871443313</v>
      </c>
      <c r="J92" s="786">
        <v>0.10367721827944419</v>
      </c>
      <c r="K92" s="786">
        <v>0.1034972347085473</v>
      </c>
      <c r="L92" s="786">
        <v>0.10346650033406245</v>
      </c>
      <c r="M92" s="787">
        <v>0.10438459778625718</v>
      </c>
      <c r="N92" s="767"/>
      <c r="O92" s="151">
        <v>0.19948118184652835</v>
      </c>
      <c r="P92" s="152">
        <v>0.22298000018182929</v>
      </c>
      <c r="Q92" s="153">
        <v>0.42246118202835764</v>
      </c>
      <c r="R92" s="154"/>
      <c r="S92" s="151">
        <v>0.52115622982274423</v>
      </c>
      <c r="T92" s="155">
        <v>0.23361921045745146</v>
      </c>
    </row>
    <row r="93" spans="1:20" s="754" customFormat="1" ht="15" customHeight="1">
      <c r="A93" s="753"/>
      <c r="B93" s="1564"/>
      <c r="C93" s="768" t="s">
        <v>431</v>
      </c>
      <c r="D93" s="783">
        <v>9.9735873808477815E-2</v>
      </c>
      <c r="E93" s="783">
        <v>0.49846094032345195</v>
      </c>
      <c r="F93" s="783">
        <v>0.29936698134551393</v>
      </c>
      <c r="G93" s="783">
        <v>0.33508504131033479</v>
      </c>
      <c r="H93" s="784">
        <v>0.33385495923515301</v>
      </c>
      <c r="I93" s="785">
        <v>0.21226135742886626</v>
      </c>
      <c r="J93" s="786">
        <v>0.20735443655888838</v>
      </c>
      <c r="K93" s="786">
        <v>0.2069944694170946</v>
      </c>
      <c r="L93" s="786">
        <v>0.20693300066812489</v>
      </c>
      <c r="M93" s="787">
        <v>0.20876919557251436</v>
      </c>
      <c r="N93" s="767"/>
      <c r="O93" s="151">
        <v>0.8975637954774438</v>
      </c>
      <c r="P93" s="152">
        <v>0.66894000054548775</v>
      </c>
      <c r="Q93" s="153">
        <v>1.5665037960229315</v>
      </c>
      <c r="R93" s="154"/>
      <c r="S93" s="151">
        <v>1.0423124596454885</v>
      </c>
      <c r="T93" s="155">
        <v>-0.33462500231934938</v>
      </c>
    </row>
    <row r="94" spans="1:20" s="754" customFormat="1" ht="15" customHeight="1">
      <c r="A94" s="753"/>
      <c r="B94" s="1564"/>
      <c r="C94" s="772" t="s">
        <v>432</v>
      </c>
      <c r="D94" s="783">
        <v>0</v>
      </c>
      <c r="E94" s="783">
        <v>0</v>
      </c>
      <c r="F94" s="783">
        <v>0</v>
      </c>
      <c r="G94" s="783">
        <v>0</v>
      </c>
      <c r="H94" s="784">
        <v>0</v>
      </c>
      <c r="I94" s="785">
        <v>0</v>
      </c>
      <c r="J94" s="786">
        <v>0</v>
      </c>
      <c r="K94" s="786">
        <v>0</v>
      </c>
      <c r="L94" s="786">
        <v>0</v>
      </c>
      <c r="M94" s="787">
        <v>0</v>
      </c>
      <c r="N94" s="767"/>
      <c r="O94" s="151">
        <v>0</v>
      </c>
      <c r="P94" s="152">
        <v>0</v>
      </c>
      <c r="Q94" s="153">
        <v>0</v>
      </c>
      <c r="R94" s="154"/>
      <c r="S94" s="151">
        <v>0</v>
      </c>
      <c r="T94" s="155" t="s">
        <v>989</v>
      </c>
    </row>
    <row r="95" spans="1:20" s="754" customFormat="1" ht="15" customHeight="1">
      <c r="A95" s="753"/>
      <c r="B95" s="1564" t="s">
        <v>401</v>
      </c>
      <c r="C95" s="768" t="s">
        <v>429</v>
      </c>
      <c r="D95" s="783">
        <v>0</v>
      </c>
      <c r="E95" s="783">
        <v>0</v>
      </c>
      <c r="F95" s="783">
        <v>0</v>
      </c>
      <c r="G95" s="783">
        <v>0</v>
      </c>
      <c r="H95" s="784">
        <v>0</v>
      </c>
      <c r="I95" s="785">
        <v>0</v>
      </c>
      <c r="J95" s="786">
        <v>0</v>
      </c>
      <c r="K95" s="786">
        <v>0</v>
      </c>
      <c r="L95" s="786">
        <v>0</v>
      </c>
      <c r="M95" s="787">
        <v>0</v>
      </c>
      <c r="N95" s="767"/>
      <c r="O95" s="151">
        <v>0</v>
      </c>
      <c r="P95" s="152">
        <v>0</v>
      </c>
      <c r="Q95" s="153">
        <v>0</v>
      </c>
      <c r="R95" s="154"/>
      <c r="S95" s="151">
        <v>0</v>
      </c>
      <c r="T95" s="155" t="s">
        <v>989</v>
      </c>
    </row>
    <row r="96" spans="1:20" s="754" customFormat="1" ht="15" customHeight="1">
      <c r="A96" s="753"/>
      <c r="B96" s="1564"/>
      <c r="C96" s="768" t="s">
        <v>95</v>
      </c>
      <c r="D96" s="783">
        <v>0</v>
      </c>
      <c r="E96" s="783">
        <v>0</v>
      </c>
      <c r="F96" s="783">
        <v>0</v>
      </c>
      <c r="G96" s="783">
        <v>0</v>
      </c>
      <c r="H96" s="784">
        <v>0</v>
      </c>
      <c r="I96" s="785">
        <v>0</v>
      </c>
      <c r="J96" s="786">
        <v>0</v>
      </c>
      <c r="K96" s="786">
        <v>0</v>
      </c>
      <c r="L96" s="786">
        <v>0</v>
      </c>
      <c r="M96" s="787">
        <v>0</v>
      </c>
      <c r="N96" s="767"/>
      <c r="O96" s="151">
        <v>0</v>
      </c>
      <c r="P96" s="152">
        <v>0</v>
      </c>
      <c r="Q96" s="153">
        <v>0</v>
      </c>
      <c r="R96" s="154"/>
      <c r="S96" s="151">
        <v>0</v>
      </c>
      <c r="T96" s="155" t="s">
        <v>989</v>
      </c>
    </row>
    <row r="97" spans="1:20" s="754" customFormat="1" ht="15" customHeight="1">
      <c r="A97" s="753"/>
      <c r="B97" s="1564"/>
      <c r="C97" s="772" t="s">
        <v>433</v>
      </c>
      <c r="D97" s="783">
        <v>0</v>
      </c>
      <c r="E97" s="783">
        <v>0</v>
      </c>
      <c r="F97" s="783">
        <v>0</v>
      </c>
      <c r="G97" s="783">
        <v>0</v>
      </c>
      <c r="H97" s="784">
        <v>0</v>
      </c>
      <c r="I97" s="785">
        <v>0</v>
      </c>
      <c r="J97" s="786">
        <v>0</v>
      </c>
      <c r="K97" s="786">
        <v>0</v>
      </c>
      <c r="L97" s="786">
        <v>0</v>
      </c>
      <c r="M97" s="787">
        <v>0</v>
      </c>
      <c r="N97" s="767"/>
      <c r="O97" s="151">
        <v>0</v>
      </c>
      <c r="P97" s="152">
        <v>0</v>
      </c>
      <c r="Q97" s="153">
        <v>0</v>
      </c>
      <c r="R97" s="154"/>
      <c r="S97" s="151">
        <v>0</v>
      </c>
      <c r="T97" s="155" t="s">
        <v>989</v>
      </c>
    </row>
    <row r="98" spans="1:20" s="754" customFormat="1" ht="15" customHeight="1">
      <c r="A98" s="753"/>
      <c r="B98" s="1564"/>
      <c r="C98" s="772" t="s">
        <v>428</v>
      </c>
      <c r="D98" s="783">
        <v>0</v>
      </c>
      <c r="E98" s="783">
        <v>0</v>
      </c>
      <c r="F98" s="783">
        <v>0</v>
      </c>
      <c r="G98" s="783">
        <v>0</v>
      </c>
      <c r="H98" s="784">
        <v>0</v>
      </c>
      <c r="I98" s="785">
        <v>0</v>
      </c>
      <c r="J98" s="786">
        <v>0</v>
      </c>
      <c r="K98" s="786">
        <v>0</v>
      </c>
      <c r="L98" s="786">
        <v>0</v>
      </c>
      <c r="M98" s="787">
        <v>0</v>
      </c>
      <c r="N98" s="767"/>
      <c r="O98" s="151">
        <v>0</v>
      </c>
      <c r="P98" s="152">
        <v>0</v>
      </c>
      <c r="Q98" s="153">
        <v>0</v>
      </c>
      <c r="R98" s="154"/>
      <c r="S98" s="151">
        <v>0</v>
      </c>
      <c r="T98" s="155" t="s">
        <v>989</v>
      </c>
    </row>
    <row r="99" spans="1:20" s="754" customFormat="1" ht="15" customHeight="1">
      <c r="A99" s="753"/>
      <c r="B99" s="1564"/>
      <c r="C99" s="772" t="s">
        <v>431</v>
      </c>
      <c r="D99" s="783">
        <v>0</v>
      </c>
      <c r="E99" s="783">
        <v>0</v>
      </c>
      <c r="F99" s="783">
        <v>0</v>
      </c>
      <c r="G99" s="783">
        <v>0</v>
      </c>
      <c r="H99" s="784">
        <v>0</v>
      </c>
      <c r="I99" s="785">
        <v>0</v>
      </c>
      <c r="J99" s="786">
        <v>0</v>
      </c>
      <c r="K99" s="786">
        <v>0</v>
      </c>
      <c r="L99" s="786">
        <v>0</v>
      </c>
      <c r="M99" s="787">
        <v>0</v>
      </c>
      <c r="N99" s="767"/>
      <c r="O99" s="151">
        <v>0</v>
      </c>
      <c r="P99" s="152">
        <v>0</v>
      </c>
      <c r="Q99" s="153">
        <v>0</v>
      </c>
      <c r="R99" s="154"/>
      <c r="S99" s="151">
        <v>0</v>
      </c>
      <c r="T99" s="155" t="s">
        <v>989</v>
      </c>
    </row>
    <row r="100" spans="1:20" s="754" customFormat="1" ht="15" customHeight="1">
      <c r="A100" s="753"/>
      <c r="B100" s="1564"/>
      <c r="C100" s="772" t="s">
        <v>432</v>
      </c>
      <c r="D100" s="783">
        <v>0</v>
      </c>
      <c r="E100" s="783">
        <v>0</v>
      </c>
      <c r="F100" s="783">
        <v>0</v>
      </c>
      <c r="G100" s="783">
        <v>0</v>
      </c>
      <c r="H100" s="784">
        <v>0</v>
      </c>
      <c r="I100" s="785">
        <v>0</v>
      </c>
      <c r="J100" s="786">
        <v>0</v>
      </c>
      <c r="K100" s="786">
        <v>0</v>
      </c>
      <c r="L100" s="786">
        <v>0</v>
      </c>
      <c r="M100" s="787">
        <v>0</v>
      </c>
      <c r="N100" s="767"/>
      <c r="O100" s="151">
        <v>0</v>
      </c>
      <c r="P100" s="152">
        <v>0</v>
      </c>
      <c r="Q100" s="153">
        <v>0</v>
      </c>
      <c r="R100" s="154"/>
      <c r="S100" s="151">
        <v>0</v>
      </c>
      <c r="T100" s="155" t="s">
        <v>989</v>
      </c>
    </row>
    <row r="101" spans="1:20" s="754" customFormat="1" ht="15" customHeight="1" thickBot="1">
      <c r="A101" s="753"/>
      <c r="B101" s="1562" t="s">
        <v>438</v>
      </c>
      <c r="C101" s="1563"/>
      <c r="D101" s="802">
        <v>1.3963022333186892</v>
      </c>
      <c r="E101" s="803">
        <v>3.3895343941994738</v>
      </c>
      <c r="F101" s="803">
        <v>3.5924037761461669</v>
      </c>
      <c r="G101" s="803">
        <v>2.7923753442527905</v>
      </c>
      <c r="H101" s="804">
        <v>2.7821246602929421</v>
      </c>
      <c r="I101" s="805">
        <v>2.2287442530030952</v>
      </c>
      <c r="J101" s="803">
        <v>2.1772215838683278</v>
      </c>
      <c r="K101" s="803">
        <v>2.2769391635880405</v>
      </c>
      <c r="L101" s="803">
        <v>2.3797295076834359</v>
      </c>
      <c r="M101" s="804">
        <v>2.4008457490839148</v>
      </c>
      <c r="N101" s="767"/>
      <c r="O101" s="171">
        <v>8.3782404036643303</v>
      </c>
      <c r="P101" s="172">
        <v>5.5745000045457331</v>
      </c>
      <c r="Q101" s="173">
        <v>13.952740408210063</v>
      </c>
      <c r="R101" s="154"/>
      <c r="S101" s="171">
        <v>11.463480257226815</v>
      </c>
      <c r="T101" s="174">
        <v>-0.1784065408053116</v>
      </c>
    </row>
    <row r="102" spans="1:20" s="754" customFormat="1" ht="12.75">
      <c r="A102" s="753"/>
      <c r="B102" s="639"/>
      <c r="C102" s="639"/>
      <c r="D102" s="639"/>
      <c r="E102" s="639"/>
      <c r="F102" s="639"/>
      <c r="G102" s="639"/>
      <c r="H102" s="639"/>
      <c r="I102" s="639"/>
      <c r="J102" s="639"/>
      <c r="K102" s="639"/>
      <c r="L102" s="639"/>
      <c r="M102" s="639"/>
      <c r="N102" s="639"/>
      <c r="O102" s="639"/>
      <c r="P102" s="639"/>
      <c r="Q102" s="639"/>
    </row>
    <row r="103" spans="1:20" s="754" customFormat="1" ht="12.75">
      <c r="A103" s="753"/>
      <c r="B103" s="639"/>
      <c r="C103" s="639"/>
      <c r="D103" s="639"/>
      <c r="E103" s="639"/>
      <c r="F103" s="639"/>
      <c r="G103" s="639"/>
      <c r="H103" s="639"/>
      <c r="I103" s="639"/>
      <c r="J103" s="639"/>
      <c r="K103" s="639"/>
      <c r="L103" s="639"/>
      <c r="M103" s="639"/>
      <c r="N103" s="639"/>
      <c r="O103" s="639"/>
      <c r="P103" s="639"/>
      <c r="Q103" s="639"/>
    </row>
    <row r="104" spans="1:20" s="754" customFormat="1" ht="12.75">
      <c r="A104" s="753"/>
      <c r="B104" s="752" t="s">
        <v>439</v>
      </c>
      <c r="C104" s="639"/>
      <c r="D104" s="639"/>
      <c r="E104" s="639"/>
      <c r="F104" s="639"/>
      <c r="G104" s="639"/>
      <c r="H104" s="639"/>
      <c r="I104" s="639"/>
      <c r="J104" s="639"/>
      <c r="K104" s="639"/>
      <c r="L104" s="639"/>
      <c r="M104" s="639"/>
      <c r="N104" s="639"/>
      <c r="O104" s="639"/>
      <c r="P104" s="639"/>
      <c r="Q104" s="639"/>
    </row>
    <row r="105" spans="1:20" s="754" customFormat="1" ht="13.5" thickBot="1">
      <c r="A105" s="753"/>
      <c r="B105" s="639"/>
      <c r="C105" s="639"/>
      <c r="D105" s="639"/>
      <c r="E105" s="639"/>
      <c r="F105" s="639"/>
      <c r="G105" s="639"/>
      <c r="H105" s="639"/>
      <c r="I105" s="639"/>
      <c r="J105" s="639"/>
      <c r="K105" s="639"/>
      <c r="L105" s="639"/>
      <c r="M105" s="639"/>
      <c r="N105" s="639"/>
      <c r="O105" s="639"/>
      <c r="P105" s="639"/>
      <c r="Q105" s="639"/>
    </row>
    <row r="106" spans="1:20" s="754" customFormat="1" ht="12.75">
      <c r="A106" s="753"/>
      <c r="B106" s="1554" t="s">
        <v>419</v>
      </c>
      <c r="C106" s="1555"/>
      <c r="D106" s="756" t="s">
        <v>420</v>
      </c>
      <c r="E106" s="756"/>
      <c r="F106" s="756"/>
      <c r="G106" s="756"/>
      <c r="H106" s="757"/>
      <c r="I106" s="755" t="s">
        <v>421</v>
      </c>
      <c r="J106" s="756"/>
      <c r="K106" s="756"/>
      <c r="L106" s="756"/>
      <c r="M106" s="757"/>
      <c r="N106" s="639"/>
      <c r="O106" s="570" t="s">
        <v>191</v>
      </c>
      <c r="P106" s="571"/>
      <c r="Q106" s="572"/>
      <c r="R106" s="740"/>
      <c r="S106" s="570" t="s">
        <v>192</v>
      </c>
      <c r="T106" s="572"/>
    </row>
    <row r="107" spans="1:20" s="754" customFormat="1" ht="12.75">
      <c r="A107" s="753"/>
      <c r="B107" s="1556"/>
      <c r="C107" s="1557"/>
      <c r="D107" s="760" t="s">
        <v>79</v>
      </c>
      <c r="E107" s="623" t="s">
        <v>80</v>
      </c>
      <c r="F107" s="623" t="s">
        <v>81</v>
      </c>
      <c r="G107" s="623" t="s">
        <v>82</v>
      </c>
      <c r="H107" s="759" t="s">
        <v>44</v>
      </c>
      <c r="I107" s="758" t="s">
        <v>193</v>
      </c>
      <c r="J107" s="623" t="s">
        <v>194</v>
      </c>
      <c r="K107" s="623" t="s">
        <v>195</v>
      </c>
      <c r="L107" s="623" t="s">
        <v>196</v>
      </c>
      <c r="M107" s="759" t="s">
        <v>440</v>
      </c>
      <c r="N107" s="639"/>
      <c r="O107" s="575" t="s">
        <v>198</v>
      </c>
      <c r="P107" s="576" t="s">
        <v>199</v>
      </c>
      <c r="Q107" s="577" t="s">
        <v>200</v>
      </c>
      <c r="R107" s="740"/>
      <c r="S107" s="575" t="s">
        <v>199</v>
      </c>
      <c r="T107" s="577" t="s">
        <v>201</v>
      </c>
    </row>
    <row r="108" spans="1:20" s="754" customFormat="1" ht="12.75">
      <c r="A108" s="753"/>
      <c r="B108" s="1558"/>
      <c r="C108" s="1559"/>
      <c r="D108" s="760" t="s">
        <v>203</v>
      </c>
      <c r="E108" s="623" t="s">
        <v>203</v>
      </c>
      <c r="F108" s="623" t="s">
        <v>203</v>
      </c>
      <c r="G108" s="623" t="s">
        <v>203</v>
      </c>
      <c r="H108" s="759" t="s">
        <v>203</v>
      </c>
      <c r="I108" s="758" t="s">
        <v>203</v>
      </c>
      <c r="J108" s="623" t="s">
        <v>203</v>
      </c>
      <c r="K108" s="623" t="s">
        <v>203</v>
      </c>
      <c r="L108" s="623" t="s">
        <v>203</v>
      </c>
      <c r="M108" s="759" t="s">
        <v>203</v>
      </c>
      <c r="N108" s="639"/>
      <c r="O108" s="270"/>
      <c r="P108" s="271"/>
      <c r="Q108" s="272"/>
      <c r="R108" s="740"/>
      <c r="S108" s="761"/>
      <c r="T108" s="762"/>
    </row>
    <row r="109" spans="1:20" s="754" customFormat="1" ht="15" customHeight="1">
      <c r="A109" s="753"/>
      <c r="B109" s="1553" t="s">
        <v>441</v>
      </c>
      <c r="C109" s="806" t="s">
        <v>442</v>
      </c>
      <c r="D109" s="778">
        <v>0</v>
      </c>
      <c r="E109" s="781">
        <v>0</v>
      </c>
      <c r="F109" s="781">
        <v>0</v>
      </c>
      <c r="G109" s="781">
        <v>0.22339002754022322</v>
      </c>
      <c r="H109" s="782">
        <v>1.3354198369406121</v>
      </c>
      <c r="I109" s="780">
        <v>0</v>
      </c>
      <c r="J109" s="781">
        <v>0</v>
      </c>
      <c r="K109" s="781">
        <v>0</v>
      </c>
      <c r="L109" s="781">
        <v>0</v>
      </c>
      <c r="M109" s="782">
        <v>0</v>
      </c>
      <c r="N109" s="767"/>
      <c r="O109" s="151">
        <v>0</v>
      </c>
      <c r="P109" s="152">
        <v>1.5588098644808352</v>
      </c>
      <c r="Q109" s="153">
        <v>1.5588098644808352</v>
      </c>
      <c r="R109" s="154"/>
      <c r="S109" s="151">
        <v>0</v>
      </c>
      <c r="T109" s="807">
        <v>-1</v>
      </c>
    </row>
    <row r="110" spans="1:20" s="754" customFormat="1" ht="15" customHeight="1">
      <c r="A110" s="753"/>
      <c r="B110" s="1560"/>
      <c r="C110" s="806" t="s">
        <v>443</v>
      </c>
      <c r="D110" s="783">
        <v>9.9735873808477815E-2</v>
      </c>
      <c r="E110" s="786">
        <v>9.9692188064690393E-2</v>
      </c>
      <c r="F110" s="786">
        <v>9.9788993781837976E-2</v>
      </c>
      <c r="G110" s="786">
        <v>0.89356011016089287</v>
      </c>
      <c r="H110" s="787">
        <v>0.55642493205858845</v>
      </c>
      <c r="I110" s="785">
        <v>0.74291475100103177</v>
      </c>
      <c r="J110" s="786">
        <v>0.72574052795610933</v>
      </c>
      <c r="K110" s="786">
        <v>0.82797787766837838</v>
      </c>
      <c r="L110" s="786">
        <v>0.82773200267249958</v>
      </c>
      <c r="M110" s="787">
        <v>0.83507678229005744</v>
      </c>
      <c r="N110" s="767"/>
      <c r="O110" s="151">
        <v>0.29921705565500617</v>
      </c>
      <c r="P110" s="152">
        <v>1.4499850422194813</v>
      </c>
      <c r="Q110" s="153">
        <v>1.7492020978744875</v>
      </c>
      <c r="R110" s="154"/>
      <c r="S110" s="151">
        <v>3.9594419415880768</v>
      </c>
      <c r="T110" s="807">
        <v>1.2635703138015462</v>
      </c>
    </row>
    <row r="111" spans="1:20" s="754" customFormat="1" ht="15" customHeight="1">
      <c r="A111" s="753"/>
      <c r="B111" s="1560"/>
      <c r="C111" s="806" t="s">
        <v>444</v>
      </c>
      <c r="D111" s="783">
        <v>0.29920762142543345</v>
      </c>
      <c r="E111" s="786">
        <v>0.39876875225876157</v>
      </c>
      <c r="F111" s="786">
        <v>0.59873396269102785</v>
      </c>
      <c r="G111" s="786">
        <v>3.7976304681837947</v>
      </c>
      <c r="H111" s="787">
        <v>2.8934096467046597</v>
      </c>
      <c r="I111" s="785">
        <v>0.53065339357216557</v>
      </c>
      <c r="J111" s="786">
        <v>0.51838609139722092</v>
      </c>
      <c r="K111" s="786">
        <v>0.51748617354273641</v>
      </c>
      <c r="L111" s="786">
        <v>0.51733250167031231</v>
      </c>
      <c r="M111" s="787">
        <v>0.52192298893128586</v>
      </c>
      <c r="N111" s="767"/>
      <c r="O111" s="151"/>
      <c r="P111" s="152"/>
      <c r="Q111" s="153"/>
      <c r="R111" s="154"/>
      <c r="S111" s="151"/>
      <c r="T111" s="807"/>
    </row>
    <row r="112" spans="1:20" s="754" customFormat="1" ht="15" customHeight="1">
      <c r="A112" s="753"/>
      <c r="B112" s="1560"/>
      <c r="C112" s="806" t="s">
        <v>445</v>
      </c>
      <c r="D112" s="783">
        <v>0</v>
      </c>
      <c r="E112" s="786">
        <v>0</v>
      </c>
      <c r="F112" s="786">
        <v>0</v>
      </c>
      <c r="G112" s="786">
        <v>0</v>
      </c>
      <c r="H112" s="787">
        <v>0</v>
      </c>
      <c r="I112" s="785">
        <v>0</v>
      </c>
      <c r="J112" s="786">
        <v>0</v>
      </c>
      <c r="K112" s="786">
        <v>0</v>
      </c>
      <c r="L112" s="786">
        <v>0</v>
      </c>
      <c r="M112" s="787">
        <v>0</v>
      </c>
      <c r="N112" s="767"/>
      <c r="O112" s="151"/>
      <c r="P112" s="152"/>
      <c r="Q112" s="153"/>
      <c r="R112" s="154"/>
      <c r="S112" s="151"/>
      <c r="T112" s="807"/>
    </row>
    <row r="113" spans="1:20" s="754" customFormat="1" ht="15" customHeight="1">
      <c r="A113" s="753"/>
      <c r="B113" s="1560"/>
      <c r="C113" s="806" t="s">
        <v>446</v>
      </c>
      <c r="D113" s="783">
        <v>0</v>
      </c>
      <c r="E113" s="786">
        <v>0</v>
      </c>
      <c r="F113" s="786">
        <v>0</v>
      </c>
      <c r="G113" s="786">
        <v>0</v>
      </c>
      <c r="H113" s="787">
        <v>0</v>
      </c>
      <c r="I113" s="785">
        <v>0</v>
      </c>
      <c r="J113" s="786">
        <v>0</v>
      </c>
      <c r="K113" s="786">
        <v>0</v>
      </c>
      <c r="L113" s="786">
        <v>0</v>
      </c>
      <c r="M113" s="787">
        <v>0</v>
      </c>
      <c r="N113" s="767"/>
      <c r="O113" s="151"/>
      <c r="P113" s="152"/>
      <c r="Q113" s="153"/>
      <c r="R113" s="154"/>
      <c r="S113" s="151"/>
      <c r="T113" s="807"/>
    </row>
    <row r="114" spans="1:20" s="754" customFormat="1" ht="15" customHeight="1">
      <c r="A114" s="753"/>
      <c r="B114" s="1561"/>
      <c r="C114" s="808" t="s">
        <v>447</v>
      </c>
      <c r="D114" s="809">
        <v>0.39894349523391126</v>
      </c>
      <c r="E114" s="809">
        <v>0.49846094032345195</v>
      </c>
      <c r="F114" s="809">
        <v>0.69852295647286589</v>
      </c>
      <c r="G114" s="809">
        <v>4.9145806058849111</v>
      </c>
      <c r="H114" s="810">
        <v>4.7852544157038608</v>
      </c>
      <c r="I114" s="811">
        <v>1.2735681445731974</v>
      </c>
      <c r="J114" s="809">
        <v>1.2441266193533302</v>
      </c>
      <c r="K114" s="809">
        <v>1.3454640512111147</v>
      </c>
      <c r="L114" s="809">
        <v>1.3450645043428118</v>
      </c>
      <c r="M114" s="810">
        <v>1.3569997712213433</v>
      </c>
      <c r="N114" s="767"/>
      <c r="O114" s="151">
        <v>1.595927392030229</v>
      </c>
      <c r="P114" s="152">
        <v>9.6998350215887719</v>
      </c>
      <c r="Q114" s="153">
        <v>11.295762413619002</v>
      </c>
      <c r="R114" s="154"/>
      <c r="S114" s="151">
        <v>6.5652230907017977</v>
      </c>
      <c r="T114" s="807">
        <v>-0.41878884750742618</v>
      </c>
    </row>
    <row r="115" spans="1:20" s="754" customFormat="1" ht="15" customHeight="1">
      <c r="A115" s="753"/>
      <c r="B115" s="1553" t="s">
        <v>223</v>
      </c>
      <c r="C115" s="806" t="s">
        <v>442</v>
      </c>
      <c r="D115" s="783">
        <v>1.2965663595102117</v>
      </c>
      <c r="E115" s="786">
        <v>1.2959984448409752</v>
      </c>
      <c r="F115" s="786">
        <v>1.2972569191638936</v>
      </c>
      <c r="G115" s="786">
        <v>5.5847506885055802</v>
      </c>
      <c r="H115" s="787">
        <v>5.1191093749390122</v>
      </c>
      <c r="I115" s="785">
        <v>2.2287442530030956</v>
      </c>
      <c r="J115" s="786">
        <v>1.9698671473094393</v>
      </c>
      <c r="K115" s="786">
        <v>1.8629502247538514</v>
      </c>
      <c r="L115" s="786">
        <v>1.7589305056790614</v>
      </c>
      <c r="M115" s="787">
        <v>1.7745381623663716</v>
      </c>
      <c r="N115" s="767"/>
      <c r="O115" s="151">
        <v>3.8898217235150803</v>
      </c>
      <c r="P115" s="152">
        <v>10.703860063444592</v>
      </c>
      <c r="Q115" s="153">
        <v>14.593681786959671</v>
      </c>
      <c r="R115" s="154"/>
      <c r="S115" s="151">
        <v>9.5950302931118188</v>
      </c>
      <c r="T115" s="807">
        <v>-0.34252161769858835</v>
      </c>
    </row>
    <row r="116" spans="1:20" s="754" customFormat="1" ht="15" customHeight="1">
      <c r="A116" s="753"/>
      <c r="B116" s="1560"/>
      <c r="C116" s="806" t="s">
        <v>443</v>
      </c>
      <c r="D116" s="783">
        <v>0.59841524285086689</v>
      </c>
      <c r="E116" s="786">
        <v>0.59815312838814227</v>
      </c>
      <c r="F116" s="786">
        <v>0.59873396269102785</v>
      </c>
      <c r="G116" s="786">
        <v>2.457290302942456</v>
      </c>
      <c r="H116" s="787">
        <v>3.5611195651749656</v>
      </c>
      <c r="I116" s="785">
        <v>4.139096469862892</v>
      </c>
      <c r="J116" s="786">
        <v>3.836057076339435</v>
      </c>
      <c r="K116" s="786">
        <v>3.6224032147991552</v>
      </c>
      <c r="L116" s="786">
        <v>3.4143945110240606</v>
      </c>
      <c r="M116" s="787">
        <v>3.3403071291602298</v>
      </c>
      <c r="N116" s="767"/>
      <c r="O116" s="151">
        <v>1.7953023339300369</v>
      </c>
      <c r="P116" s="152">
        <v>6.0184098681174216</v>
      </c>
      <c r="Q116" s="153">
        <v>7.8137122020474585</v>
      </c>
      <c r="R116" s="154"/>
      <c r="S116" s="151">
        <v>18.352258401185772</v>
      </c>
      <c r="T116" s="807">
        <v>1.3487246428626916</v>
      </c>
    </row>
    <row r="117" spans="1:20" s="754" customFormat="1" ht="15" customHeight="1">
      <c r="A117" s="753"/>
      <c r="B117" s="1560"/>
      <c r="C117" s="806" t="s">
        <v>444</v>
      </c>
      <c r="D117" s="783">
        <v>0.79788699046782252</v>
      </c>
      <c r="E117" s="786">
        <v>0.79753750451752314</v>
      </c>
      <c r="F117" s="786">
        <v>0.79831195025470381</v>
      </c>
      <c r="G117" s="786">
        <v>3.5742404406435715</v>
      </c>
      <c r="H117" s="787">
        <v>1.4467048233523299</v>
      </c>
      <c r="I117" s="785">
        <v>0</v>
      </c>
      <c r="J117" s="786">
        <v>0</v>
      </c>
      <c r="K117" s="786">
        <v>0</v>
      </c>
      <c r="L117" s="786">
        <v>0</v>
      </c>
      <c r="M117" s="787">
        <v>0</v>
      </c>
      <c r="N117" s="767"/>
      <c r="O117" s="151"/>
      <c r="P117" s="152"/>
      <c r="Q117" s="153"/>
      <c r="R117" s="154"/>
      <c r="S117" s="151"/>
      <c r="T117" s="807"/>
    </row>
    <row r="118" spans="1:20" s="754" customFormat="1" ht="15" customHeight="1">
      <c r="A118" s="753"/>
      <c r="B118" s="1560"/>
      <c r="C118" s="806" t="s">
        <v>445</v>
      </c>
      <c r="D118" s="783">
        <v>0</v>
      </c>
      <c r="E118" s="786">
        <v>0</v>
      </c>
      <c r="F118" s="786">
        <v>0</v>
      </c>
      <c r="G118" s="786">
        <v>0</v>
      </c>
      <c r="H118" s="787">
        <v>0</v>
      </c>
      <c r="I118" s="785">
        <v>0</v>
      </c>
      <c r="J118" s="786">
        <v>0</v>
      </c>
      <c r="K118" s="786">
        <v>0</v>
      </c>
      <c r="L118" s="786">
        <v>0</v>
      </c>
      <c r="M118" s="787">
        <v>0</v>
      </c>
      <c r="N118" s="767"/>
      <c r="O118" s="151"/>
      <c r="P118" s="152"/>
      <c r="Q118" s="153"/>
      <c r="R118" s="154"/>
      <c r="S118" s="151"/>
      <c r="T118" s="807"/>
    </row>
    <row r="119" spans="1:20" s="754" customFormat="1" ht="15" customHeight="1">
      <c r="A119" s="753"/>
      <c r="B119" s="1560"/>
      <c r="C119" s="806" t="s">
        <v>446</v>
      </c>
      <c r="D119" s="783">
        <v>0</v>
      </c>
      <c r="E119" s="786">
        <v>0</v>
      </c>
      <c r="F119" s="786">
        <v>0</v>
      </c>
      <c r="G119" s="786">
        <v>0</v>
      </c>
      <c r="H119" s="787">
        <v>0</v>
      </c>
      <c r="I119" s="785">
        <v>0</v>
      </c>
      <c r="J119" s="786">
        <v>0</v>
      </c>
      <c r="K119" s="786">
        <v>0</v>
      </c>
      <c r="L119" s="786">
        <v>0</v>
      </c>
      <c r="M119" s="787">
        <v>0</v>
      </c>
      <c r="N119" s="767"/>
      <c r="O119" s="151"/>
      <c r="P119" s="152"/>
      <c r="Q119" s="153"/>
      <c r="R119" s="154"/>
      <c r="S119" s="151"/>
      <c r="T119" s="807"/>
    </row>
    <row r="120" spans="1:20" s="754" customFormat="1" ht="15" customHeight="1">
      <c r="A120" s="753"/>
      <c r="B120" s="1561"/>
      <c r="C120" s="808" t="s">
        <v>447</v>
      </c>
      <c r="D120" s="809">
        <v>2.6928685928289013</v>
      </c>
      <c r="E120" s="809">
        <v>2.6916890777466405</v>
      </c>
      <c r="F120" s="809">
        <v>2.6943028321096252</v>
      </c>
      <c r="G120" s="809">
        <v>11.616281432091608</v>
      </c>
      <c r="H120" s="810">
        <v>10.126933763466308</v>
      </c>
      <c r="I120" s="811">
        <v>6.3678407228659877</v>
      </c>
      <c r="J120" s="809">
        <v>5.8059242236488746</v>
      </c>
      <c r="K120" s="809">
        <v>5.4853534395530064</v>
      </c>
      <c r="L120" s="809">
        <v>5.1733250167031217</v>
      </c>
      <c r="M120" s="810">
        <v>5.1148452915266009</v>
      </c>
      <c r="N120" s="767"/>
      <c r="O120" s="151">
        <v>8.078860502685167</v>
      </c>
      <c r="P120" s="152">
        <v>21.743215195557916</v>
      </c>
      <c r="Q120" s="153">
        <v>29.822075698243083</v>
      </c>
      <c r="R120" s="154"/>
      <c r="S120" s="151">
        <v>27.94728869429759</v>
      </c>
      <c r="T120" s="807">
        <v>-6.2865744923849901E-2</v>
      </c>
    </row>
    <row r="121" spans="1:20" s="754" customFormat="1" ht="15" customHeight="1">
      <c r="A121" s="753"/>
      <c r="B121" s="1552" t="s">
        <v>448</v>
      </c>
      <c r="C121" s="806" t="s">
        <v>442</v>
      </c>
      <c r="D121" s="783">
        <v>9.9735873808477815E-2</v>
      </c>
      <c r="E121" s="786">
        <v>0.49846094032345195</v>
      </c>
      <c r="F121" s="786">
        <v>0.99788993781837976</v>
      </c>
      <c r="G121" s="786">
        <v>3.4625454268734597</v>
      </c>
      <c r="H121" s="787">
        <v>0.66770991847030603</v>
      </c>
      <c r="I121" s="785">
        <v>0</v>
      </c>
      <c r="J121" s="786">
        <v>0.10367721827944419</v>
      </c>
      <c r="K121" s="786">
        <v>0.41398893883418919</v>
      </c>
      <c r="L121" s="786">
        <v>0</v>
      </c>
      <c r="M121" s="787">
        <v>0.20876919557251436</v>
      </c>
      <c r="N121" s="767"/>
      <c r="O121" s="151">
        <v>1.5960867519503097</v>
      </c>
      <c r="P121" s="152">
        <v>4.130255345343766</v>
      </c>
      <c r="Q121" s="153">
        <v>5.7263420972940757</v>
      </c>
      <c r="R121" s="154"/>
      <c r="S121" s="151">
        <v>0.72643535268614778</v>
      </c>
      <c r="T121" s="807">
        <v>-0.87314146791379843</v>
      </c>
    </row>
    <row r="122" spans="1:20" s="754" customFormat="1" ht="15" customHeight="1">
      <c r="A122" s="753"/>
      <c r="B122" s="1553"/>
      <c r="C122" s="806" t="s">
        <v>443</v>
      </c>
      <c r="D122" s="783">
        <v>0</v>
      </c>
      <c r="E122" s="786">
        <v>0</v>
      </c>
      <c r="F122" s="786">
        <v>0</v>
      </c>
      <c r="G122" s="786">
        <v>0</v>
      </c>
      <c r="H122" s="787">
        <v>0</v>
      </c>
      <c r="I122" s="785">
        <v>1.804221538145363</v>
      </c>
      <c r="J122" s="786">
        <v>5.9096014419283183</v>
      </c>
      <c r="K122" s="786">
        <v>1.9664474594623982</v>
      </c>
      <c r="L122" s="786">
        <v>11.070915535744682</v>
      </c>
      <c r="M122" s="787">
        <v>6.8893834538929735</v>
      </c>
      <c r="N122" s="767"/>
      <c r="O122" s="151">
        <v>0</v>
      </c>
      <c r="P122" s="152">
        <v>0</v>
      </c>
      <c r="Q122" s="153">
        <v>0</v>
      </c>
      <c r="R122" s="154"/>
      <c r="S122" s="151">
        <v>27.640569429173738</v>
      </c>
      <c r="T122" s="807" t="s">
        <v>989</v>
      </c>
    </row>
    <row r="123" spans="1:20" s="754" customFormat="1" ht="15" customHeight="1">
      <c r="A123" s="753"/>
      <c r="B123" s="1553"/>
      <c r="C123" s="806" t="s">
        <v>444</v>
      </c>
      <c r="D123" s="783">
        <v>0</v>
      </c>
      <c r="E123" s="786">
        <v>0</v>
      </c>
      <c r="F123" s="786">
        <v>0</v>
      </c>
      <c r="G123" s="786">
        <v>0</v>
      </c>
      <c r="H123" s="787">
        <v>0.22256997282343535</v>
      </c>
      <c r="I123" s="785">
        <v>0</v>
      </c>
      <c r="J123" s="786">
        <v>0.41470887311777677</v>
      </c>
      <c r="K123" s="786">
        <v>0</v>
      </c>
      <c r="L123" s="786">
        <v>0</v>
      </c>
      <c r="M123" s="787">
        <v>0</v>
      </c>
      <c r="N123" s="767"/>
      <c r="O123" s="151"/>
      <c r="P123" s="152"/>
      <c r="Q123" s="153"/>
      <c r="R123" s="154"/>
      <c r="S123" s="151"/>
      <c r="T123" s="807"/>
    </row>
    <row r="124" spans="1:20" s="754" customFormat="1" ht="15" customHeight="1">
      <c r="A124" s="753"/>
      <c r="B124" s="1553"/>
      <c r="C124" s="806" t="s">
        <v>446</v>
      </c>
      <c r="D124" s="783">
        <v>0</v>
      </c>
      <c r="E124" s="786">
        <v>0</v>
      </c>
      <c r="F124" s="786">
        <v>0</v>
      </c>
      <c r="G124" s="786">
        <v>0</v>
      </c>
      <c r="H124" s="787">
        <v>0</v>
      </c>
      <c r="I124" s="785">
        <v>0</v>
      </c>
      <c r="J124" s="786">
        <v>0</v>
      </c>
      <c r="K124" s="786">
        <v>0</v>
      </c>
      <c r="L124" s="786">
        <v>0</v>
      </c>
      <c r="M124" s="787">
        <v>0</v>
      </c>
      <c r="N124" s="767"/>
      <c r="O124" s="151"/>
      <c r="P124" s="152"/>
      <c r="Q124" s="153"/>
      <c r="R124" s="154"/>
      <c r="S124" s="151"/>
      <c r="T124" s="807"/>
    </row>
    <row r="125" spans="1:20" s="754" customFormat="1" ht="15" customHeight="1">
      <c r="A125" s="753"/>
      <c r="B125" s="1552" t="s">
        <v>449</v>
      </c>
      <c r="C125" s="806" t="s">
        <v>450</v>
      </c>
      <c r="D125" s="783">
        <v>0</v>
      </c>
      <c r="E125" s="786">
        <v>0</v>
      </c>
      <c r="F125" s="786">
        <v>0</v>
      </c>
      <c r="G125" s="786">
        <v>0</v>
      </c>
      <c r="H125" s="787">
        <v>0</v>
      </c>
      <c r="I125" s="785">
        <v>0</v>
      </c>
      <c r="J125" s="786">
        <v>0</v>
      </c>
      <c r="K125" s="786">
        <v>0</v>
      </c>
      <c r="L125" s="786">
        <v>0</v>
      </c>
      <c r="M125" s="787">
        <v>0</v>
      </c>
      <c r="N125" s="767"/>
      <c r="O125" s="151">
        <v>0</v>
      </c>
      <c r="P125" s="152">
        <v>0</v>
      </c>
      <c r="Q125" s="153">
        <v>0</v>
      </c>
      <c r="R125" s="154"/>
      <c r="S125" s="151">
        <v>0</v>
      </c>
      <c r="T125" s="807" t="s">
        <v>989</v>
      </c>
    </row>
    <row r="126" spans="1:20" s="754" customFormat="1" ht="15" customHeight="1">
      <c r="A126" s="753"/>
      <c r="B126" s="1553"/>
      <c r="C126" s="808" t="s">
        <v>451</v>
      </c>
      <c r="D126" s="783">
        <v>0</v>
      </c>
      <c r="E126" s="786">
        <v>0</v>
      </c>
      <c r="F126" s="786">
        <v>0</v>
      </c>
      <c r="G126" s="786">
        <v>0</v>
      </c>
      <c r="H126" s="787">
        <v>0</v>
      </c>
      <c r="I126" s="785">
        <v>0.21226135742886626</v>
      </c>
      <c r="J126" s="786">
        <v>0</v>
      </c>
      <c r="K126" s="786">
        <v>0</v>
      </c>
      <c r="L126" s="786">
        <v>0.10346650033406245</v>
      </c>
      <c r="M126" s="787">
        <v>0.31315379335877147</v>
      </c>
      <c r="N126" s="767"/>
      <c r="O126" s="151">
        <v>0</v>
      </c>
      <c r="P126" s="152">
        <v>0</v>
      </c>
      <c r="Q126" s="153">
        <v>0</v>
      </c>
      <c r="R126" s="154"/>
      <c r="S126" s="151">
        <v>0.62888165112170014</v>
      </c>
      <c r="T126" s="807" t="s">
        <v>989</v>
      </c>
    </row>
    <row r="127" spans="1:20" s="754" customFormat="1" ht="15" customHeight="1">
      <c r="A127" s="753"/>
      <c r="B127" s="1553"/>
      <c r="C127" s="806" t="s">
        <v>444</v>
      </c>
      <c r="D127" s="783">
        <v>0</v>
      </c>
      <c r="E127" s="783">
        <v>0</v>
      </c>
      <c r="F127" s="783">
        <v>0</v>
      </c>
      <c r="G127" s="783">
        <v>0</v>
      </c>
      <c r="H127" s="784">
        <v>0</v>
      </c>
      <c r="I127" s="785">
        <v>0</v>
      </c>
      <c r="J127" s="783">
        <v>0</v>
      </c>
      <c r="K127" s="783">
        <v>0</v>
      </c>
      <c r="L127" s="783">
        <v>0.20693300066812489</v>
      </c>
      <c r="M127" s="784">
        <v>0</v>
      </c>
      <c r="N127" s="767"/>
      <c r="O127" s="151"/>
      <c r="P127" s="152"/>
      <c r="Q127" s="153"/>
      <c r="R127" s="154"/>
      <c r="S127" s="151"/>
      <c r="T127" s="807"/>
    </row>
    <row r="128" spans="1:20" s="754" customFormat="1" ht="15" customHeight="1">
      <c r="A128" s="753"/>
      <c r="B128" s="1553"/>
      <c r="C128" s="806" t="s">
        <v>452</v>
      </c>
      <c r="D128" s="783">
        <v>0</v>
      </c>
      <c r="E128" s="783">
        <v>0</v>
      </c>
      <c r="F128" s="783">
        <v>0</v>
      </c>
      <c r="G128" s="783">
        <v>0</v>
      </c>
      <c r="H128" s="784">
        <v>0</v>
      </c>
      <c r="I128" s="785">
        <v>0</v>
      </c>
      <c r="J128" s="783">
        <v>0</v>
      </c>
      <c r="K128" s="783">
        <v>0</v>
      </c>
      <c r="L128" s="783">
        <v>0.82773200267249958</v>
      </c>
      <c r="M128" s="784">
        <v>0</v>
      </c>
      <c r="N128" s="767"/>
      <c r="O128" s="151"/>
      <c r="P128" s="152"/>
      <c r="Q128" s="153"/>
      <c r="R128" s="154"/>
      <c r="S128" s="151"/>
      <c r="T128" s="807"/>
    </row>
    <row r="129" spans="1:20" s="754" customFormat="1" ht="15" customHeight="1">
      <c r="A129" s="753"/>
      <c r="B129" s="812" t="s">
        <v>453</v>
      </c>
      <c r="C129" s="808" t="s">
        <v>447</v>
      </c>
      <c r="D129" s="809">
        <v>9.9735873808477815E-2</v>
      </c>
      <c r="E129" s="809">
        <v>0.49846094032345195</v>
      </c>
      <c r="F129" s="809">
        <v>0.99788993781837976</v>
      </c>
      <c r="G129" s="809">
        <v>3.4625454268734597</v>
      </c>
      <c r="H129" s="810">
        <v>0.89027989129374141</v>
      </c>
      <c r="I129" s="811">
        <v>2.0164828955742293</v>
      </c>
      <c r="J129" s="809">
        <v>6.4279875333255392</v>
      </c>
      <c r="K129" s="809">
        <v>2.3804363982965873</v>
      </c>
      <c r="L129" s="809">
        <v>12.209047039419369</v>
      </c>
      <c r="M129" s="810">
        <v>7.4113064428242588</v>
      </c>
      <c r="N129" s="767"/>
      <c r="O129" s="151">
        <v>1.5960867519503097</v>
      </c>
      <c r="P129" s="152">
        <v>4.3528253181672012</v>
      </c>
      <c r="Q129" s="153">
        <v>5.9489120701175109</v>
      </c>
      <c r="R129" s="154"/>
      <c r="S129" s="151">
        <v>30.445260309439984</v>
      </c>
      <c r="T129" s="807">
        <v>4.1177862356332637</v>
      </c>
    </row>
    <row r="130" spans="1:20" s="754" customFormat="1" ht="15" customHeight="1">
      <c r="A130" s="753"/>
      <c r="B130" s="1552" t="s">
        <v>454</v>
      </c>
      <c r="C130" s="806" t="s">
        <v>442</v>
      </c>
      <c r="D130" s="783">
        <v>0</v>
      </c>
      <c r="E130" s="786">
        <v>0</v>
      </c>
      <c r="F130" s="786">
        <v>0</v>
      </c>
      <c r="G130" s="786">
        <v>0</v>
      </c>
      <c r="H130" s="787">
        <v>0</v>
      </c>
      <c r="I130" s="785">
        <v>0</v>
      </c>
      <c r="J130" s="786">
        <v>0</v>
      </c>
      <c r="K130" s="786">
        <v>0</v>
      </c>
      <c r="L130" s="786">
        <v>0</v>
      </c>
      <c r="M130" s="787">
        <v>0</v>
      </c>
      <c r="N130" s="767"/>
      <c r="O130" s="151">
        <v>0</v>
      </c>
      <c r="P130" s="152">
        <v>0</v>
      </c>
      <c r="Q130" s="153">
        <v>0</v>
      </c>
      <c r="R130" s="154"/>
      <c r="S130" s="151">
        <v>0</v>
      </c>
      <c r="T130" s="807" t="s">
        <v>989</v>
      </c>
    </row>
    <row r="131" spans="1:20" s="754" customFormat="1" ht="15" customHeight="1">
      <c r="A131" s="753"/>
      <c r="B131" s="1553"/>
      <c r="C131" s="806" t="s">
        <v>443</v>
      </c>
      <c r="D131" s="783">
        <v>0</v>
      </c>
      <c r="E131" s="786">
        <v>0</v>
      </c>
      <c r="F131" s="786">
        <v>0</v>
      </c>
      <c r="G131" s="786">
        <v>0</v>
      </c>
      <c r="H131" s="787">
        <v>0</v>
      </c>
      <c r="I131" s="785">
        <v>0</v>
      </c>
      <c r="J131" s="786">
        <v>0</v>
      </c>
      <c r="K131" s="786">
        <v>0</v>
      </c>
      <c r="L131" s="786">
        <v>0</v>
      </c>
      <c r="M131" s="787">
        <v>0</v>
      </c>
      <c r="N131" s="767"/>
      <c r="O131" s="151">
        <v>0</v>
      </c>
      <c r="P131" s="152">
        <v>0</v>
      </c>
      <c r="Q131" s="153">
        <v>0</v>
      </c>
      <c r="R131" s="154"/>
      <c r="S131" s="151">
        <v>0</v>
      </c>
      <c r="T131" s="807" t="s">
        <v>989</v>
      </c>
    </row>
    <row r="132" spans="1:20" s="754" customFormat="1" ht="15" customHeight="1">
      <c r="A132" s="753"/>
      <c r="B132" s="1553"/>
      <c r="C132" s="806" t="s">
        <v>444</v>
      </c>
      <c r="D132" s="783">
        <v>0</v>
      </c>
      <c r="E132" s="786">
        <v>0</v>
      </c>
      <c r="F132" s="786">
        <v>0</v>
      </c>
      <c r="G132" s="786">
        <v>0</v>
      </c>
      <c r="H132" s="787">
        <v>0</v>
      </c>
      <c r="I132" s="785">
        <v>0</v>
      </c>
      <c r="J132" s="786">
        <v>0</v>
      </c>
      <c r="K132" s="786">
        <v>0</v>
      </c>
      <c r="L132" s="786">
        <v>0</v>
      </c>
      <c r="M132" s="787">
        <v>0</v>
      </c>
      <c r="N132" s="767"/>
      <c r="O132" s="151"/>
      <c r="P132" s="152"/>
      <c r="Q132" s="153"/>
      <c r="R132" s="154"/>
      <c r="S132" s="151"/>
      <c r="T132" s="807"/>
    </row>
    <row r="133" spans="1:20" s="754" customFormat="1" ht="15" customHeight="1">
      <c r="A133" s="753"/>
      <c r="B133" s="1553"/>
      <c r="C133" s="806" t="s">
        <v>446</v>
      </c>
      <c r="D133" s="783">
        <v>0</v>
      </c>
      <c r="E133" s="786">
        <v>0</v>
      </c>
      <c r="F133" s="786">
        <v>0</v>
      </c>
      <c r="G133" s="786">
        <v>0</v>
      </c>
      <c r="H133" s="787">
        <v>0</v>
      </c>
      <c r="I133" s="785">
        <v>0</v>
      </c>
      <c r="J133" s="786">
        <v>0</v>
      </c>
      <c r="K133" s="786">
        <v>0</v>
      </c>
      <c r="L133" s="786">
        <v>0</v>
      </c>
      <c r="M133" s="787">
        <v>0</v>
      </c>
      <c r="N133" s="767"/>
      <c r="O133" s="151"/>
      <c r="P133" s="152"/>
      <c r="Q133" s="153"/>
      <c r="R133" s="154"/>
      <c r="S133" s="151"/>
      <c r="T133" s="807"/>
    </row>
    <row r="134" spans="1:20" s="754" customFormat="1" ht="15" customHeight="1">
      <c r="A134" s="753"/>
      <c r="B134" s="1552" t="s">
        <v>455</v>
      </c>
      <c r="C134" s="806" t="s">
        <v>450</v>
      </c>
      <c r="D134" s="783">
        <v>0</v>
      </c>
      <c r="E134" s="786">
        <v>0</v>
      </c>
      <c r="F134" s="786">
        <v>0</v>
      </c>
      <c r="G134" s="786">
        <v>0</v>
      </c>
      <c r="H134" s="787">
        <v>0</v>
      </c>
      <c r="I134" s="785">
        <v>0</v>
      </c>
      <c r="J134" s="786">
        <v>0</v>
      </c>
      <c r="K134" s="786">
        <v>0</v>
      </c>
      <c r="L134" s="786">
        <v>0</v>
      </c>
      <c r="M134" s="787">
        <v>0</v>
      </c>
      <c r="N134" s="767"/>
      <c r="O134" s="151"/>
      <c r="P134" s="152"/>
      <c r="Q134" s="153"/>
      <c r="R134" s="154"/>
      <c r="S134" s="151"/>
      <c r="T134" s="807"/>
    </row>
    <row r="135" spans="1:20" s="754" customFormat="1" ht="15" customHeight="1">
      <c r="A135" s="753"/>
      <c r="B135" s="1553"/>
      <c r="C135" s="808" t="s">
        <v>451</v>
      </c>
      <c r="D135" s="783">
        <v>0.79788699046782252</v>
      </c>
      <c r="E135" s="786">
        <v>0.89722969258221352</v>
      </c>
      <c r="F135" s="786">
        <v>7.7835415149833613</v>
      </c>
      <c r="G135" s="786">
        <v>8.3771260327583708</v>
      </c>
      <c r="H135" s="787">
        <v>3.7836895379984008</v>
      </c>
      <c r="I135" s="785">
        <v>2.1226135742886623</v>
      </c>
      <c r="J135" s="786">
        <v>0</v>
      </c>
      <c r="K135" s="786">
        <v>0.72448064295983106</v>
      </c>
      <c r="L135" s="786">
        <v>0</v>
      </c>
      <c r="M135" s="787">
        <v>4.3841531070228017</v>
      </c>
      <c r="N135" s="767"/>
      <c r="O135" s="151">
        <v>9.478658198033397</v>
      </c>
      <c r="P135" s="152">
        <v>12.160815570756771</v>
      </c>
      <c r="Q135" s="153">
        <v>21.639473768790172</v>
      </c>
      <c r="R135" s="154"/>
      <c r="S135" s="151">
        <v>7.2312473242712949</v>
      </c>
      <c r="T135" s="807">
        <v>-0.66583072206216676</v>
      </c>
    </row>
    <row r="136" spans="1:20" s="754" customFormat="1" ht="15" customHeight="1">
      <c r="A136" s="753"/>
      <c r="B136" s="1553"/>
      <c r="C136" s="806" t="s">
        <v>444</v>
      </c>
      <c r="D136" s="783">
        <v>0</v>
      </c>
      <c r="E136" s="786">
        <v>0</v>
      </c>
      <c r="F136" s="786">
        <v>0</v>
      </c>
      <c r="G136" s="786">
        <v>0</v>
      </c>
      <c r="H136" s="787">
        <v>3.1159796195280949</v>
      </c>
      <c r="I136" s="785">
        <v>0</v>
      </c>
      <c r="J136" s="786">
        <v>0</v>
      </c>
      <c r="K136" s="786">
        <v>0</v>
      </c>
      <c r="L136" s="786">
        <v>0</v>
      </c>
      <c r="M136" s="787">
        <v>0</v>
      </c>
      <c r="N136" s="767"/>
      <c r="O136" s="151"/>
      <c r="P136" s="152"/>
      <c r="Q136" s="153"/>
      <c r="R136" s="154"/>
      <c r="S136" s="151"/>
      <c r="T136" s="807"/>
    </row>
    <row r="137" spans="1:20" s="754" customFormat="1" ht="15" customHeight="1">
      <c r="A137" s="753"/>
      <c r="B137" s="1553"/>
      <c r="C137" s="806" t="s">
        <v>452</v>
      </c>
      <c r="D137" s="783">
        <v>0</v>
      </c>
      <c r="E137" s="786">
        <v>0</v>
      </c>
      <c r="F137" s="786">
        <v>0</v>
      </c>
      <c r="G137" s="786">
        <v>0</v>
      </c>
      <c r="H137" s="787">
        <v>0</v>
      </c>
      <c r="I137" s="785">
        <v>0.63678407228659872</v>
      </c>
      <c r="J137" s="786">
        <v>0</v>
      </c>
      <c r="K137" s="786">
        <v>0</v>
      </c>
      <c r="L137" s="786">
        <v>0</v>
      </c>
      <c r="M137" s="787">
        <v>0</v>
      </c>
      <c r="N137" s="767"/>
      <c r="O137" s="151">
        <v>0</v>
      </c>
      <c r="P137" s="152">
        <v>0</v>
      </c>
      <c r="Q137" s="153">
        <v>0</v>
      </c>
      <c r="R137" s="154"/>
      <c r="S137" s="151">
        <v>0.63678407228659872</v>
      </c>
      <c r="T137" s="807" t="s">
        <v>989</v>
      </c>
    </row>
    <row r="138" spans="1:20" s="754" customFormat="1" ht="15" customHeight="1" thickBot="1">
      <c r="A138" s="753"/>
      <c r="B138" s="813" t="s">
        <v>456</v>
      </c>
      <c r="C138" s="814" t="s">
        <v>447</v>
      </c>
      <c r="D138" s="815">
        <v>0.79788699046782252</v>
      </c>
      <c r="E138" s="815">
        <v>0.89722969258221352</v>
      </c>
      <c r="F138" s="815">
        <v>7.7835415149833613</v>
      </c>
      <c r="G138" s="815">
        <v>8.3771260327583708</v>
      </c>
      <c r="H138" s="816">
        <v>6.8996691575264961</v>
      </c>
      <c r="I138" s="817">
        <v>2.7593976465752608</v>
      </c>
      <c r="J138" s="815">
        <v>0</v>
      </c>
      <c r="K138" s="815">
        <v>0.72448064295983106</v>
      </c>
      <c r="L138" s="815">
        <v>0</v>
      </c>
      <c r="M138" s="816">
        <v>4.3841531070228017</v>
      </c>
      <c r="N138" s="767"/>
      <c r="O138" s="171">
        <v>9.478658198033397</v>
      </c>
      <c r="P138" s="172">
        <v>15.276795190284867</v>
      </c>
      <c r="Q138" s="173">
        <v>24.755453388318266</v>
      </c>
      <c r="R138" s="154"/>
      <c r="S138" s="171">
        <v>7.8680313965578934</v>
      </c>
      <c r="T138" s="818">
        <v>-0.68216977192303407</v>
      </c>
    </row>
    <row r="139" spans="1:20" s="754" customFormat="1" ht="12.75">
      <c r="A139" s="753"/>
      <c r="B139" s="639"/>
      <c r="C139" s="639"/>
      <c r="D139" s="639"/>
      <c r="E139" s="639"/>
      <c r="F139" s="639"/>
      <c r="G139" s="639"/>
      <c r="H139" s="639"/>
      <c r="I139" s="639"/>
      <c r="J139" s="639"/>
      <c r="K139" s="639"/>
      <c r="L139" s="639"/>
      <c r="M139" s="639"/>
      <c r="N139" s="639"/>
      <c r="O139" s="639"/>
      <c r="P139" s="639"/>
      <c r="Q139" s="639"/>
    </row>
    <row r="140" spans="1:20" s="754" customFormat="1" ht="12.75">
      <c r="A140" s="753"/>
      <c r="B140" s="752" t="s">
        <v>457</v>
      </c>
      <c r="C140" s="639"/>
      <c r="D140" s="639"/>
      <c r="E140" s="639"/>
      <c r="F140" s="639"/>
      <c r="G140" s="639"/>
      <c r="H140" s="639"/>
      <c r="I140" s="639"/>
      <c r="J140" s="639"/>
      <c r="K140" s="639"/>
      <c r="L140" s="639"/>
      <c r="M140" s="639"/>
      <c r="N140" s="639"/>
      <c r="O140" s="639"/>
      <c r="P140" s="639"/>
      <c r="Q140" s="639"/>
    </row>
    <row r="141" spans="1:20" s="754" customFormat="1" ht="13.5" thickBot="1">
      <c r="A141" s="753"/>
      <c r="B141" s="639"/>
      <c r="C141" s="639"/>
      <c r="E141" s="639"/>
      <c r="F141" s="639"/>
      <c r="G141" s="639"/>
      <c r="H141" s="639"/>
      <c r="I141" s="639"/>
      <c r="J141" s="639"/>
      <c r="K141" s="639"/>
      <c r="L141" s="639"/>
      <c r="M141" s="639"/>
      <c r="N141" s="639"/>
      <c r="O141" s="639"/>
      <c r="P141" s="639"/>
      <c r="Q141" s="639"/>
    </row>
    <row r="142" spans="1:20" s="754" customFormat="1" ht="12.75">
      <c r="A142" s="753"/>
      <c r="B142" s="1554" t="s">
        <v>419</v>
      </c>
      <c r="C142" s="1555"/>
      <c r="D142" s="755" t="s">
        <v>420</v>
      </c>
      <c r="E142" s="756"/>
      <c r="F142" s="756"/>
      <c r="G142" s="756"/>
      <c r="H142" s="757"/>
      <c r="I142" s="755" t="s">
        <v>421</v>
      </c>
      <c r="J142" s="756"/>
      <c r="K142" s="756"/>
      <c r="L142" s="756"/>
      <c r="M142" s="757"/>
      <c r="N142" s="639"/>
      <c r="O142" s="570" t="s">
        <v>191</v>
      </c>
      <c r="P142" s="571"/>
      <c r="Q142" s="572"/>
      <c r="R142" s="740"/>
      <c r="S142" s="570" t="s">
        <v>192</v>
      </c>
      <c r="T142" s="572"/>
    </row>
    <row r="143" spans="1:20" s="754" customFormat="1" ht="12.75">
      <c r="A143" s="753"/>
      <c r="B143" s="1556"/>
      <c r="C143" s="1557"/>
      <c r="D143" s="758" t="s">
        <v>79</v>
      </c>
      <c r="E143" s="623" t="s">
        <v>80</v>
      </c>
      <c r="F143" s="623" t="s">
        <v>81</v>
      </c>
      <c r="G143" s="623" t="s">
        <v>82</v>
      </c>
      <c r="H143" s="759" t="s">
        <v>44</v>
      </c>
      <c r="I143" s="758" t="s">
        <v>193</v>
      </c>
      <c r="J143" s="623" t="s">
        <v>194</v>
      </c>
      <c r="K143" s="623" t="s">
        <v>195</v>
      </c>
      <c r="L143" s="623" t="s">
        <v>196</v>
      </c>
      <c r="M143" s="759" t="s">
        <v>440</v>
      </c>
      <c r="N143" s="639"/>
      <c r="O143" s="575" t="s">
        <v>198</v>
      </c>
      <c r="P143" s="576" t="s">
        <v>199</v>
      </c>
      <c r="Q143" s="577" t="s">
        <v>200</v>
      </c>
      <c r="R143" s="740"/>
      <c r="S143" s="575" t="s">
        <v>199</v>
      </c>
      <c r="T143" s="577" t="s">
        <v>201</v>
      </c>
    </row>
    <row r="144" spans="1:20" s="754" customFormat="1" ht="12.75">
      <c r="A144" s="753"/>
      <c r="B144" s="1558"/>
      <c r="C144" s="1559"/>
      <c r="D144" s="758" t="s">
        <v>203</v>
      </c>
      <c r="E144" s="623" t="s">
        <v>203</v>
      </c>
      <c r="F144" s="623" t="s">
        <v>203</v>
      </c>
      <c r="G144" s="623" t="s">
        <v>203</v>
      </c>
      <c r="H144" s="759" t="s">
        <v>203</v>
      </c>
      <c r="I144" s="758" t="s">
        <v>203</v>
      </c>
      <c r="J144" s="623" t="s">
        <v>203</v>
      </c>
      <c r="K144" s="623" t="s">
        <v>203</v>
      </c>
      <c r="L144" s="623" t="s">
        <v>203</v>
      </c>
      <c r="M144" s="759" t="s">
        <v>203</v>
      </c>
      <c r="N144" s="639"/>
      <c r="O144" s="270"/>
      <c r="P144" s="271"/>
      <c r="Q144" s="272"/>
      <c r="R144" s="740"/>
      <c r="S144" s="761"/>
      <c r="T144" s="762"/>
    </row>
    <row r="145" spans="1:20" s="754" customFormat="1" ht="12.75">
      <c r="A145" s="753"/>
      <c r="B145" s="819" t="s">
        <v>458</v>
      </c>
      <c r="C145" s="820" t="s">
        <v>459</v>
      </c>
      <c r="D145" s="821"/>
      <c r="E145" s="639"/>
      <c r="F145" s="639"/>
      <c r="G145" s="639"/>
      <c r="H145" s="822"/>
      <c r="I145" s="823"/>
      <c r="J145" s="639"/>
      <c r="K145" s="639"/>
      <c r="L145" s="639"/>
      <c r="M145" s="822"/>
      <c r="N145" s="639"/>
      <c r="O145" s="823"/>
      <c r="P145" s="639"/>
      <c r="Q145" s="822"/>
      <c r="S145" s="821"/>
      <c r="T145" s="824"/>
    </row>
    <row r="146" spans="1:20" s="754" customFormat="1" ht="12.75">
      <c r="A146" s="753"/>
      <c r="B146" s="823"/>
      <c r="C146" s="825" t="s">
        <v>460</v>
      </c>
      <c r="D146" s="826"/>
      <c r="E146" s="827"/>
      <c r="F146" s="827"/>
      <c r="G146" s="827"/>
      <c r="H146" s="828"/>
      <c r="I146" s="826"/>
      <c r="J146" s="827"/>
      <c r="K146" s="827"/>
      <c r="L146" s="827"/>
      <c r="M146" s="828"/>
      <c r="N146" s="639"/>
      <c r="O146" s="151">
        <f t="shared" ref="O146:O153" si="0">SUM(D146:G146)</f>
        <v>0</v>
      </c>
      <c r="P146" s="152">
        <f t="shared" ref="P146:P153" si="1">H146</f>
        <v>0</v>
      </c>
      <c r="Q146" s="153">
        <f t="shared" ref="Q146:Q153" si="2">SUM(D146:H146)</f>
        <v>0</v>
      </c>
      <c r="R146" s="740"/>
      <c r="S146" s="151">
        <f t="shared" ref="S146:S153" si="3">SUM(I146:M146)</f>
        <v>0</v>
      </c>
      <c r="T146" s="807" t="str">
        <f t="shared" ref="T146:T153" si="4">IF(Q146&lt;&gt;0,(S146-Q146)/Q146,"0")</f>
        <v>0</v>
      </c>
    </row>
    <row r="147" spans="1:20" s="754" customFormat="1" ht="12.75">
      <c r="A147" s="753"/>
      <c r="B147" s="823"/>
      <c r="C147" s="825" t="s">
        <v>461</v>
      </c>
      <c r="D147" s="627"/>
      <c r="E147" s="628"/>
      <c r="F147" s="628"/>
      <c r="G147" s="628"/>
      <c r="H147" s="629"/>
      <c r="I147" s="627"/>
      <c r="J147" s="628"/>
      <c r="K147" s="628"/>
      <c r="L147" s="628"/>
      <c r="M147" s="629"/>
      <c r="N147" s="639"/>
      <c r="O147" s="151">
        <f t="shared" si="0"/>
        <v>0</v>
      </c>
      <c r="P147" s="152">
        <f t="shared" si="1"/>
        <v>0</v>
      </c>
      <c r="Q147" s="153">
        <f t="shared" si="2"/>
        <v>0</v>
      </c>
      <c r="R147" s="740"/>
      <c r="S147" s="151">
        <f t="shared" si="3"/>
        <v>0</v>
      </c>
      <c r="T147" s="807" t="str">
        <f t="shared" si="4"/>
        <v>0</v>
      </c>
    </row>
    <row r="148" spans="1:20" s="754" customFormat="1" ht="12.75">
      <c r="A148" s="753"/>
      <c r="B148" s="823"/>
      <c r="C148" s="829"/>
      <c r="D148" s="627"/>
      <c r="E148" s="628"/>
      <c r="F148" s="628"/>
      <c r="G148" s="628"/>
      <c r="H148" s="629"/>
      <c r="I148" s="627"/>
      <c r="J148" s="628"/>
      <c r="K148" s="628"/>
      <c r="L148" s="628"/>
      <c r="M148" s="629"/>
      <c r="N148" s="639"/>
      <c r="O148" s="151">
        <f t="shared" si="0"/>
        <v>0</v>
      </c>
      <c r="P148" s="152">
        <f t="shared" si="1"/>
        <v>0</v>
      </c>
      <c r="Q148" s="153">
        <f t="shared" si="2"/>
        <v>0</v>
      </c>
      <c r="R148" s="740"/>
      <c r="S148" s="151">
        <f t="shared" si="3"/>
        <v>0</v>
      </c>
      <c r="T148" s="807" t="str">
        <f t="shared" si="4"/>
        <v>0</v>
      </c>
    </row>
    <row r="149" spans="1:20" s="754" customFormat="1" ht="12.75">
      <c r="A149" s="753"/>
      <c r="B149" s="823"/>
      <c r="C149" s="820"/>
      <c r="D149" s="821"/>
      <c r="E149" s="639"/>
      <c r="F149" s="639"/>
      <c r="G149" s="639"/>
      <c r="H149" s="822"/>
      <c r="I149" s="823"/>
      <c r="J149" s="639"/>
      <c r="K149" s="639"/>
      <c r="L149" s="639"/>
      <c r="M149" s="822"/>
      <c r="N149" s="639"/>
      <c r="O149" s="156"/>
      <c r="P149" s="159"/>
      <c r="Q149" s="158"/>
      <c r="R149" s="830"/>
      <c r="S149" s="156"/>
      <c r="T149" s="831"/>
    </row>
    <row r="150" spans="1:20" s="754" customFormat="1" ht="12.75">
      <c r="A150" s="753"/>
      <c r="B150" s="823"/>
      <c r="C150" s="820" t="s">
        <v>462</v>
      </c>
      <c r="D150" s="821"/>
      <c r="E150" s="639"/>
      <c r="F150" s="639"/>
      <c r="G150" s="639"/>
      <c r="H150" s="822"/>
      <c r="I150" s="823"/>
      <c r="J150" s="639"/>
      <c r="K150" s="639"/>
      <c r="L150" s="639"/>
      <c r="M150" s="822"/>
      <c r="N150" s="639"/>
      <c r="O150" s="156"/>
      <c r="P150" s="159"/>
      <c r="Q150" s="158"/>
      <c r="R150" s="830"/>
      <c r="S150" s="156"/>
      <c r="T150" s="831"/>
    </row>
    <row r="151" spans="1:20" s="754" customFormat="1" ht="12.75">
      <c r="A151" s="753"/>
      <c r="B151" s="823"/>
      <c r="C151" s="825" t="s">
        <v>460</v>
      </c>
      <c r="D151" s="826"/>
      <c r="E151" s="827"/>
      <c r="F151" s="827"/>
      <c r="G151" s="827"/>
      <c r="H151" s="828"/>
      <c r="I151" s="826"/>
      <c r="J151" s="827"/>
      <c r="K151" s="827"/>
      <c r="L151" s="827"/>
      <c r="M151" s="828"/>
      <c r="N151" s="639"/>
      <c r="O151" s="151">
        <f t="shared" si="0"/>
        <v>0</v>
      </c>
      <c r="P151" s="152">
        <f t="shared" si="1"/>
        <v>0</v>
      </c>
      <c r="Q151" s="153">
        <f t="shared" si="2"/>
        <v>0</v>
      </c>
      <c r="R151" s="740"/>
      <c r="S151" s="151">
        <f t="shared" si="3"/>
        <v>0</v>
      </c>
      <c r="T151" s="807" t="str">
        <f t="shared" si="4"/>
        <v>0</v>
      </c>
    </row>
    <row r="152" spans="1:20" s="754" customFormat="1" ht="12.75">
      <c r="A152" s="753"/>
      <c r="B152" s="823"/>
      <c r="C152" s="825" t="s">
        <v>461</v>
      </c>
      <c r="D152" s="627"/>
      <c r="E152" s="628"/>
      <c r="F152" s="628"/>
      <c r="G152" s="628"/>
      <c r="H152" s="629"/>
      <c r="I152" s="627"/>
      <c r="J152" s="628"/>
      <c r="K152" s="628"/>
      <c r="L152" s="628"/>
      <c r="M152" s="629"/>
      <c r="N152" s="639"/>
      <c r="O152" s="151">
        <f t="shared" si="0"/>
        <v>0</v>
      </c>
      <c r="P152" s="152">
        <f t="shared" si="1"/>
        <v>0</v>
      </c>
      <c r="Q152" s="153">
        <f t="shared" si="2"/>
        <v>0</v>
      </c>
      <c r="R152" s="740"/>
      <c r="S152" s="151">
        <f t="shared" si="3"/>
        <v>0</v>
      </c>
      <c r="T152" s="807" t="str">
        <f t="shared" si="4"/>
        <v>0</v>
      </c>
    </row>
    <row r="153" spans="1:20" s="754" customFormat="1" ht="13.5" thickBot="1">
      <c r="A153" s="753"/>
      <c r="B153" s="832"/>
      <c r="C153" s="833"/>
      <c r="D153" s="648"/>
      <c r="E153" s="649"/>
      <c r="F153" s="649"/>
      <c r="G153" s="649"/>
      <c r="H153" s="834"/>
      <c r="I153" s="648"/>
      <c r="J153" s="649"/>
      <c r="K153" s="649"/>
      <c r="L153" s="649"/>
      <c r="M153" s="834"/>
      <c r="N153" s="639"/>
      <c r="O153" s="171">
        <f t="shared" si="0"/>
        <v>0</v>
      </c>
      <c r="P153" s="172">
        <f t="shared" si="1"/>
        <v>0</v>
      </c>
      <c r="Q153" s="173">
        <f t="shared" si="2"/>
        <v>0</v>
      </c>
      <c r="R153" s="740"/>
      <c r="S153" s="171">
        <f t="shared" si="3"/>
        <v>0</v>
      </c>
      <c r="T153" s="818" t="str">
        <f t="shared" si="4"/>
        <v>0</v>
      </c>
    </row>
    <row r="154" spans="1:20" s="754" customFormat="1" ht="12.75">
      <c r="A154" s="753"/>
      <c r="B154" s="639"/>
      <c r="E154" s="639"/>
      <c r="F154" s="639"/>
      <c r="G154" s="639"/>
      <c r="H154" s="639"/>
      <c r="I154" s="639"/>
      <c r="J154" s="639"/>
      <c r="K154" s="639"/>
      <c r="L154" s="639"/>
      <c r="M154" s="639"/>
      <c r="N154" s="639"/>
      <c r="O154" s="639"/>
      <c r="P154" s="639"/>
      <c r="Q154" s="639"/>
    </row>
    <row r="155" spans="1:20" s="754" customFormat="1" ht="12.75">
      <c r="A155" s="753"/>
      <c r="B155" s="639"/>
      <c r="C155" s="639"/>
      <c r="E155" s="639"/>
      <c r="F155" s="639"/>
      <c r="G155" s="639"/>
      <c r="H155" s="639"/>
      <c r="I155" s="639"/>
      <c r="J155" s="639"/>
      <c r="K155" s="639"/>
      <c r="L155" s="639"/>
      <c r="M155" s="639"/>
      <c r="N155" s="639"/>
      <c r="O155" s="639"/>
      <c r="P155" s="639"/>
      <c r="Q155" s="639"/>
    </row>
    <row r="156" spans="1:20" s="754" customFormat="1" ht="12.75">
      <c r="A156" s="753"/>
      <c r="B156" s="639"/>
      <c r="C156" s="639"/>
      <c r="E156" s="639"/>
      <c r="F156" s="639"/>
      <c r="G156" s="639"/>
      <c r="H156" s="639"/>
      <c r="I156" s="639"/>
      <c r="J156" s="639"/>
      <c r="K156" s="639"/>
      <c r="L156" s="639"/>
      <c r="M156" s="639"/>
      <c r="N156" s="639"/>
      <c r="O156" s="639"/>
      <c r="P156" s="639"/>
      <c r="Q156" s="639"/>
    </row>
    <row r="157" spans="1:20" s="754" customFormat="1" ht="12.75">
      <c r="A157" s="753"/>
      <c r="B157" s="639"/>
      <c r="C157" s="639"/>
      <c r="E157" s="639"/>
      <c r="F157" s="639"/>
      <c r="G157" s="639"/>
      <c r="H157" s="639"/>
      <c r="I157" s="639"/>
      <c r="J157" s="639"/>
      <c r="K157" s="639"/>
      <c r="L157" s="639"/>
      <c r="M157" s="639"/>
      <c r="N157" s="639"/>
      <c r="O157" s="639"/>
      <c r="P157" s="639"/>
      <c r="Q157" s="639"/>
    </row>
    <row r="158" spans="1:20" s="754" customFormat="1" ht="12.75">
      <c r="A158" s="753"/>
      <c r="B158" s="639"/>
      <c r="C158" s="639"/>
      <c r="E158" s="639"/>
      <c r="F158" s="639"/>
      <c r="G158" s="639"/>
      <c r="H158" s="639"/>
      <c r="I158" s="639"/>
      <c r="J158" s="639"/>
      <c r="K158" s="639"/>
      <c r="L158" s="639"/>
      <c r="M158" s="639"/>
      <c r="N158" s="639"/>
      <c r="O158" s="639"/>
      <c r="P158" s="639"/>
      <c r="Q158" s="639"/>
    </row>
    <row r="159" spans="1:20" s="754" customFormat="1" ht="12.75">
      <c r="A159" s="753"/>
      <c r="B159" s="639"/>
      <c r="C159" s="639"/>
      <c r="E159" s="639"/>
      <c r="F159" s="639"/>
      <c r="G159" s="639"/>
      <c r="H159" s="639"/>
      <c r="I159" s="639"/>
      <c r="J159" s="639"/>
      <c r="K159" s="639"/>
      <c r="L159" s="639"/>
      <c r="M159" s="639"/>
      <c r="N159" s="639"/>
      <c r="O159" s="639"/>
      <c r="P159" s="639"/>
      <c r="Q159" s="639"/>
    </row>
    <row r="160" spans="1:20" s="754" customFormat="1" ht="12.75">
      <c r="A160" s="753"/>
      <c r="B160" s="639"/>
      <c r="C160" s="639"/>
      <c r="E160" s="639"/>
      <c r="F160" s="639"/>
      <c r="G160" s="639"/>
      <c r="H160" s="639"/>
      <c r="I160" s="639"/>
      <c r="J160" s="639"/>
      <c r="K160" s="639"/>
      <c r="L160" s="639"/>
      <c r="M160" s="639"/>
      <c r="N160" s="639"/>
      <c r="O160" s="639"/>
      <c r="P160" s="639"/>
      <c r="Q160" s="639"/>
    </row>
    <row r="161" spans="1:17" s="754" customFormat="1" ht="12.75">
      <c r="A161" s="753"/>
      <c r="B161" s="639"/>
      <c r="C161" s="639"/>
      <c r="E161" s="639"/>
      <c r="F161" s="639"/>
      <c r="G161" s="639"/>
      <c r="H161" s="639"/>
      <c r="I161" s="639"/>
      <c r="J161" s="639"/>
      <c r="K161" s="639"/>
      <c r="L161" s="639"/>
      <c r="M161" s="639"/>
      <c r="N161" s="639"/>
      <c r="O161" s="639"/>
      <c r="P161" s="639"/>
      <c r="Q161" s="639"/>
    </row>
    <row r="162" spans="1:17" s="754" customFormat="1" ht="12.75">
      <c r="A162" s="753"/>
      <c r="B162" s="639"/>
      <c r="C162" s="639"/>
      <c r="E162" s="639"/>
      <c r="F162" s="639"/>
      <c r="G162" s="639"/>
      <c r="H162" s="639"/>
      <c r="I162" s="639"/>
      <c r="J162" s="639"/>
      <c r="K162" s="639"/>
      <c r="L162" s="639"/>
      <c r="M162" s="639"/>
      <c r="N162" s="639"/>
      <c r="O162" s="639"/>
      <c r="P162" s="639"/>
      <c r="Q162" s="639"/>
    </row>
    <row r="163" spans="1:17" s="754" customFormat="1" ht="12.75">
      <c r="A163" s="753"/>
      <c r="B163" s="639"/>
      <c r="C163" s="639"/>
      <c r="E163" s="639"/>
      <c r="F163" s="639"/>
      <c r="G163" s="639"/>
      <c r="H163" s="639"/>
      <c r="I163" s="639"/>
      <c r="J163" s="639"/>
      <c r="K163" s="639"/>
      <c r="L163" s="639"/>
      <c r="M163" s="639"/>
      <c r="N163" s="639"/>
      <c r="O163" s="639"/>
      <c r="P163" s="639"/>
      <c r="Q163" s="639"/>
    </row>
    <row r="164" spans="1:17" s="754" customFormat="1" ht="12.75">
      <c r="A164" s="753"/>
      <c r="B164" s="639"/>
      <c r="C164" s="639"/>
      <c r="E164" s="639"/>
      <c r="F164" s="639"/>
      <c r="G164" s="639"/>
      <c r="H164" s="639"/>
      <c r="I164" s="639"/>
      <c r="J164" s="639"/>
      <c r="K164" s="639"/>
      <c r="L164" s="639"/>
      <c r="M164" s="639"/>
      <c r="N164" s="639"/>
      <c r="O164" s="639"/>
      <c r="P164" s="639"/>
      <c r="Q164" s="639"/>
    </row>
    <row r="165" spans="1:17" s="754" customFormat="1" ht="12.75">
      <c r="A165" s="753"/>
      <c r="B165" s="639"/>
      <c r="C165" s="639"/>
      <c r="E165" s="639"/>
      <c r="F165" s="639"/>
      <c r="G165" s="639"/>
      <c r="H165" s="639"/>
      <c r="I165" s="639"/>
      <c r="J165" s="639"/>
      <c r="K165" s="639"/>
      <c r="L165" s="639"/>
      <c r="M165" s="639"/>
      <c r="N165" s="639"/>
      <c r="O165" s="639"/>
      <c r="P165" s="639"/>
      <c r="Q165" s="639"/>
    </row>
    <row r="166" spans="1:17" s="754" customFormat="1" ht="12.75">
      <c r="A166" s="753"/>
      <c r="B166" s="639"/>
      <c r="C166" s="639"/>
      <c r="E166" s="639"/>
      <c r="F166" s="639"/>
      <c r="G166" s="639"/>
      <c r="H166" s="639"/>
      <c r="I166" s="639"/>
      <c r="J166" s="639"/>
      <c r="K166" s="639"/>
      <c r="L166" s="639"/>
      <c r="M166" s="639"/>
      <c r="N166" s="639"/>
      <c r="O166" s="639"/>
      <c r="P166" s="639"/>
      <c r="Q166" s="639"/>
    </row>
    <row r="167" spans="1:17" s="754" customFormat="1" ht="12.75">
      <c r="A167" s="753"/>
      <c r="B167" s="639"/>
      <c r="C167" s="639"/>
      <c r="E167" s="639"/>
      <c r="F167" s="639"/>
      <c r="G167" s="639"/>
      <c r="H167" s="639"/>
      <c r="I167" s="639"/>
      <c r="J167" s="639"/>
      <c r="K167" s="639"/>
      <c r="L167" s="639"/>
      <c r="M167" s="639"/>
      <c r="N167" s="639"/>
      <c r="O167" s="639"/>
      <c r="P167" s="639"/>
      <c r="Q167" s="639"/>
    </row>
    <row r="168" spans="1:17" s="754" customFormat="1" ht="12.75">
      <c r="A168" s="753"/>
      <c r="B168" s="639"/>
      <c r="C168" s="639"/>
      <c r="E168" s="639"/>
      <c r="F168" s="639"/>
      <c r="G168" s="639"/>
      <c r="H168" s="639"/>
      <c r="I168" s="639"/>
      <c r="J168" s="639"/>
      <c r="K168" s="639"/>
      <c r="L168" s="639"/>
      <c r="M168" s="639"/>
      <c r="N168" s="639"/>
      <c r="O168" s="639"/>
      <c r="P168" s="639"/>
      <c r="Q168" s="639"/>
    </row>
    <row r="169" spans="1:17" s="754" customFormat="1" ht="12.75">
      <c r="A169" s="753"/>
      <c r="B169" s="639"/>
      <c r="C169" s="639"/>
      <c r="E169" s="639"/>
      <c r="F169" s="639"/>
      <c r="G169" s="639"/>
      <c r="H169" s="639"/>
      <c r="I169" s="639"/>
      <c r="J169" s="639"/>
      <c r="K169" s="639"/>
      <c r="L169" s="639"/>
      <c r="M169" s="639"/>
      <c r="N169" s="639"/>
      <c r="O169" s="639"/>
      <c r="P169" s="639"/>
      <c r="Q169" s="639"/>
    </row>
    <row r="170" spans="1:17" s="754" customFormat="1" ht="12.75">
      <c r="A170" s="753"/>
      <c r="B170" s="639"/>
      <c r="C170" s="639"/>
      <c r="E170" s="639"/>
      <c r="F170" s="639"/>
      <c r="G170" s="639"/>
      <c r="H170" s="639"/>
      <c r="I170" s="639"/>
      <c r="J170" s="639"/>
      <c r="K170" s="639"/>
      <c r="L170" s="639"/>
      <c r="M170" s="639"/>
      <c r="N170" s="639"/>
      <c r="O170" s="639"/>
      <c r="P170" s="639"/>
      <c r="Q170" s="639"/>
    </row>
    <row r="171" spans="1:17" s="754" customFormat="1" ht="12.75">
      <c r="A171" s="753"/>
      <c r="B171" s="639"/>
      <c r="C171" s="639"/>
      <c r="E171" s="639"/>
      <c r="F171" s="639"/>
      <c r="G171" s="639"/>
      <c r="H171" s="639"/>
      <c r="I171" s="639"/>
      <c r="J171" s="639"/>
      <c r="K171" s="639"/>
      <c r="L171" s="639"/>
      <c r="M171" s="639"/>
      <c r="N171" s="639"/>
      <c r="O171" s="639"/>
      <c r="P171" s="639"/>
      <c r="Q171" s="639"/>
    </row>
    <row r="172" spans="1:17" s="754" customFormat="1" ht="12.75">
      <c r="A172" s="753"/>
      <c r="B172" s="639"/>
      <c r="C172" s="639"/>
      <c r="E172" s="639"/>
      <c r="F172" s="639"/>
      <c r="G172" s="639"/>
      <c r="H172" s="639"/>
      <c r="I172" s="639"/>
      <c r="J172" s="639"/>
      <c r="K172" s="639"/>
      <c r="L172" s="639"/>
      <c r="M172" s="639"/>
      <c r="N172" s="639"/>
      <c r="O172" s="639"/>
      <c r="P172" s="639"/>
      <c r="Q172" s="639"/>
    </row>
    <row r="173" spans="1:17" s="754" customFormat="1" ht="12.75">
      <c r="A173" s="753"/>
      <c r="B173" s="639"/>
      <c r="C173" s="639"/>
      <c r="E173" s="639"/>
      <c r="F173" s="639"/>
      <c r="G173" s="639"/>
      <c r="H173" s="639"/>
      <c r="I173" s="639"/>
      <c r="J173" s="639"/>
      <c r="K173" s="639"/>
      <c r="L173" s="639"/>
      <c r="M173" s="639"/>
      <c r="N173" s="639"/>
      <c r="O173" s="639"/>
      <c r="P173" s="639"/>
      <c r="Q173" s="639"/>
    </row>
    <row r="174" spans="1:17" s="754" customFormat="1" ht="12.75">
      <c r="A174" s="753"/>
      <c r="B174" s="639"/>
      <c r="C174" s="639"/>
      <c r="E174" s="639"/>
      <c r="F174" s="639"/>
      <c r="G174" s="639"/>
      <c r="H174" s="639"/>
      <c r="I174" s="639"/>
      <c r="J174" s="639"/>
      <c r="K174" s="639"/>
      <c r="L174" s="639"/>
      <c r="M174" s="639"/>
      <c r="N174" s="639"/>
      <c r="O174" s="639"/>
      <c r="P174" s="639"/>
      <c r="Q174" s="639"/>
    </row>
    <row r="175" spans="1:17" s="754" customFormat="1" ht="12.75">
      <c r="A175" s="753"/>
      <c r="B175" s="639"/>
      <c r="C175" s="639"/>
      <c r="E175" s="639"/>
      <c r="F175" s="639"/>
      <c r="G175" s="639"/>
      <c r="H175" s="639"/>
      <c r="I175" s="639"/>
      <c r="J175" s="639"/>
      <c r="K175" s="639"/>
      <c r="L175" s="639"/>
      <c r="M175" s="639"/>
      <c r="N175" s="639"/>
      <c r="O175" s="639"/>
      <c r="P175" s="639"/>
      <c r="Q175" s="639"/>
    </row>
    <row r="176" spans="1:17" s="754" customFormat="1" ht="12.75">
      <c r="A176" s="753"/>
      <c r="B176" s="639"/>
      <c r="C176" s="639"/>
      <c r="E176" s="639"/>
      <c r="F176" s="639"/>
      <c r="G176" s="639"/>
      <c r="H176" s="639"/>
      <c r="I176" s="639"/>
      <c r="J176" s="639"/>
      <c r="K176" s="639"/>
      <c r="L176" s="639"/>
      <c r="M176" s="639"/>
      <c r="N176" s="639"/>
      <c r="O176" s="639"/>
      <c r="P176" s="639"/>
      <c r="Q176" s="639"/>
    </row>
    <row r="177" spans="1:23" s="754" customFormat="1" ht="12.75">
      <c r="A177" s="753"/>
      <c r="B177" s="639"/>
      <c r="C177" s="639"/>
      <c r="E177" s="639"/>
      <c r="F177" s="639"/>
      <c r="G177" s="639"/>
      <c r="H177" s="639"/>
      <c r="I177" s="639"/>
      <c r="J177" s="639"/>
      <c r="K177" s="639"/>
      <c r="L177" s="639"/>
      <c r="M177" s="639"/>
      <c r="N177" s="639"/>
      <c r="O177" s="639"/>
      <c r="P177" s="639"/>
      <c r="Q177" s="639"/>
    </row>
    <row r="178" spans="1:23" s="754" customFormat="1" ht="12.75">
      <c r="A178" s="753"/>
      <c r="B178" s="639"/>
      <c r="C178" s="639"/>
      <c r="E178" s="639"/>
      <c r="F178" s="639"/>
      <c r="G178" s="639"/>
      <c r="H178" s="639"/>
      <c r="I178" s="639"/>
      <c r="J178" s="639"/>
      <c r="K178" s="639"/>
      <c r="L178" s="639"/>
      <c r="M178" s="639"/>
      <c r="N178" s="639"/>
      <c r="O178" s="639"/>
      <c r="P178" s="639"/>
      <c r="Q178" s="639"/>
    </row>
    <row r="179" spans="1:23" s="754" customFormat="1" ht="12.75">
      <c r="A179" s="753"/>
      <c r="B179" s="639"/>
      <c r="C179" s="639"/>
      <c r="E179" s="639"/>
      <c r="F179" s="639"/>
      <c r="G179" s="639"/>
      <c r="H179" s="639"/>
      <c r="I179" s="639"/>
      <c r="J179" s="639"/>
      <c r="K179" s="639"/>
      <c r="L179" s="639"/>
      <c r="M179" s="639"/>
      <c r="N179" s="639"/>
      <c r="O179" s="639"/>
      <c r="P179" s="639"/>
      <c r="Q179" s="639"/>
    </row>
    <row r="180" spans="1:23" s="754" customFormat="1" ht="12.75">
      <c r="A180" s="753"/>
      <c r="B180" s="639"/>
      <c r="C180" s="639"/>
      <c r="E180" s="639"/>
      <c r="F180" s="639"/>
      <c r="G180" s="639"/>
      <c r="H180" s="639"/>
      <c r="I180" s="639"/>
      <c r="J180" s="639"/>
      <c r="K180" s="639"/>
      <c r="L180" s="639"/>
      <c r="M180" s="639"/>
      <c r="N180" s="639"/>
      <c r="O180" s="639"/>
      <c r="P180" s="639"/>
      <c r="Q180" s="639"/>
    </row>
    <row r="181" spans="1:23" s="754" customFormat="1" ht="12.75">
      <c r="A181" s="753"/>
      <c r="B181" s="639"/>
      <c r="C181" s="639"/>
      <c r="E181" s="639"/>
      <c r="F181" s="639"/>
      <c r="G181" s="639"/>
      <c r="H181" s="639"/>
      <c r="I181" s="639"/>
      <c r="J181" s="639"/>
      <c r="K181" s="639"/>
      <c r="L181" s="639"/>
      <c r="M181" s="639"/>
      <c r="N181" s="639"/>
      <c r="O181" s="639"/>
      <c r="P181" s="639"/>
      <c r="Q181" s="639"/>
    </row>
    <row r="182" spans="1:23" s="754" customFormat="1" ht="12.75">
      <c r="A182" s="753"/>
      <c r="B182" s="639"/>
      <c r="C182" s="639"/>
      <c r="E182" s="639"/>
      <c r="F182" s="639"/>
      <c r="G182" s="639"/>
      <c r="H182" s="639"/>
      <c r="I182" s="639"/>
      <c r="J182" s="639"/>
      <c r="K182" s="639"/>
      <c r="L182" s="639"/>
      <c r="M182" s="639"/>
      <c r="N182" s="639"/>
      <c r="O182" s="639"/>
      <c r="P182" s="639"/>
      <c r="Q182" s="639"/>
    </row>
    <row r="183" spans="1:23" s="754" customFormat="1" ht="12.75">
      <c r="A183" s="753"/>
      <c r="B183" s="639"/>
      <c r="C183" s="639"/>
      <c r="E183" s="639"/>
      <c r="F183" s="639"/>
      <c r="G183" s="639"/>
      <c r="H183" s="639"/>
      <c r="I183" s="639"/>
      <c r="J183" s="639"/>
      <c r="K183" s="639"/>
      <c r="L183" s="639"/>
      <c r="M183" s="639"/>
      <c r="N183" s="639"/>
      <c r="O183" s="639"/>
      <c r="P183" s="639"/>
      <c r="Q183" s="639"/>
    </row>
    <row r="184" spans="1:23">
      <c r="B184" s="836"/>
      <c r="C184" s="836"/>
      <c r="E184" s="836"/>
      <c r="F184" s="836"/>
      <c r="G184" s="836"/>
      <c r="H184" s="836"/>
      <c r="I184" s="836"/>
      <c r="J184" s="836"/>
      <c r="K184" s="836"/>
      <c r="L184" s="836"/>
      <c r="M184" s="836"/>
      <c r="N184" s="836"/>
      <c r="O184" s="836"/>
      <c r="P184" s="836"/>
      <c r="Q184" s="836"/>
      <c r="R184" s="837"/>
      <c r="S184" s="837"/>
      <c r="T184" s="837"/>
      <c r="U184" s="837"/>
      <c r="V184" s="837"/>
      <c r="W184" s="837"/>
    </row>
    <row r="185" spans="1:23">
      <c r="B185" s="836"/>
      <c r="C185" s="836"/>
      <c r="E185" s="836"/>
      <c r="F185" s="836"/>
      <c r="G185" s="836"/>
      <c r="H185" s="836"/>
      <c r="I185" s="836"/>
      <c r="J185" s="836"/>
      <c r="K185" s="836"/>
      <c r="L185" s="836"/>
      <c r="M185" s="836"/>
    </row>
    <row r="186" spans="1:23">
      <c r="B186" s="836"/>
      <c r="C186" s="836"/>
      <c r="E186" s="836"/>
      <c r="F186" s="836"/>
      <c r="G186" s="836"/>
      <c r="H186" s="836"/>
      <c r="I186" s="836"/>
      <c r="J186" s="836"/>
      <c r="K186" s="836"/>
      <c r="L186" s="836"/>
      <c r="M186" s="836"/>
    </row>
    <row r="187" spans="1:23">
      <c r="B187" s="836"/>
      <c r="C187" s="836"/>
      <c r="E187" s="836"/>
      <c r="F187" s="836"/>
      <c r="G187" s="836"/>
      <c r="H187" s="836"/>
      <c r="I187" s="836"/>
      <c r="J187" s="836"/>
      <c r="K187" s="836"/>
      <c r="L187" s="836"/>
      <c r="M187" s="836"/>
    </row>
  </sheetData>
  <mergeCells count="32">
    <mergeCell ref="B47:B49"/>
    <mergeCell ref="B7:C9"/>
    <mergeCell ref="B10:B11"/>
    <mergeCell ref="B12:B13"/>
    <mergeCell ref="B14:B16"/>
    <mergeCell ref="B17:B22"/>
    <mergeCell ref="B23:B28"/>
    <mergeCell ref="B29:B34"/>
    <mergeCell ref="B35:C35"/>
    <mergeCell ref="B40:C42"/>
    <mergeCell ref="B43:B44"/>
    <mergeCell ref="B45:B46"/>
    <mergeCell ref="B101:C101"/>
    <mergeCell ref="B50:B55"/>
    <mergeCell ref="B56:B61"/>
    <mergeCell ref="B62:B67"/>
    <mergeCell ref="B68:C68"/>
    <mergeCell ref="B73:C75"/>
    <mergeCell ref="B76:B77"/>
    <mergeCell ref="B78:B79"/>
    <mergeCell ref="B80:B82"/>
    <mergeCell ref="B83:B88"/>
    <mergeCell ref="B89:B94"/>
    <mergeCell ref="B95:B100"/>
    <mergeCell ref="B134:B137"/>
    <mergeCell ref="B142:C144"/>
    <mergeCell ref="B106:C108"/>
    <mergeCell ref="B109:B114"/>
    <mergeCell ref="B115:B120"/>
    <mergeCell ref="B121:B124"/>
    <mergeCell ref="B125:B128"/>
    <mergeCell ref="B130:B133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Wornell, Dave I.</cp:lastModifiedBy>
  <cp:lastPrinted>2015-11-26T20:46:23Z</cp:lastPrinted>
  <dcterms:created xsi:type="dcterms:W3CDTF">2014-06-02T13:43:59Z</dcterms:created>
  <dcterms:modified xsi:type="dcterms:W3CDTF">2015-12-14T10:35:46Z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