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0" windowWidth="19440" windowHeight="15600" tabRatio="913" firstSheet="16" activeTab="24"/>
  </bookViews>
  <sheets>
    <sheet name="Index" sheetId="37" r:id="rId1"/>
    <sheet name="Inputs" sheetId="26" r:id="rId2"/>
    <sheet name="Allowed revenue -DPCR4" sheetId="20" r:id="rId3"/>
    <sheet name="FBPQ T4" sheetId="14" r:id="rId4"/>
    <sheet name="FBPQ LR1" sheetId="11" r:id="rId5"/>
    <sheet name="FBPQ LR1 - V5 opt3" sheetId="27" r:id="rId6"/>
    <sheet name="FBPQ LR4" sheetId="10" r:id="rId7"/>
    <sheet name="FBPQ LR6" sheetId="9" r:id="rId8"/>
    <sheet name="FBPQ NL1" sheetId="6" r:id="rId9"/>
    <sheet name="NL9 - Legal &amp; Safety" sheetId="28" r:id="rId10"/>
    <sheet name="FBPQ C2" sheetId="15" r:id="rId11"/>
    <sheet name="RRP 1.3" sheetId="18" r:id="rId12"/>
    <sheet name="RRP 2.3" sheetId="4" r:id="rId13"/>
    <sheet name="RRP 2.4" sheetId="3" r:id="rId14"/>
    <sheet name="RRP 2.6" sheetId="2" r:id="rId15"/>
    <sheet name="RRP 5.1" sheetId="1" r:id="rId16"/>
    <sheet name="Summary of revenue" sheetId="21" r:id="rId17"/>
    <sheet name="Calc-MEAV" sheetId="16" r:id="rId18"/>
    <sheet name="Calc-Units" sheetId="19" r:id="rId19"/>
    <sheet name="Calc-Net capex" sheetId="12" r:id="rId20"/>
    <sheet name="Calc DNO Opex Allocation" sheetId="13" r:id="rId21"/>
    <sheet name="Calc-Drivers" sheetId="7" r:id="rId22"/>
    <sheet name="DNO Final Allocation" sheetId="17" r:id="rId23"/>
    <sheet name="Allocation Summary" sheetId="23" r:id="rId24"/>
    <sheet name="Results" sheetId="36" r:id="rId25"/>
  </sheets>
  <externalReferences>
    <externalReference r:id="rId26"/>
    <externalReference r:id="rId27"/>
    <externalReference r:id="rId28"/>
    <externalReference r:id="rId29"/>
  </externalReferences>
  <definedNames>
    <definedName name="_xlnm._FilterDatabase" localSheetId="0" hidden="1">Index!$A$9:$B$33</definedName>
    <definedName name="a">'[1]4.3 Network Analysis Load'!#REF!</definedName>
    <definedName name="compname" localSheetId="9">'[2]Universal data'!$C$8</definedName>
    <definedName name="constrainsts" localSheetId="9">'[1]4.3 Network Analysis Load'!#REF!</definedName>
    <definedName name="CopyRange2">#REF!</definedName>
    <definedName name="ghng">'[1]4.3 Network Analysis Load'!#REF!</definedName>
    <definedName name="Guidance">'[3]Version control'!$B$33:$C$46</definedName>
    <definedName name="LPN">#REF!</definedName>
    <definedName name="ManagerialAllocations" localSheetId="9">'[4]2.12 Cost Mapping'!$AJ$12:$AJ$499</definedName>
    <definedName name="NumDataSheets">#REF!</definedName>
    <definedName name="PrimeRecordAllocations" localSheetId="9">'[4]2.12 Cost Mapping'!$AI$12:$AI$499</definedName>
    <definedName name="_xlnm.Print_Area" localSheetId="9" xml:space="preserve">               'NL9 - Legal &amp; Safety'!$A$1:$X$137</definedName>
    <definedName name="_xlnm.Print_Titles" localSheetId="15">'RRP 5.1'!$A:$B,'RRP 5.1'!$1:$2</definedName>
    <definedName name="Repyear" localSheetId="9">'[2]Universal data'!$C$21</definedName>
    <definedName name="RepYearM1" localSheetId="9">'[2]Universal data'!$C$20</definedName>
    <definedName name="RepYearP1" localSheetId="9">'[2]Universal data'!$C$22</definedName>
    <definedName name="RepYearP5" localSheetId="9">'[2]Universal data'!$C$26</definedName>
    <definedName name="Rounding" localSheetId="9">'[2]Universal data'!$C$29</definedName>
    <definedName name="shortname" localSheetId="9">'[2]Universal data'!$C$9</definedName>
    <definedName name="SourceFileName2">#REF!</definedName>
    <definedName name="SourcePath">#REF!</definedName>
    <definedName name="Table2.12TotalCost" localSheetId="9">'[4]2.12 Cost Mapping'!$C$12:$C$499</definedName>
    <definedName name="WorksheetName1">#REF!</definedName>
    <definedName name="WorksheetName2">#REF!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65" i="21" l="1"/>
  <c r="B19" i="26" l="1"/>
  <c r="A1" i="37" s="1"/>
  <c r="O29" i="17"/>
  <c r="P29" i="17"/>
  <c r="Q29" i="17"/>
  <c r="R29" i="17"/>
  <c r="S29" i="17"/>
  <c r="D32" i="7"/>
  <c r="C32" i="7"/>
  <c r="G20" i="7"/>
  <c r="F20" i="7"/>
  <c r="D20" i="7"/>
  <c r="G19" i="7"/>
  <c r="F19" i="7"/>
  <c r="D19" i="7"/>
  <c r="H19" i="7" s="1"/>
  <c r="H27" i="7"/>
  <c r="H26" i="7"/>
  <c r="H25" i="7"/>
  <c r="H21" i="7"/>
  <c r="H20" i="7"/>
  <c r="H18" i="7"/>
  <c r="F21" i="12"/>
  <c r="F22" i="12"/>
  <c r="F19" i="12"/>
  <c r="I19" i="12"/>
  <c r="C28" i="12"/>
  <c r="F28" i="12"/>
  <c r="C67" i="12"/>
  <c r="F20" i="12"/>
  <c r="I20" i="12"/>
  <c r="C29" i="12"/>
  <c r="F29" i="12"/>
  <c r="C68" i="12"/>
  <c r="I21" i="12"/>
  <c r="C30" i="12"/>
  <c r="F30" i="12"/>
  <c r="C69" i="12"/>
  <c r="I22" i="12"/>
  <c r="C31" i="12"/>
  <c r="F31" i="12"/>
  <c r="F61" i="17"/>
  <c r="P63" i="17"/>
  <c r="Q61" i="17"/>
  <c r="O34" i="17"/>
  <c r="O39" i="17" s="1"/>
  <c r="P34" i="17"/>
  <c r="P39" i="17" s="1"/>
  <c r="Q34" i="17"/>
  <c r="Q39" i="17" s="1"/>
  <c r="R34" i="17"/>
  <c r="R39" i="17" s="1"/>
  <c r="S34" i="17"/>
  <c r="S39" i="17" s="1"/>
  <c r="O31" i="17"/>
  <c r="O32" i="17" s="1"/>
  <c r="P31" i="17"/>
  <c r="P32" i="17" s="1"/>
  <c r="Q31" i="17"/>
  <c r="Q32" i="17" s="1"/>
  <c r="R31" i="17"/>
  <c r="R32" i="17" s="1"/>
  <c r="S31" i="17"/>
  <c r="S32" i="17" s="1"/>
  <c r="S25" i="17"/>
  <c r="O14" i="17"/>
  <c r="D10" i="17" s="1"/>
  <c r="O16" i="17"/>
  <c r="O20" i="17"/>
  <c r="D11" i="17"/>
  <c r="O21" i="17"/>
  <c r="D12" i="17" s="1"/>
  <c r="O9" i="17"/>
  <c r="D16" i="17" s="1"/>
  <c r="O17" i="17"/>
  <c r="D17" i="17" s="1"/>
  <c r="O18" i="17"/>
  <c r="D18" i="17" s="1"/>
  <c r="O19" i="17"/>
  <c r="D19" i="17" s="1"/>
  <c r="C50" i="12"/>
  <c r="C110" i="12" s="1"/>
  <c r="C51" i="12"/>
  <c r="C55" i="12"/>
  <c r="I41" i="12" s="1"/>
  <c r="F39" i="12"/>
  <c r="I39" i="12"/>
  <c r="C49" i="12"/>
  <c r="F49" i="12"/>
  <c r="F50" i="12"/>
  <c r="F59" i="17"/>
  <c r="F60" i="17"/>
  <c r="F62" i="17"/>
  <c r="F63" i="17"/>
  <c r="E42" i="16"/>
  <c r="H42" i="16"/>
  <c r="E43" i="16"/>
  <c r="H43" i="16"/>
  <c r="E44" i="16"/>
  <c r="H44" i="16"/>
  <c r="E45" i="16"/>
  <c r="H45" i="16"/>
  <c r="E46" i="16"/>
  <c r="H46" i="16"/>
  <c r="E47" i="16"/>
  <c r="H47" i="16"/>
  <c r="E48" i="16"/>
  <c r="H48" i="16"/>
  <c r="E49" i="16"/>
  <c r="H49" i="16"/>
  <c r="E50" i="16"/>
  <c r="H50" i="16"/>
  <c r="E51" i="16"/>
  <c r="H51" i="16"/>
  <c r="E52" i="16"/>
  <c r="H52" i="16"/>
  <c r="E53" i="16"/>
  <c r="H53" i="16"/>
  <c r="E54" i="16"/>
  <c r="H54" i="16"/>
  <c r="E55" i="16"/>
  <c r="H55" i="16"/>
  <c r="E56" i="16"/>
  <c r="H56" i="16"/>
  <c r="E59" i="16"/>
  <c r="H59" i="16"/>
  <c r="E60" i="16"/>
  <c r="H60" i="16"/>
  <c r="E61" i="16"/>
  <c r="H61" i="16"/>
  <c r="E64" i="16"/>
  <c r="H64" i="16"/>
  <c r="E65" i="16"/>
  <c r="H65" i="16"/>
  <c r="E66" i="16"/>
  <c r="H66" i="16"/>
  <c r="E67" i="16"/>
  <c r="H67" i="16"/>
  <c r="E68" i="16"/>
  <c r="H68" i="16"/>
  <c r="E71" i="16"/>
  <c r="H71" i="16"/>
  <c r="E72" i="16"/>
  <c r="H72" i="16"/>
  <c r="E158" i="16"/>
  <c r="G158" i="16" s="1"/>
  <c r="I158" i="16" s="1"/>
  <c r="H158" i="16"/>
  <c r="E159" i="16"/>
  <c r="G159" i="16" s="1"/>
  <c r="I159" i="16" s="1"/>
  <c r="H159" i="16"/>
  <c r="E160" i="16"/>
  <c r="G160" i="16" s="1"/>
  <c r="I160" i="16" s="1"/>
  <c r="H160" i="16"/>
  <c r="E161" i="16"/>
  <c r="G161" i="16" s="1"/>
  <c r="I161" i="16" s="1"/>
  <c r="H161" i="16"/>
  <c r="E162" i="16"/>
  <c r="G162" i="16" s="1"/>
  <c r="I162" i="16" s="1"/>
  <c r="H162" i="16"/>
  <c r="E163" i="16"/>
  <c r="G163" i="16" s="1"/>
  <c r="I163" i="16" s="1"/>
  <c r="H163" i="16"/>
  <c r="E153" i="16"/>
  <c r="H153" i="16"/>
  <c r="E154" i="16"/>
  <c r="H154" i="16"/>
  <c r="E20" i="16"/>
  <c r="H20" i="16"/>
  <c r="E21" i="16"/>
  <c r="H21" i="16"/>
  <c r="E22" i="16"/>
  <c r="G22" i="16" s="1"/>
  <c r="I22" i="16" s="1"/>
  <c r="H22" i="16"/>
  <c r="E23" i="16"/>
  <c r="G23" i="16" s="1"/>
  <c r="I23" i="16" s="1"/>
  <c r="H23" i="16"/>
  <c r="E24" i="16"/>
  <c r="G24" i="16" s="1"/>
  <c r="I24" i="16" s="1"/>
  <c r="H24" i="16"/>
  <c r="E25" i="16"/>
  <c r="H25" i="16"/>
  <c r="E26" i="16"/>
  <c r="G26" i="16" s="1"/>
  <c r="I26" i="16" s="1"/>
  <c r="H26" i="16"/>
  <c r="E27" i="16"/>
  <c r="G27" i="16" s="1"/>
  <c r="I27" i="16" s="1"/>
  <c r="H27" i="16"/>
  <c r="E28" i="16"/>
  <c r="G28" i="16" s="1"/>
  <c r="I28" i="16" s="1"/>
  <c r="H28" i="16"/>
  <c r="E29" i="16"/>
  <c r="H29" i="16"/>
  <c r="E30" i="16"/>
  <c r="G30" i="16" s="1"/>
  <c r="I30" i="16" s="1"/>
  <c r="H30" i="16"/>
  <c r="E31" i="16"/>
  <c r="G31" i="16" s="1"/>
  <c r="I31" i="16" s="1"/>
  <c r="H31" i="16"/>
  <c r="E32" i="16"/>
  <c r="G32" i="16" s="1"/>
  <c r="I32" i="16" s="1"/>
  <c r="H32" i="16"/>
  <c r="E33" i="16"/>
  <c r="H33" i="16"/>
  <c r="E34" i="16"/>
  <c r="G34" i="16" s="1"/>
  <c r="I34" i="16" s="1"/>
  <c r="H34" i="16"/>
  <c r="E35" i="16"/>
  <c r="G35" i="16" s="1"/>
  <c r="I35" i="16" s="1"/>
  <c r="H35" i="16"/>
  <c r="E36" i="16"/>
  <c r="G36" i="16" s="1"/>
  <c r="I36" i="16" s="1"/>
  <c r="H36" i="16"/>
  <c r="E37" i="16"/>
  <c r="H37" i="16"/>
  <c r="E38" i="16"/>
  <c r="G38" i="16" s="1"/>
  <c r="I38" i="16" s="1"/>
  <c r="H38" i="16"/>
  <c r="E39" i="16"/>
  <c r="G39" i="16" s="1"/>
  <c r="I39" i="16" s="1"/>
  <c r="H39" i="16"/>
  <c r="E62" i="16"/>
  <c r="G62" i="16" s="1"/>
  <c r="I62" i="16" s="1"/>
  <c r="H62" i="16"/>
  <c r="E63" i="16"/>
  <c r="H63" i="16"/>
  <c r="G63" i="16" s="1"/>
  <c r="I63" i="16" s="1"/>
  <c r="E69" i="16"/>
  <c r="G69" i="16" s="1"/>
  <c r="I69" i="16" s="1"/>
  <c r="H69" i="16"/>
  <c r="E70" i="16"/>
  <c r="H70" i="16"/>
  <c r="E75" i="16"/>
  <c r="H75" i="16"/>
  <c r="G75" i="16"/>
  <c r="I75" i="16" s="1"/>
  <c r="E76" i="16"/>
  <c r="H76" i="16"/>
  <c r="G76" i="16" s="1"/>
  <c r="I76" i="16" s="1"/>
  <c r="E77" i="16"/>
  <c r="H77" i="16"/>
  <c r="G77" i="16"/>
  <c r="I77" i="16" s="1"/>
  <c r="E78" i="16"/>
  <c r="H78" i="16"/>
  <c r="E81" i="16"/>
  <c r="G81" i="16" s="1"/>
  <c r="I81" i="16" s="1"/>
  <c r="H81" i="16"/>
  <c r="E82" i="16"/>
  <c r="H82" i="16"/>
  <c r="G82" i="16" s="1"/>
  <c r="I82" i="16" s="1"/>
  <c r="E83" i="16"/>
  <c r="H83" i="16"/>
  <c r="G83" i="16" s="1"/>
  <c r="I83" i="16" s="1"/>
  <c r="E84" i="16"/>
  <c r="H84" i="16"/>
  <c r="G84" i="16" s="1"/>
  <c r="I84" i="16" s="1"/>
  <c r="E85" i="16"/>
  <c r="G85" i="16" s="1"/>
  <c r="I85" i="16" s="1"/>
  <c r="H85" i="16"/>
  <c r="E86" i="16"/>
  <c r="H86" i="16"/>
  <c r="E87" i="16"/>
  <c r="H87" i="16"/>
  <c r="E88" i="16"/>
  <c r="H88" i="16"/>
  <c r="E89" i="16"/>
  <c r="H89" i="16"/>
  <c r="G89" i="16"/>
  <c r="I89" i="16" s="1"/>
  <c r="E90" i="16"/>
  <c r="H90" i="16"/>
  <c r="G90" i="16" s="1"/>
  <c r="I90" i="16" s="1"/>
  <c r="E91" i="16"/>
  <c r="H91" i="16"/>
  <c r="G91" i="16" s="1"/>
  <c r="I91" i="16" s="1"/>
  <c r="E92" i="16"/>
  <c r="H92" i="16"/>
  <c r="G92" i="16" s="1"/>
  <c r="I92" i="16" s="1"/>
  <c r="E93" i="16"/>
  <c r="H93" i="16"/>
  <c r="G93" i="16"/>
  <c r="I93" i="16" s="1"/>
  <c r="E94" i="16"/>
  <c r="H94" i="16"/>
  <c r="E95" i="16"/>
  <c r="H95" i="16"/>
  <c r="E96" i="16"/>
  <c r="H96" i="16"/>
  <c r="E97" i="16"/>
  <c r="G97" i="16" s="1"/>
  <c r="I97" i="16" s="1"/>
  <c r="H97" i="16"/>
  <c r="E98" i="16"/>
  <c r="H98" i="16"/>
  <c r="E99" i="16"/>
  <c r="G99" i="16" s="1"/>
  <c r="I99" i="16" s="1"/>
  <c r="H99" i="16"/>
  <c r="E100" i="16"/>
  <c r="H100" i="16"/>
  <c r="E101" i="16"/>
  <c r="G101" i="16" s="1"/>
  <c r="I101" i="16" s="1"/>
  <c r="H101" i="16"/>
  <c r="E102" i="16"/>
  <c r="G102" i="16" s="1"/>
  <c r="I102" i="16" s="1"/>
  <c r="H102" i="16"/>
  <c r="E103" i="16"/>
  <c r="G103" i="16" s="1"/>
  <c r="I103" i="16" s="1"/>
  <c r="H103" i="16"/>
  <c r="E104" i="16"/>
  <c r="G104" i="16" s="1"/>
  <c r="I104" i="16" s="1"/>
  <c r="H104" i="16"/>
  <c r="E105" i="16"/>
  <c r="H105" i="16"/>
  <c r="E106" i="16"/>
  <c r="G106" i="16" s="1"/>
  <c r="I106" i="16" s="1"/>
  <c r="H106" i="16"/>
  <c r="E107" i="16"/>
  <c r="G107" i="16" s="1"/>
  <c r="I107" i="16" s="1"/>
  <c r="H107" i="16"/>
  <c r="E108" i="16"/>
  <c r="G108" i="16" s="1"/>
  <c r="H108" i="16"/>
  <c r="I108" i="16"/>
  <c r="E109" i="16"/>
  <c r="H109" i="16"/>
  <c r="E110" i="16"/>
  <c r="G110" i="16" s="1"/>
  <c r="I110" i="16" s="1"/>
  <c r="H110" i="16"/>
  <c r="E111" i="16"/>
  <c r="G111" i="16" s="1"/>
  <c r="I111" i="16" s="1"/>
  <c r="H111" i="16"/>
  <c r="E112" i="16"/>
  <c r="G112" i="16" s="1"/>
  <c r="I112" i="16" s="1"/>
  <c r="H112" i="16"/>
  <c r="E113" i="16"/>
  <c r="H113" i="16"/>
  <c r="E114" i="16"/>
  <c r="G114" i="16" s="1"/>
  <c r="I114" i="16" s="1"/>
  <c r="H114" i="16"/>
  <c r="E115" i="16"/>
  <c r="G115" i="16" s="1"/>
  <c r="I115" i="16" s="1"/>
  <c r="H115" i="16"/>
  <c r="E116" i="16"/>
  <c r="G116" i="16" s="1"/>
  <c r="I116" i="16" s="1"/>
  <c r="H116" i="16"/>
  <c r="E117" i="16"/>
  <c r="H117" i="16"/>
  <c r="E118" i="16"/>
  <c r="G118" i="16" s="1"/>
  <c r="I118" i="16" s="1"/>
  <c r="H118" i="16"/>
  <c r="E119" i="16"/>
  <c r="G119" i="16" s="1"/>
  <c r="I119" i="16" s="1"/>
  <c r="H119" i="16"/>
  <c r="E120" i="16"/>
  <c r="G120" i="16" s="1"/>
  <c r="I120" i="16" s="1"/>
  <c r="H120" i="16"/>
  <c r="E149" i="16"/>
  <c r="H149" i="16"/>
  <c r="E150" i="16"/>
  <c r="G150" i="16" s="1"/>
  <c r="I150" i="16" s="1"/>
  <c r="H150" i="16"/>
  <c r="E121" i="16"/>
  <c r="G121" i="16" s="1"/>
  <c r="I121" i="16" s="1"/>
  <c r="H121" i="16"/>
  <c r="E122" i="16"/>
  <c r="G122" i="16" s="1"/>
  <c r="I122" i="16" s="1"/>
  <c r="H122" i="16"/>
  <c r="E123" i="16"/>
  <c r="H123" i="16"/>
  <c r="E124" i="16"/>
  <c r="G124" i="16" s="1"/>
  <c r="I124" i="16" s="1"/>
  <c r="H124" i="16"/>
  <c r="E125" i="16"/>
  <c r="G125" i="16" s="1"/>
  <c r="I125" i="16" s="1"/>
  <c r="H125" i="16"/>
  <c r="E126" i="16"/>
  <c r="G126" i="16" s="1"/>
  <c r="I126" i="16" s="1"/>
  <c r="H126" i="16"/>
  <c r="E127" i="16"/>
  <c r="H127" i="16"/>
  <c r="E128" i="16"/>
  <c r="G128" i="16" s="1"/>
  <c r="I128" i="16" s="1"/>
  <c r="H128" i="16"/>
  <c r="E129" i="16"/>
  <c r="G129" i="16" s="1"/>
  <c r="I129" i="16" s="1"/>
  <c r="H129" i="16"/>
  <c r="E130" i="16"/>
  <c r="G130" i="16" s="1"/>
  <c r="H130" i="16"/>
  <c r="I130" i="16"/>
  <c r="E131" i="16"/>
  <c r="H131" i="16"/>
  <c r="E132" i="16"/>
  <c r="G132" i="16" s="1"/>
  <c r="I132" i="16" s="1"/>
  <c r="H132" i="16"/>
  <c r="E133" i="16"/>
  <c r="G133" i="16" s="1"/>
  <c r="I133" i="16" s="1"/>
  <c r="H133" i="16"/>
  <c r="E134" i="16"/>
  <c r="H134" i="16"/>
  <c r="E135" i="16"/>
  <c r="G135" i="16" s="1"/>
  <c r="I135" i="16" s="1"/>
  <c r="H135" i="16"/>
  <c r="E136" i="16"/>
  <c r="H136" i="16"/>
  <c r="E137" i="16"/>
  <c r="H137" i="16"/>
  <c r="E138" i="16"/>
  <c r="H138" i="16"/>
  <c r="E139" i="16"/>
  <c r="H139" i="16"/>
  <c r="E140" i="16"/>
  <c r="G140" i="16" s="1"/>
  <c r="I140" i="16" s="1"/>
  <c r="H140" i="16"/>
  <c r="E141" i="16"/>
  <c r="G141" i="16" s="1"/>
  <c r="I141" i="16" s="1"/>
  <c r="H141" i="16"/>
  <c r="E142" i="16"/>
  <c r="H142" i="16"/>
  <c r="E143" i="16"/>
  <c r="G143" i="16" s="1"/>
  <c r="I143" i="16" s="1"/>
  <c r="H143" i="16"/>
  <c r="E144" i="16"/>
  <c r="H144" i="16"/>
  <c r="E145" i="16"/>
  <c r="H145" i="16"/>
  <c r="E146" i="16"/>
  <c r="H146" i="16"/>
  <c r="AA27" i="13"/>
  <c r="AR27" i="13" s="1"/>
  <c r="AA28" i="13"/>
  <c r="AR28" i="13" s="1"/>
  <c r="AA29" i="13"/>
  <c r="AA30" i="13"/>
  <c r="AA31" i="13"/>
  <c r="AR31" i="13" s="1"/>
  <c r="AA32" i="13"/>
  <c r="AR32" i="13" s="1"/>
  <c r="AA33" i="13"/>
  <c r="AA34" i="13"/>
  <c r="AR34" i="13" s="1"/>
  <c r="AA35" i="13"/>
  <c r="AR35" i="13" s="1"/>
  <c r="AA36" i="13"/>
  <c r="AA37" i="13"/>
  <c r="AA38" i="13"/>
  <c r="AR38" i="13" s="1"/>
  <c r="AA21" i="13"/>
  <c r="AR21" i="13" s="1"/>
  <c r="AA22" i="13"/>
  <c r="AR22" i="13" s="1"/>
  <c r="AC27" i="13"/>
  <c r="AT27" i="13" s="1"/>
  <c r="AC28" i="13"/>
  <c r="AT28" i="13" s="1"/>
  <c r="AC29" i="13"/>
  <c r="AT29" i="13" s="1"/>
  <c r="AC30" i="13"/>
  <c r="AT30" i="13" s="1"/>
  <c r="AC31" i="13"/>
  <c r="AT31" i="13" s="1"/>
  <c r="AC32" i="13"/>
  <c r="AT32" i="13" s="1"/>
  <c r="AC33" i="13"/>
  <c r="AT33" i="13" s="1"/>
  <c r="AC34" i="13"/>
  <c r="AT34" i="13" s="1"/>
  <c r="AC35" i="13"/>
  <c r="AT35" i="13" s="1"/>
  <c r="AC36" i="13"/>
  <c r="AT36" i="13" s="1"/>
  <c r="AC37" i="13"/>
  <c r="AT37" i="13" s="1"/>
  <c r="AC38" i="13"/>
  <c r="AT38" i="13" s="1"/>
  <c r="AC21" i="13"/>
  <c r="AT21" i="13" s="1"/>
  <c r="AC22" i="13"/>
  <c r="A1" i="26"/>
  <c r="C78" i="12"/>
  <c r="C79" i="12"/>
  <c r="C43" i="12" s="1"/>
  <c r="C87" i="12"/>
  <c r="C88" i="12"/>
  <c r="C89" i="12"/>
  <c r="C90" i="12"/>
  <c r="C22" i="12" s="1"/>
  <c r="C96" i="12"/>
  <c r="C97" i="12"/>
  <c r="C98" i="12"/>
  <c r="C99" i="12"/>
  <c r="C100" i="12"/>
  <c r="O146" i="6"/>
  <c r="P146" i="6"/>
  <c r="Q146" i="6"/>
  <c r="S146" i="6"/>
  <c r="T146" i="6"/>
  <c r="O147" i="6"/>
  <c r="P147" i="6"/>
  <c r="Q147" i="6"/>
  <c r="S147" i="6"/>
  <c r="T147" i="6"/>
  <c r="O148" i="6"/>
  <c r="P148" i="6"/>
  <c r="Q148" i="6"/>
  <c r="T148" i="6" s="1"/>
  <c r="S148" i="6"/>
  <c r="O151" i="6"/>
  <c r="P151" i="6"/>
  <c r="Q151" i="6"/>
  <c r="T151" i="6" s="1"/>
  <c r="S151" i="6"/>
  <c r="O152" i="6"/>
  <c r="P152" i="6"/>
  <c r="Q152" i="6"/>
  <c r="S152" i="6"/>
  <c r="T152" i="6"/>
  <c r="O153" i="6"/>
  <c r="P153" i="6"/>
  <c r="Q153" i="6"/>
  <c r="S153" i="6"/>
  <c r="T153" i="6"/>
  <c r="C53" i="12"/>
  <c r="C52" i="12"/>
  <c r="I227" i="27"/>
  <c r="J227" i="27"/>
  <c r="K227" i="27"/>
  <c r="L227" i="27"/>
  <c r="M227" i="27"/>
  <c r="I250" i="27"/>
  <c r="J250" i="27"/>
  <c r="K250" i="27"/>
  <c r="L250" i="27"/>
  <c r="M250" i="27"/>
  <c r="I116" i="10"/>
  <c r="J116" i="10"/>
  <c r="K116" i="10"/>
  <c r="L116" i="10"/>
  <c r="M116" i="10"/>
  <c r="N116" i="10"/>
  <c r="O116" i="10"/>
  <c r="P116" i="10"/>
  <c r="Q116" i="10"/>
  <c r="R116" i="10"/>
  <c r="S116" i="10"/>
  <c r="T116" i="10"/>
  <c r="U116" i="10"/>
  <c r="V116" i="10"/>
  <c r="W116" i="10"/>
  <c r="X116" i="10"/>
  <c r="Y116" i="10"/>
  <c r="Z116" i="10"/>
  <c r="AA116" i="10"/>
  <c r="AB116" i="10"/>
  <c r="AC116" i="10"/>
  <c r="AD116" i="10"/>
  <c r="AE116" i="10"/>
  <c r="AF116" i="10"/>
  <c r="AG116" i="10"/>
  <c r="AH116" i="10"/>
  <c r="E10" i="13"/>
  <c r="F10" i="13"/>
  <c r="L10" i="3"/>
  <c r="AD38" i="13"/>
  <c r="AU38" i="13" s="1"/>
  <c r="AD37" i="13"/>
  <c r="AU37" i="13" s="1"/>
  <c r="AD35" i="13"/>
  <c r="AU35" i="13" s="1"/>
  <c r="AD34" i="13"/>
  <c r="AU34" i="13" s="1"/>
  <c r="AD33" i="13"/>
  <c r="AU33" i="13" s="1"/>
  <c r="AD32" i="13"/>
  <c r="AU32" i="13" s="1"/>
  <c r="AD31" i="13"/>
  <c r="AU31" i="13" s="1"/>
  <c r="AD30" i="13"/>
  <c r="AU30" i="13" s="1"/>
  <c r="AD29" i="13"/>
  <c r="AU29" i="13" s="1"/>
  <c r="AD28" i="13"/>
  <c r="AU28" i="13" s="1"/>
  <c r="AD27" i="13"/>
  <c r="AU27" i="13" s="1"/>
  <c r="AD22" i="13"/>
  <c r="AU22" i="13" s="1"/>
  <c r="AD21" i="13"/>
  <c r="AU21" i="13" s="1"/>
  <c r="AT22" i="13"/>
  <c r="P36" i="13"/>
  <c r="W36" i="13" s="1"/>
  <c r="P38" i="13"/>
  <c r="P37" i="13"/>
  <c r="P35" i="13"/>
  <c r="P34" i="13"/>
  <c r="P33" i="13"/>
  <c r="P32" i="13"/>
  <c r="P31" i="13"/>
  <c r="P30" i="13"/>
  <c r="W30" i="13" s="1"/>
  <c r="P29" i="13"/>
  <c r="P28" i="13"/>
  <c r="P27" i="13"/>
  <c r="W27" i="13" s="1"/>
  <c r="P22" i="13"/>
  <c r="W22" i="13" s="1"/>
  <c r="P21" i="13"/>
  <c r="F43" i="12"/>
  <c r="I43" i="12"/>
  <c r="F53" i="12"/>
  <c r="F42" i="12"/>
  <c r="I42" i="12"/>
  <c r="F52" i="12"/>
  <c r="M39" i="10"/>
  <c r="L39" i="10"/>
  <c r="M38" i="10"/>
  <c r="L38" i="10"/>
  <c r="M35" i="10"/>
  <c r="M36" i="10"/>
  <c r="M37" i="10"/>
  <c r="L35" i="10"/>
  <c r="L36" i="10"/>
  <c r="L37" i="10"/>
  <c r="M34" i="10"/>
  <c r="L34" i="10"/>
  <c r="M27" i="10"/>
  <c r="M28" i="10"/>
  <c r="M29" i="10"/>
  <c r="L27" i="10"/>
  <c r="L28" i="10"/>
  <c r="L29" i="10"/>
  <c r="K29" i="10"/>
  <c r="J29" i="10"/>
  <c r="I29" i="10"/>
  <c r="H29" i="10"/>
  <c r="G29" i="10"/>
  <c r="F29" i="10"/>
  <c r="E29" i="10"/>
  <c r="D29" i="10"/>
  <c r="M26" i="10"/>
  <c r="L26" i="10"/>
  <c r="D37" i="28"/>
  <c r="E37" i="28"/>
  <c r="F37" i="28"/>
  <c r="G37" i="28"/>
  <c r="H37" i="28"/>
  <c r="I37" i="28"/>
  <c r="J37" i="28"/>
  <c r="K37" i="28"/>
  <c r="L37" i="28"/>
  <c r="M37" i="28"/>
  <c r="D46" i="28"/>
  <c r="E46" i="28"/>
  <c r="F46" i="28"/>
  <c r="G46" i="28"/>
  <c r="H46" i="28"/>
  <c r="I46" i="28"/>
  <c r="J46" i="28"/>
  <c r="K46" i="28"/>
  <c r="L46" i="28"/>
  <c r="M46" i="28"/>
  <c r="E55" i="28"/>
  <c r="C61" i="28"/>
  <c r="K61" i="28"/>
  <c r="S61" i="28"/>
  <c r="C62" i="28"/>
  <c r="K62" i="28"/>
  <c r="S62" i="28"/>
  <c r="C63" i="28"/>
  <c r="K63" i="28"/>
  <c r="S63" i="28"/>
  <c r="C64" i="28"/>
  <c r="K64" i="28"/>
  <c r="S64" i="28"/>
  <c r="D65" i="28"/>
  <c r="E65" i="28"/>
  <c r="F65" i="28"/>
  <c r="G65" i="28"/>
  <c r="H65" i="28"/>
  <c r="L65" i="28"/>
  <c r="M65" i="28"/>
  <c r="N65" i="28"/>
  <c r="O65" i="28"/>
  <c r="P65" i="28"/>
  <c r="T65" i="28"/>
  <c r="U65" i="28"/>
  <c r="V65" i="28"/>
  <c r="W65" i="28"/>
  <c r="X65" i="28"/>
  <c r="C74" i="28"/>
  <c r="D74" i="28"/>
  <c r="E74" i="28"/>
  <c r="F74" i="28"/>
  <c r="G74" i="28"/>
  <c r="H74" i="28"/>
  <c r="K74" i="28"/>
  <c r="L74" i="28"/>
  <c r="M74" i="28"/>
  <c r="N74" i="28"/>
  <c r="O74" i="28"/>
  <c r="P74" i="28"/>
  <c r="S74" i="28"/>
  <c r="T74" i="28"/>
  <c r="U74" i="28"/>
  <c r="V74" i="28"/>
  <c r="W74" i="28"/>
  <c r="X74" i="28"/>
  <c r="C79" i="28"/>
  <c r="K79" i="28"/>
  <c r="S79" i="28"/>
  <c r="S83" i="28" s="1"/>
  <c r="C80" i="28"/>
  <c r="K80" i="28"/>
  <c r="K83" i="28" s="1"/>
  <c r="S80" i="28"/>
  <c r="C81" i="28"/>
  <c r="K81" i="28"/>
  <c r="S81" i="28"/>
  <c r="C82" i="28"/>
  <c r="K82" i="28"/>
  <c r="S82" i="28"/>
  <c r="D83" i="28"/>
  <c r="E83" i="28"/>
  <c r="F83" i="28"/>
  <c r="G83" i="28"/>
  <c r="H83" i="28"/>
  <c r="L83" i="28"/>
  <c r="M83" i="28"/>
  <c r="N83" i="28"/>
  <c r="O83" i="28"/>
  <c r="P83" i="28"/>
  <c r="T83" i="28"/>
  <c r="U83" i="28"/>
  <c r="V83" i="28"/>
  <c r="W83" i="28"/>
  <c r="X83" i="28"/>
  <c r="C88" i="28"/>
  <c r="D88" i="28"/>
  <c r="E88" i="28"/>
  <c r="F88" i="28"/>
  <c r="G88" i="28"/>
  <c r="K88" i="28"/>
  <c r="L88" i="28"/>
  <c r="M88" i="28"/>
  <c r="N88" i="28"/>
  <c r="O88" i="28"/>
  <c r="S88" i="28"/>
  <c r="T88" i="28"/>
  <c r="U88" i="28"/>
  <c r="V88" i="28"/>
  <c r="W88" i="28"/>
  <c r="C89" i="28"/>
  <c r="D89" i="28"/>
  <c r="E89" i="28"/>
  <c r="F89" i="28"/>
  <c r="G89" i="28"/>
  <c r="K89" i="28"/>
  <c r="L89" i="28"/>
  <c r="M89" i="28"/>
  <c r="N89" i="28"/>
  <c r="O89" i="28"/>
  <c r="S89" i="28"/>
  <c r="T89" i="28"/>
  <c r="U89" i="28"/>
  <c r="V89" i="28"/>
  <c r="W89" i="28"/>
  <c r="C90" i="28"/>
  <c r="D90" i="28"/>
  <c r="E90" i="28"/>
  <c r="F90" i="28"/>
  <c r="G90" i="28"/>
  <c r="K90" i="28"/>
  <c r="L90" i="28"/>
  <c r="M90" i="28"/>
  <c r="N90" i="28"/>
  <c r="O90" i="28"/>
  <c r="S90" i="28"/>
  <c r="T90" i="28"/>
  <c r="U90" i="28"/>
  <c r="V90" i="28"/>
  <c r="W90" i="28"/>
  <c r="C91" i="28"/>
  <c r="D91" i="28"/>
  <c r="E91" i="28"/>
  <c r="F91" i="28"/>
  <c r="G91" i="28"/>
  <c r="K91" i="28"/>
  <c r="L91" i="28"/>
  <c r="M91" i="28"/>
  <c r="N91" i="28"/>
  <c r="O91" i="28"/>
  <c r="S91" i="28"/>
  <c r="T91" i="28"/>
  <c r="U91" i="28"/>
  <c r="V91" i="28"/>
  <c r="W91" i="28"/>
  <c r="E101" i="28"/>
  <c r="C107" i="28"/>
  <c r="D97" i="28" s="1"/>
  <c r="K107" i="28"/>
  <c r="F97" i="28" s="1"/>
  <c r="S107" i="28"/>
  <c r="G97" i="28" s="1"/>
  <c r="C108" i="28"/>
  <c r="D98" i="28" s="1"/>
  <c r="C98" i="28" s="1"/>
  <c r="K108" i="28"/>
  <c r="S108" i="28"/>
  <c r="G98" i="28" s="1"/>
  <c r="C109" i="28"/>
  <c r="D99" i="28" s="1"/>
  <c r="C99" i="28" s="1"/>
  <c r="K109" i="28"/>
  <c r="F99" i="28"/>
  <c r="H99" i="28" s="1"/>
  <c r="S109" i="28"/>
  <c r="G99" i="28"/>
  <c r="C110" i="28"/>
  <c r="D100" i="28" s="1"/>
  <c r="C100" i="28" s="1"/>
  <c r="K110" i="28"/>
  <c r="F100" i="28"/>
  <c r="S110" i="28"/>
  <c r="G100" i="28"/>
  <c r="D111" i="28"/>
  <c r="E111" i="28"/>
  <c r="F111" i="28"/>
  <c r="G111" i="28"/>
  <c r="H111" i="28"/>
  <c r="L111" i="28"/>
  <c r="M111" i="28"/>
  <c r="N111" i="28"/>
  <c r="O111" i="28"/>
  <c r="P111" i="28"/>
  <c r="T111" i="28"/>
  <c r="U111" i="28"/>
  <c r="V111" i="28"/>
  <c r="W111" i="28"/>
  <c r="X111" i="28"/>
  <c r="C120" i="28"/>
  <c r="D120" i="28"/>
  <c r="E120" i="28"/>
  <c r="F120" i="28"/>
  <c r="H120" i="28"/>
  <c r="K120" i="28"/>
  <c r="L120" i="28"/>
  <c r="M120" i="28"/>
  <c r="N120" i="28"/>
  <c r="O120" i="28"/>
  <c r="P120" i="28"/>
  <c r="S120" i="28"/>
  <c r="T120" i="28"/>
  <c r="U120" i="28"/>
  <c r="V120" i="28"/>
  <c r="W120" i="28"/>
  <c r="X120" i="28"/>
  <c r="C125" i="28"/>
  <c r="K125" i="28"/>
  <c r="S125" i="28"/>
  <c r="C126" i="28"/>
  <c r="K126" i="28"/>
  <c r="S126" i="28"/>
  <c r="C127" i="28"/>
  <c r="K127" i="28"/>
  <c r="S127" i="28"/>
  <c r="C128" i="28"/>
  <c r="K128" i="28"/>
  <c r="S128" i="28"/>
  <c r="D129" i="28"/>
  <c r="E129" i="28"/>
  <c r="F129" i="28"/>
  <c r="H129" i="28"/>
  <c r="L129" i="28"/>
  <c r="M129" i="28"/>
  <c r="N129" i="28"/>
  <c r="P129" i="28"/>
  <c r="T129" i="28"/>
  <c r="U129" i="28"/>
  <c r="V129" i="28"/>
  <c r="X129" i="28"/>
  <c r="C134" i="28"/>
  <c r="D134" i="28"/>
  <c r="E134" i="28"/>
  <c r="F134" i="28"/>
  <c r="K134" i="28"/>
  <c r="N134" i="28"/>
  <c r="S134" i="28"/>
  <c r="T134" i="28"/>
  <c r="U134" i="28"/>
  <c r="V134" i="28"/>
  <c r="C135" i="28"/>
  <c r="D135" i="28"/>
  <c r="E135" i="28"/>
  <c r="F135" i="28"/>
  <c r="K135" i="28"/>
  <c r="L135" i="28"/>
  <c r="M135" i="28"/>
  <c r="N135" i="28"/>
  <c r="S135" i="28"/>
  <c r="T135" i="28"/>
  <c r="U135" i="28"/>
  <c r="V135" i="28"/>
  <c r="C136" i="28"/>
  <c r="D136" i="28"/>
  <c r="E136" i="28"/>
  <c r="F136" i="28"/>
  <c r="K136" i="28"/>
  <c r="L136" i="28"/>
  <c r="M136" i="28"/>
  <c r="N136" i="28"/>
  <c r="S136" i="28"/>
  <c r="T136" i="28"/>
  <c r="U136" i="28"/>
  <c r="V136" i="28"/>
  <c r="C137" i="28"/>
  <c r="D137" i="28"/>
  <c r="E137" i="28"/>
  <c r="F137" i="28"/>
  <c r="K137" i="28"/>
  <c r="L137" i="28"/>
  <c r="M137" i="28"/>
  <c r="N137" i="28"/>
  <c r="S137" i="28"/>
  <c r="T137" i="28"/>
  <c r="U137" i="28"/>
  <c r="V137" i="28"/>
  <c r="O14" i="27"/>
  <c r="P14" i="27"/>
  <c r="Q14" i="27"/>
  <c r="S14" i="27"/>
  <c r="O20" i="27"/>
  <c r="P20" i="27"/>
  <c r="Q20" i="27"/>
  <c r="T20" i="27"/>
  <c r="S20" i="27"/>
  <c r="O21" i="27"/>
  <c r="P21" i="27"/>
  <c r="Q21" i="27"/>
  <c r="T21" i="27" s="1"/>
  <c r="S21" i="27"/>
  <c r="D22" i="27"/>
  <c r="E22" i="27"/>
  <c r="F22" i="27"/>
  <c r="G22" i="27"/>
  <c r="H22" i="27"/>
  <c r="P22" i="27"/>
  <c r="I22" i="27"/>
  <c r="J22" i="27"/>
  <c r="K22" i="27"/>
  <c r="L22" i="27"/>
  <c r="M22" i="27"/>
  <c r="I29" i="27"/>
  <c r="J29" i="27"/>
  <c r="K29" i="27"/>
  <c r="L29" i="27"/>
  <c r="L31" i="27" s="1"/>
  <c r="M29" i="27"/>
  <c r="M30" i="27"/>
  <c r="M31" i="27"/>
  <c r="I30" i="27"/>
  <c r="I31" i="27"/>
  <c r="J30" i="27"/>
  <c r="J31" i="27"/>
  <c r="K30" i="27"/>
  <c r="L30" i="27"/>
  <c r="D31" i="27"/>
  <c r="E31" i="27"/>
  <c r="F31" i="27"/>
  <c r="G31" i="27"/>
  <c r="H31" i="27"/>
  <c r="I33" i="27"/>
  <c r="J33" i="27"/>
  <c r="K33" i="27"/>
  <c r="L33" i="27"/>
  <c r="L35" i="27" s="1"/>
  <c r="M33" i="27"/>
  <c r="I34" i="27"/>
  <c r="J34" i="27"/>
  <c r="J35" i="27"/>
  <c r="K34" i="27"/>
  <c r="L34" i="27"/>
  <c r="M34" i="27"/>
  <c r="D35" i="27"/>
  <c r="E35" i="27"/>
  <c r="F35" i="27"/>
  <c r="G35" i="27"/>
  <c r="Q35" i="27" s="1"/>
  <c r="H35" i="27"/>
  <c r="P35" i="27" s="1"/>
  <c r="I37" i="27"/>
  <c r="I39" i="27" s="1"/>
  <c r="J37" i="27"/>
  <c r="K37" i="27"/>
  <c r="L37" i="27"/>
  <c r="M37" i="27"/>
  <c r="M39" i="27" s="1"/>
  <c r="I38" i="27"/>
  <c r="J38" i="27"/>
  <c r="J39" i="27"/>
  <c r="K38" i="27"/>
  <c r="L38" i="27"/>
  <c r="L39" i="27" s="1"/>
  <c r="M38" i="27"/>
  <c r="D39" i="27"/>
  <c r="E39" i="27"/>
  <c r="F39" i="27"/>
  <c r="G39" i="27"/>
  <c r="H39" i="27"/>
  <c r="P39" i="27" s="1"/>
  <c r="I41" i="27"/>
  <c r="J41" i="27"/>
  <c r="J43" i="27" s="1"/>
  <c r="K41" i="27"/>
  <c r="L41" i="27"/>
  <c r="M41" i="27"/>
  <c r="I42" i="27"/>
  <c r="J42" i="27"/>
  <c r="K42" i="27"/>
  <c r="L42" i="27"/>
  <c r="L43" i="27"/>
  <c r="M42" i="27"/>
  <c r="D43" i="27"/>
  <c r="Q43" i="27" s="1"/>
  <c r="T43" i="27" s="1"/>
  <c r="E43" i="27"/>
  <c r="F43" i="27"/>
  <c r="G43" i="27"/>
  <c r="H43" i="27"/>
  <c r="P43" i="27" s="1"/>
  <c r="D52" i="27"/>
  <c r="E52" i="27"/>
  <c r="F52" i="27"/>
  <c r="G52" i="27"/>
  <c r="H52" i="27"/>
  <c r="I52" i="27"/>
  <c r="J52" i="27"/>
  <c r="K52" i="27"/>
  <c r="L52" i="27"/>
  <c r="M52" i="27"/>
  <c r="D53" i="27"/>
  <c r="E53" i="27"/>
  <c r="F53" i="27"/>
  <c r="G53" i="27"/>
  <c r="G75" i="27" s="1"/>
  <c r="H53" i="27"/>
  <c r="I53" i="27"/>
  <c r="J53" i="27"/>
  <c r="K53" i="27"/>
  <c r="L53" i="27"/>
  <c r="M53" i="27"/>
  <c r="I54" i="27"/>
  <c r="J54" i="27"/>
  <c r="K54" i="27"/>
  <c r="K55" i="27"/>
  <c r="K58" i="27"/>
  <c r="K59" i="27"/>
  <c r="K60" i="27"/>
  <c r="K61" i="27"/>
  <c r="K64" i="27"/>
  <c r="K65" i="27"/>
  <c r="K66" i="27"/>
  <c r="K67" i="27"/>
  <c r="K70" i="27"/>
  <c r="K71" i="27"/>
  <c r="K72" i="27"/>
  <c r="K73" i="27"/>
  <c r="K75" i="27"/>
  <c r="L54" i="27"/>
  <c r="M54" i="27"/>
  <c r="I55" i="27"/>
  <c r="J55" i="27"/>
  <c r="L55" i="27"/>
  <c r="M55" i="27"/>
  <c r="D56" i="27"/>
  <c r="E56" i="27"/>
  <c r="F56" i="27"/>
  <c r="G56" i="27"/>
  <c r="H56" i="27"/>
  <c r="D58" i="27"/>
  <c r="E58" i="27"/>
  <c r="F58" i="27"/>
  <c r="G58" i="27"/>
  <c r="H58" i="27"/>
  <c r="I58" i="27"/>
  <c r="J58" i="27"/>
  <c r="L58" i="27"/>
  <c r="M58" i="27"/>
  <c r="D59" i="27"/>
  <c r="E59" i="27"/>
  <c r="F59" i="27"/>
  <c r="G59" i="27"/>
  <c r="H59" i="27"/>
  <c r="I59" i="27"/>
  <c r="J59" i="27"/>
  <c r="L59" i="27"/>
  <c r="M59" i="27"/>
  <c r="I60" i="27"/>
  <c r="J60" i="27"/>
  <c r="L60" i="27"/>
  <c r="M60" i="27"/>
  <c r="I61" i="27"/>
  <c r="J61" i="27"/>
  <c r="L61" i="27"/>
  <c r="M61" i="27"/>
  <c r="D62" i="27"/>
  <c r="E62" i="27"/>
  <c r="F62" i="27"/>
  <c r="G62" i="27"/>
  <c r="H62" i="27"/>
  <c r="D64" i="27"/>
  <c r="E64" i="27"/>
  <c r="F64" i="27"/>
  <c r="G64" i="27"/>
  <c r="H64" i="27"/>
  <c r="I64" i="27"/>
  <c r="J64" i="27"/>
  <c r="L64" i="27"/>
  <c r="M64" i="27"/>
  <c r="D65" i="27"/>
  <c r="E65" i="27"/>
  <c r="F65" i="27"/>
  <c r="G65" i="27"/>
  <c r="H65" i="27"/>
  <c r="I65" i="27"/>
  <c r="J65" i="27"/>
  <c r="L65" i="27"/>
  <c r="M65" i="27"/>
  <c r="I66" i="27"/>
  <c r="J66" i="27"/>
  <c r="L66" i="27"/>
  <c r="M66" i="27"/>
  <c r="I67" i="27"/>
  <c r="J67" i="27"/>
  <c r="L67" i="27"/>
  <c r="M67" i="27"/>
  <c r="D68" i="27"/>
  <c r="E68" i="27"/>
  <c r="F68" i="27"/>
  <c r="G68" i="27"/>
  <c r="H68" i="27"/>
  <c r="D70" i="27"/>
  <c r="E70" i="27"/>
  <c r="F70" i="27"/>
  <c r="G70" i="27"/>
  <c r="H70" i="27"/>
  <c r="I70" i="27"/>
  <c r="J70" i="27"/>
  <c r="L70" i="27"/>
  <c r="M70" i="27"/>
  <c r="D71" i="27"/>
  <c r="E71" i="27"/>
  <c r="F71" i="27"/>
  <c r="G71" i="27"/>
  <c r="H71" i="27"/>
  <c r="I71" i="27"/>
  <c r="J71" i="27"/>
  <c r="L71" i="27"/>
  <c r="M71" i="27"/>
  <c r="I72" i="27"/>
  <c r="J72" i="27"/>
  <c r="L72" i="27"/>
  <c r="M72" i="27"/>
  <c r="I73" i="27"/>
  <c r="J73" i="27"/>
  <c r="L73" i="27"/>
  <c r="M73" i="27"/>
  <c r="D74" i="27"/>
  <c r="E74" i="27"/>
  <c r="F74" i="27"/>
  <c r="G74" i="27"/>
  <c r="H74" i="27"/>
  <c r="I87" i="27"/>
  <c r="J87" i="27"/>
  <c r="K87" i="27"/>
  <c r="L87" i="27"/>
  <c r="L106" i="27" s="1"/>
  <c r="M87" i="27"/>
  <c r="I93" i="27"/>
  <c r="J93" i="27"/>
  <c r="K93" i="27"/>
  <c r="L93" i="27"/>
  <c r="M93" i="27"/>
  <c r="I99" i="27"/>
  <c r="J99" i="27"/>
  <c r="K99" i="27"/>
  <c r="L99" i="27"/>
  <c r="M99" i="27"/>
  <c r="I105" i="27"/>
  <c r="J105" i="27"/>
  <c r="K105" i="27"/>
  <c r="L105" i="27"/>
  <c r="M105" i="27"/>
  <c r="D106" i="27"/>
  <c r="E106" i="27"/>
  <c r="F106" i="27"/>
  <c r="G106" i="27"/>
  <c r="H106" i="27"/>
  <c r="I118" i="27"/>
  <c r="J118" i="27"/>
  <c r="K118" i="27"/>
  <c r="L118" i="27"/>
  <c r="M118" i="27"/>
  <c r="I124" i="27"/>
  <c r="J124" i="27"/>
  <c r="K124" i="27"/>
  <c r="L124" i="27"/>
  <c r="M124" i="27"/>
  <c r="I130" i="27"/>
  <c r="J130" i="27"/>
  <c r="K130" i="27"/>
  <c r="L130" i="27"/>
  <c r="M130" i="27"/>
  <c r="I136" i="27"/>
  <c r="J136" i="27"/>
  <c r="K136" i="27"/>
  <c r="L136" i="27"/>
  <c r="M136" i="27"/>
  <c r="D137" i="27"/>
  <c r="E137" i="27"/>
  <c r="F137" i="27"/>
  <c r="G137" i="27"/>
  <c r="H137" i="27"/>
  <c r="I149" i="27"/>
  <c r="J149" i="27"/>
  <c r="K149" i="27"/>
  <c r="L149" i="27"/>
  <c r="M149" i="27"/>
  <c r="I152" i="27"/>
  <c r="J152" i="27"/>
  <c r="K152" i="27"/>
  <c r="L152" i="27"/>
  <c r="M152" i="27"/>
  <c r="I153" i="27"/>
  <c r="J153" i="27"/>
  <c r="K153" i="27"/>
  <c r="L153" i="27"/>
  <c r="M153" i="27"/>
  <c r="M161" i="27"/>
  <c r="M178" i="27" s="1"/>
  <c r="M169" i="27"/>
  <c r="M177" i="27"/>
  <c r="O153" i="27"/>
  <c r="P153" i="27"/>
  <c r="Q153" i="27"/>
  <c r="I157" i="27"/>
  <c r="J157" i="27"/>
  <c r="K157" i="27"/>
  <c r="L157" i="27"/>
  <c r="M157" i="27"/>
  <c r="I160" i="27"/>
  <c r="J160" i="27"/>
  <c r="K160" i="27"/>
  <c r="L160" i="27"/>
  <c r="M160" i="27"/>
  <c r="I161" i="27"/>
  <c r="J161" i="27"/>
  <c r="K161" i="27"/>
  <c r="K169" i="27"/>
  <c r="K178" i="27" s="1"/>
  <c r="K177" i="27"/>
  <c r="L161" i="27"/>
  <c r="O161" i="27"/>
  <c r="P161" i="27"/>
  <c r="P169" i="27"/>
  <c r="P177" i="27"/>
  <c r="P178" i="27"/>
  <c r="Q161" i="27"/>
  <c r="I165" i="27"/>
  <c r="J165" i="27"/>
  <c r="K165" i="27"/>
  <c r="L165" i="27"/>
  <c r="M165" i="27"/>
  <c r="I168" i="27"/>
  <c r="J168" i="27"/>
  <c r="K168" i="27"/>
  <c r="L168" i="27"/>
  <c r="M168" i="27"/>
  <c r="I169" i="27"/>
  <c r="I178" i="27" s="1"/>
  <c r="J169" i="27"/>
  <c r="L169" i="27"/>
  <c r="O169" i="27"/>
  <c r="Q169" i="27"/>
  <c r="I173" i="27"/>
  <c r="J173" i="27"/>
  <c r="K173" i="27"/>
  <c r="L173" i="27"/>
  <c r="M173" i="27"/>
  <c r="I176" i="27"/>
  <c r="J176" i="27"/>
  <c r="K176" i="27"/>
  <c r="L176" i="27"/>
  <c r="M176" i="27"/>
  <c r="I177" i="27"/>
  <c r="J177" i="27"/>
  <c r="L177" i="27"/>
  <c r="O177" i="27"/>
  <c r="Q177" i="27"/>
  <c r="T177" i="27"/>
  <c r="D178" i="27"/>
  <c r="E178" i="27"/>
  <c r="F178" i="27"/>
  <c r="G178" i="27"/>
  <c r="H178" i="27"/>
  <c r="I188" i="27"/>
  <c r="J188" i="27"/>
  <c r="K188" i="27"/>
  <c r="L188" i="27"/>
  <c r="M188" i="27"/>
  <c r="I191" i="27"/>
  <c r="J191" i="27"/>
  <c r="K191" i="27"/>
  <c r="L191" i="27"/>
  <c r="M191" i="27"/>
  <c r="I192" i="27"/>
  <c r="J192" i="27"/>
  <c r="K192" i="27"/>
  <c r="L192" i="27"/>
  <c r="M192" i="27"/>
  <c r="O192" i="27"/>
  <c r="O217" i="27" s="1"/>
  <c r="P192" i="27"/>
  <c r="Q192" i="27"/>
  <c r="I196" i="27"/>
  <c r="J196" i="27"/>
  <c r="K196" i="27"/>
  <c r="L196" i="27"/>
  <c r="M196" i="27"/>
  <c r="I199" i="27"/>
  <c r="J199" i="27"/>
  <c r="K199" i="27"/>
  <c r="L199" i="27"/>
  <c r="M199" i="27"/>
  <c r="I200" i="27"/>
  <c r="I208" i="27"/>
  <c r="I217" i="27" s="1"/>
  <c r="I216" i="27"/>
  <c r="J200" i="27"/>
  <c r="K200" i="27"/>
  <c r="L200" i="27"/>
  <c r="M200" i="27"/>
  <c r="M217" i="27" s="1"/>
  <c r="M208" i="27"/>
  <c r="M216" i="27"/>
  <c r="O200" i="27"/>
  <c r="P200" i="27"/>
  <c r="Q200" i="27"/>
  <c r="I204" i="27"/>
  <c r="J204" i="27"/>
  <c r="K204" i="27"/>
  <c r="L204" i="27"/>
  <c r="M204" i="27"/>
  <c r="I207" i="27"/>
  <c r="J207" i="27"/>
  <c r="K207" i="27"/>
  <c r="L207" i="27"/>
  <c r="M207" i="27"/>
  <c r="J208" i="27"/>
  <c r="K208" i="27"/>
  <c r="L208" i="27"/>
  <c r="O208" i="27"/>
  <c r="P208" i="27"/>
  <c r="Q208" i="27"/>
  <c r="I212" i="27"/>
  <c r="J212" i="27"/>
  <c r="K212" i="27"/>
  <c r="L212" i="27"/>
  <c r="M212" i="27"/>
  <c r="I215" i="27"/>
  <c r="J215" i="27"/>
  <c r="K215" i="27"/>
  <c r="L215" i="27"/>
  <c r="M215" i="27"/>
  <c r="J216" i="27"/>
  <c r="K216" i="27"/>
  <c r="L216" i="27"/>
  <c r="O216" i="27"/>
  <c r="P216" i="27"/>
  <c r="Q216" i="27"/>
  <c r="T216" i="27"/>
  <c r="D217" i="27"/>
  <c r="E217" i="27"/>
  <c r="F217" i="27"/>
  <c r="G217" i="27"/>
  <c r="H217" i="27"/>
  <c r="P217" i="27"/>
  <c r="O227" i="27"/>
  <c r="P227" i="27"/>
  <c r="Q227" i="27"/>
  <c r="Q231" i="27"/>
  <c r="Q240" i="27" s="1"/>
  <c r="Q235" i="27"/>
  <c r="Q239" i="27"/>
  <c r="I231" i="27"/>
  <c r="S231" i="27" s="1"/>
  <c r="J231" i="27"/>
  <c r="K231" i="27"/>
  <c r="L231" i="27"/>
  <c r="M231" i="27"/>
  <c r="O231" i="27"/>
  <c r="P231" i="27"/>
  <c r="I235" i="27"/>
  <c r="J235" i="27"/>
  <c r="K235" i="27"/>
  <c r="L235" i="27"/>
  <c r="M235" i="27"/>
  <c r="O235" i="27"/>
  <c r="P235" i="27"/>
  <c r="I239" i="27"/>
  <c r="J239" i="27"/>
  <c r="J240" i="27" s="1"/>
  <c r="K239" i="27"/>
  <c r="L239" i="27"/>
  <c r="M239" i="27"/>
  <c r="O239" i="27"/>
  <c r="P239" i="27"/>
  <c r="T239" i="27"/>
  <c r="D240" i="27"/>
  <c r="E240" i="27"/>
  <c r="F240" i="27"/>
  <c r="F11" i="27"/>
  <c r="G240" i="27"/>
  <c r="G11" i="27"/>
  <c r="H240" i="27"/>
  <c r="H11" i="27"/>
  <c r="O250" i="27"/>
  <c r="P250" i="27"/>
  <c r="Q250" i="27"/>
  <c r="I254" i="27"/>
  <c r="J254" i="27"/>
  <c r="K254" i="27"/>
  <c r="L254" i="27"/>
  <c r="M254" i="27"/>
  <c r="O254" i="27"/>
  <c r="P254" i="27"/>
  <c r="Q254" i="27"/>
  <c r="I258" i="27"/>
  <c r="J258" i="27"/>
  <c r="K258" i="27"/>
  <c r="L258" i="27"/>
  <c r="M258" i="27"/>
  <c r="O258" i="27"/>
  <c r="P258" i="27"/>
  <c r="P262" i="27"/>
  <c r="P263" i="27" s="1"/>
  <c r="Q258" i="27"/>
  <c r="T258" i="27" s="1"/>
  <c r="I262" i="27"/>
  <c r="J262" i="27"/>
  <c r="K262" i="27"/>
  <c r="L262" i="27"/>
  <c r="L263" i="27"/>
  <c r="L12" i="27" s="1"/>
  <c r="M262" i="27"/>
  <c r="O262" i="27"/>
  <c r="O263" i="27"/>
  <c r="Q262" i="27"/>
  <c r="T262" i="27" s="1"/>
  <c r="D263" i="27"/>
  <c r="D12" i="27"/>
  <c r="E263" i="27"/>
  <c r="E12" i="27" s="1"/>
  <c r="F263" i="27"/>
  <c r="F12" i="27"/>
  <c r="G263" i="27"/>
  <c r="G12" i="27" s="1"/>
  <c r="H263" i="27"/>
  <c r="H12" i="27"/>
  <c r="P12" i="27" s="1"/>
  <c r="P9" i="17"/>
  <c r="E16" i="17" s="1"/>
  <c r="P17" i="17"/>
  <c r="E17" i="17" s="1"/>
  <c r="P18" i="17"/>
  <c r="E18" i="17" s="1"/>
  <c r="P19" i="17"/>
  <c r="E19" i="17" s="1"/>
  <c r="P14" i="17"/>
  <c r="P16" i="17"/>
  <c r="P20" i="17"/>
  <c r="E11" i="17" s="1"/>
  <c r="Q9" i="17"/>
  <c r="G16" i="17" s="1"/>
  <c r="C46" i="17" s="1"/>
  <c r="Q17" i="17"/>
  <c r="G17" i="17" s="1"/>
  <c r="Q18" i="17"/>
  <c r="G18" i="17" s="1"/>
  <c r="Q19" i="17"/>
  <c r="G19" i="17" s="1"/>
  <c r="Q14" i="17"/>
  <c r="G10" i="17" s="1"/>
  <c r="G13" i="17" s="1"/>
  <c r="G26" i="17" s="1"/>
  <c r="Q16" i="17"/>
  <c r="Q20" i="17"/>
  <c r="G11" i="17" s="1"/>
  <c r="R9" i="17"/>
  <c r="H16" i="17" s="1"/>
  <c r="R17" i="17"/>
  <c r="H17" i="17" s="1"/>
  <c r="R18" i="17"/>
  <c r="H18" i="17" s="1"/>
  <c r="R19" i="17"/>
  <c r="H19" i="17" s="1"/>
  <c r="R14" i="17"/>
  <c r="H10" i="17" s="1"/>
  <c r="R16" i="17"/>
  <c r="R20" i="17"/>
  <c r="H11" i="17" s="1"/>
  <c r="S9" i="17"/>
  <c r="I16" i="17" s="1"/>
  <c r="I27" i="17" s="1"/>
  <c r="S17" i="17"/>
  <c r="I17" i="17" s="1"/>
  <c r="S18" i="17"/>
  <c r="I18" i="17"/>
  <c r="S19" i="17"/>
  <c r="I19" i="17" s="1"/>
  <c r="S14" i="17"/>
  <c r="S16" i="17"/>
  <c r="S20" i="17"/>
  <c r="I11" i="17" s="1"/>
  <c r="D6" i="13"/>
  <c r="AN6" i="13" s="1"/>
  <c r="F6" i="13"/>
  <c r="H6" i="13"/>
  <c r="D7" i="13"/>
  <c r="AN7" i="13" s="1"/>
  <c r="G7" i="13"/>
  <c r="D8" i="13"/>
  <c r="AM8" i="13" s="1"/>
  <c r="D9" i="13"/>
  <c r="AM9" i="13" s="1"/>
  <c r="E9" i="13"/>
  <c r="F9" i="13"/>
  <c r="G9" i="13"/>
  <c r="H9" i="13"/>
  <c r="D10" i="13"/>
  <c r="AN10" i="13" s="1"/>
  <c r="G10" i="13"/>
  <c r="H10" i="13"/>
  <c r="D11" i="13"/>
  <c r="AN11" i="13" s="1"/>
  <c r="E11" i="13"/>
  <c r="F11" i="13"/>
  <c r="H11" i="13"/>
  <c r="D12" i="13"/>
  <c r="I12" i="13" s="1"/>
  <c r="D13" i="13"/>
  <c r="I13" i="13" s="1"/>
  <c r="D14" i="13"/>
  <c r="I14" i="13" s="1"/>
  <c r="D15" i="13"/>
  <c r="I15" i="13" s="1"/>
  <c r="D16" i="13"/>
  <c r="I16" i="13" s="1"/>
  <c r="D17" i="13"/>
  <c r="I17" i="13" s="1"/>
  <c r="D18" i="13"/>
  <c r="I18" i="13" s="1"/>
  <c r="D19" i="13"/>
  <c r="I19" i="13" s="1"/>
  <c r="D20" i="13"/>
  <c r="I20" i="13" s="1"/>
  <c r="D23" i="13"/>
  <c r="I23" i="13" s="1"/>
  <c r="D24" i="13"/>
  <c r="I24" i="13" s="1"/>
  <c r="D25" i="13"/>
  <c r="I25" i="13" s="1"/>
  <c r="D26" i="13"/>
  <c r="I26" i="13" s="1"/>
  <c r="O36" i="13"/>
  <c r="V36" i="13" s="1"/>
  <c r="D36" i="13"/>
  <c r="I36" i="13" s="1"/>
  <c r="P64" i="17" s="1"/>
  <c r="Z21" i="13"/>
  <c r="AQ21" i="13" s="1"/>
  <c r="Z22" i="13"/>
  <c r="AQ22" i="13" s="1"/>
  <c r="Z27" i="13"/>
  <c r="AQ27" i="13" s="1"/>
  <c r="Z28" i="13"/>
  <c r="AQ28" i="13" s="1"/>
  <c r="Z29" i="13"/>
  <c r="AQ29" i="13" s="1"/>
  <c r="Z30" i="13"/>
  <c r="AQ30" i="13" s="1"/>
  <c r="Z31" i="13"/>
  <c r="AQ31" i="13" s="1"/>
  <c r="Z32" i="13"/>
  <c r="AQ32" i="13" s="1"/>
  <c r="Z33" i="13"/>
  <c r="AQ33" i="13" s="1"/>
  <c r="Z34" i="13"/>
  <c r="AQ34" i="13" s="1"/>
  <c r="Z35" i="13"/>
  <c r="AQ35" i="13" s="1"/>
  <c r="L36" i="13"/>
  <c r="S36" i="13" s="1"/>
  <c r="Z37" i="13"/>
  <c r="AQ37" i="13" s="1"/>
  <c r="Z38" i="13"/>
  <c r="AQ38" i="13" s="1"/>
  <c r="AR29" i="13"/>
  <c r="AR30" i="13"/>
  <c r="AR33" i="13"/>
  <c r="M36" i="13"/>
  <c r="T36" i="13" s="1"/>
  <c r="AR37" i="13"/>
  <c r="AB21" i="13"/>
  <c r="AS21" i="13" s="1"/>
  <c r="AB22" i="13"/>
  <c r="AS22" i="13" s="1"/>
  <c r="AB27" i="13"/>
  <c r="AS27" i="13" s="1"/>
  <c r="AB28" i="13"/>
  <c r="AS28" i="13" s="1"/>
  <c r="AB29" i="13"/>
  <c r="AS29" i="13" s="1"/>
  <c r="AB30" i="13"/>
  <c r="AS30" i="13" s="1"/>
  <c r="AB31" i="13"/>
  <c r="AS31" i="13" s="1"/>
  <c r="AB32" i="13"/>
  <c r="AS32" i="13" s="1"/>
  <c r="AB33" i="13"/>
  <c r="AS33" i="13" s="1"/>
  <c r="AB34" i="13"/>
  <c r="AS34" i="13" s="1"/>
  <c r="AB35" i="13"/>
  <c r="AS35" i="13" s="1"/>
  <c r="N36" i="13"/>
  <c r="AB36" i="13"/>
  <c r="AS36" i="13" s="1"/>
  <c r="AB37" i="13"/>
  <c r="AS37" i="13" s="1"/>
  <c r="AB38" i="13"/>
  <c r="AS38" i="13" s="1"/>
  <c r="O7" i="17"/>
  <c r="P7" i="17"/>
  <c r="Q7" i="17"/>
  <c r="R7" i="17"/>
  <c r="S7" i="17"/>
  <c r="O8" i="17"/>
  <c r="P8" i="17"/>
  <c r="Q8" i="17"/>
  <c r="R8" i="17"/>
  <c r="S8" i="17"/>
  <c r="O10" i="17"/>
  <c r="P10" i="17"/>
  <c r="Q10" i="17"/>
  <c r="R10" i="17"/>
  <c r="S10" i="17"/>
  <c r="O11" i="17"/>
  <c r="Q11" i="17"/>
  <c r="S11" i="17"/>
  <c r="P12" i="17"/>
  <c r="S12" i="17"/>
  <c r="O15" i="17"/>
  <c r="P15" i="17"/>
  <c r="Q15" i="17"/>
  <c r="R15" i="17"/>
  <c r="S15" i="17"/>
  <c r="P21" i="17"/>
  <c r="Q21" i="17"/>
  <c r="R21" i="17"/>
  <c r="S21" i="17"/>
  <c r="O22" i="17"/>
  <c r="P22" i="17"/>
  <c r="Q22" i="17"/>
  <c r="R22" i="17"/>
  <c r="S22" i="17"/>
  <c r="O23" i="17"/>
  <c r="P23" i="17"/>
  <c r="Q23" i="17"/>
  <c r="R23" i="17"/>
  <c r="S23" i="17"/>
  <c r="S24" i="17"/>
  <c r="O27" i="17"/>
  <c r="P28" i="17"/>
  <c r="AM13" i="13"/>
  <c r="AM20" i="13"/>
  <c r="D21" i="13"/>
  <c r="I21" i="13" s="1"/>
  <c r="L21" i="13"/>
  <c r="M21" i="13"/>
  <c r="T21" i="13" s="1"/>
  <c r="N21" i="13"/>
  <c r="U21" i="13" s="1"/>
  <c r="O21" i="13"/>
  <c r="D22" i="13"/>
  <c r="I22" i="13" s="1"/>
  <c r="L22" i="13"/>
  <c r="S22" i="13" s="1"/>
  <c r="M22" i="13"/>
  <c r="T22" i="13" s="1"/>
  <c r="N22" i="13"/>
  <c r="O22" i="13"/>
  <c r="V22" i="13" s="1"/>
  <c r="AN26" i="13"/>
  <c r="D27" i="13"/>
  <c r="AM27" i="13" s="1"/>
  <c r="L27" i="13"/>
  <c r="M27" i="13"/>
  <c r="T27" i="13" s="1"/>
  <c r="N27" i="13"/>
  <c r="U27" i="13" s="1"/>
  <c r="O27" i="13"/>
  <c r="V27" i="13" s="1"/>
  <c r="D28" i="13"/>
  <c r="I28" i="13" s="1"/>
  <c r="L28" i="13"/>
  <c r="M28" i="13"/>
  <c r="N28" i="13"/>
  <c r="O28" i="13"/>
  <c r="D29" i="13"/>
  <c r="AM29" i="13" s="1"/>
  <c r="L29" i="13"/>
  <c r="M29" i="13"/>
  <c r="N29" i="13"/>
  <c r="O29" i="13"/>
  <c r="D30" i="13"/>
  <c r="I30" i="13"/>
  <c r="L30" i="13"/>
  <c r="S30" i="13" s="1"/>
  <c r="M30" i="13"/>
  <c r="T30" i="13" s="1"/>
  <c r="N30" i="13"/>
  <c r="O30" i="13"/>
  <c r="V30" i="13" s="1"/>
  <c r="D31" i="13"/>
  <c r="I31" i="13" s="1"/>
  <c r="L31" i="13"/>
  <c r="S31" i="13" s="1"/>
  <c r="M31" i="13"/>
  <c r="N31" i="13"/>
  <c r="O31" i="13"/>
  <c r="D32" i="13"/>
  <c r="AM32" i="13" s="1"/>
  <c r="L32" i="13"/>
  <c r="M32" i="13"/>
  <c r="N32" i="13"/>
  <c r="O32" i="13"/>
  <c r="D33" i="13"/>
  <c r="AM33" i="13" s="1"/>
  <c r="L33" i="13"/>
  <c r="S33" i="13" s="1"/>
  <c r="M33" i="13"/>
  <c r="N33" i="13"/>
  <c r="U33" i="13" s="1"/>
  <c r="O33" i="13"/>
  <c r="V33" i="13" s="1"/>
  <c r="D34" i="13"/>
  <c r="I34" i="13"/>
  <c r="L34" i="13"/>
  <c r="M34" i="13"/>
  <c r="N34" i="13"/>
  <c r="U34" i="13" s="1"/>
  <c r="O34" i="13"/>
  <c r="D35" i="13"/>
  <c r="L35" i="13"/>
  <c r="S35" i="13" s="1"/>
  <c r="M35" i="13"/>
  <c r="N35" i="13"/>
  <c r="O35" i="13"/>
  <c r="V35" i="13" s="1"/>
  <c r="D37" i="13"/>
  <c r="I37" i="13" s="1"/>
  <c r="W37" i="13" s="1"/>
  <c r="L37" i="13"/>
  <c r="S37" i="13" s="1"/>
  <c r="M37" i="13"/>
  <c r="T37" i="13" s="1"/>
  <c r="N37" i="13"/>
  <c r="U37" i="13" s="1"/>
  <c r="O37" i="13"/>
  <c r="V37" i="13" s="1"/>
  <c r="D38" i="13"/>
  <c r="I38" i="13" s="1"/>
  <c r="AM38" i="13"/>
  <c r="L38" i="13"/>
  <c r="M38" i="13"/>
  <c r="N38" i="13"/>
  <c r="O38" i="13"/>
  <c r="B3" i="19"/>
  <c r="B4" i="19"/>
  <c r="B5" i="19"/>
  <c r="B6" i="19"/>
  <c r="E57" i="16"/>
  <c r="H57" i="16"/>
  <c r="E58" i="16"/>
  <c r="H58" i="16"/>
  <c r="G58" i="16" s="1"/>
  <c r="I58" i="16" s="1"/>
  <c r="E73" i="16"/>
  <c r="H73" i="16"/>
  <c r="E74" i="16"/>
  <c r="H74" i="16"/>
  <c r="G74" i="16" s="1"/>
  <c r="I74" i="16" s="1"/>
  <c r="E79" i="16"/>
  <c r="H79" i="16"/>
  <c r="G79" i="16" s="1"/>
  <c r="I79" i="16" s="1"/>
  <c r="E40" i="16"/>
  <c r="H40" i="16"/>
  <c r="G40" i="16" s="1"/>
  <c r="I40" i="16" s="1"/>
  <c r="E41" i="16"/>
  <c r="H41" i="16"/>
  <c r="E80" i="16"/>
  <c r="H80" i="16"/>
  <c r="G80" i="16" s="1"/>
  <c r="I80" i="16" s="1"/>
  <c r="E147" i="16"/>
  <c r="H147" i="16"/>
  <c r="E148" i="16"/>
  <c r="H148" i="16"/>
  <c r="E151" i="16"/>
  <c r="H151" i="16"/>
  <c r="G151" i="16" s="1"/>
  <c r="I151" i="16" s="1"/>
  <c r="E152" i="16"/>
  <c r="H152" i="16"/>
  <c r="G152" i="16" s="1"/>
  <c r="I152" i="16" s="1"/>
  <c r="E155" i="16"/>
  <c r="H155" i="16"/>
  <c r="E156" i="16"/>
  <c r="H156" i="16"/>
  <c r="E157" i="16"/>
  <c r="G157" i="16" s="1"/>
  <c r="I157" i="16" s="1"/>
  <c r="H157" i="16"/>
  <c r="T254" i="27"/>
  <c r="F55" i="28"/>
  <c r="L74" i="27"/>
  <c r="J74" i="27"/>
  <c r="M68" i="27"/>
  <c r="K68" i="27"/>
  <c r="I68" i="27"/>
  <c r="L62" i="27"/>
  <c r="J62" i="27"/>
  <c r="M56" i="27"/>
  <c r="I56" i="27"/>
  <c r="M10" i="28"/>
  <c r="M25" i="28"/>
  <c r="K10" i="28"/>
  <c r="K25" i="28"/>
  <c r="I10" i="28"/>
  <c r="I25" i="28"/>
  <c r="G10" i="28"/>
  <c r="G25" i="28"/>
  <c r="E10" i="28"/>
  <c r="E25" i="28"/>
  <c r="J263" i="27"/>
  <c r="J12" i="27"/>
  <c r="S153" i="27"/>
  <c r="M106" i="27"/>
  <c r="K106" i="27"/>
  <c r="I106" i="27"/>
  <c r="M74" i="27"/>
  <c r="K74" i="27"/>
  <c r="I74" i="27"/>
  <c r="L68" i="27"/>
  <c r="J68" i="27"/>
  <c r="M62" i="27"/>
  <c r="K62" i="27"/>
  <c r="I62" i="27"/>
  <c r="L56" i="27"/>
  <c r="J56" i="27"/>
  <c r="S22" i="27"/>
  <c r="T14" i="27"/>
  <c r="S129" i="28"/>
  <c r="C129" i="28"/>
  <c r="S111" i="28"/>
  <c r="C111" i="28"/>
  <c r="AM30" i="13"/>
  <c r="AN30" i="13"/>
  <c r="D11" i="27"/>
  <c r="D13" i="27"/>
  <c r="C55" i="28"/>
  <c r="D55" i="28"/>
  <c r="H10" i="27"/>
  <c r="P10" i="27"/>
  <c r="F10" i="27"/>
  <c r="D10" i="27"/>
  <c r="G10" i="27"/>
  <c r="AM6" i="13"/>
  <c r="S200" i="27"/>
  <c r="T200" i="27"/>
  <c r="J217" i="27"/>
  <c r="Q178" i="27"/>
  <c r="T153" i="27"/>
  <c r="F98" i="28"/>
  <c r="K111" i="28"/>
  <c r="AM35" i="13"/>
  <c r="P31" i="27"/>
  <c r="Q31" i="27"/>
  <c r="O31" i="27"/>
  <c r="S177" i="27"/>
  <c r="T169" i="27"/>
  <c r="S161" i="27"/>
  <c r="O178" i="27"/>
  <c r="L178" i="27"/>
  <c r="J178" i="27"/>
  <c r="J75" i="27"/>
  <c r="I35" i="27"/>
  <c r="I27" i="13"/>
  <c r="AN27" i="13"/>
  <c r="K137" i="27"/>
  <c r="K56" i="27"/>
  <c r="O39" i="27"/>
  <c r="Q39" i="27"/>
  <c r="T39" i="27" s="1"/>
  <c r="S65" i="28"/>
  <c r="Z36" i="13"/>
  <c r="AQ36" i="13" s="1"/>
  <c r="S262" i="27"/>
  <c r="M240" i="27"/>
  <c r="M11" i="27" s="1"/>
  <c r="M13" i="27" s="1"/>
  <c r="S235" i="27"/>
  <c r="I240" i="27"/>
  <c r="I11" i="27"/>
  <c r="K240" i="27"/>
  <c r="K11" i="27" s="1"/>
  <c r="S11" i="27" s="1"/>
  <c r="F75" i="27"/>
  <c r="I43" i="27"/>
  <c r="G55" i="28"/>
  <c r="H55" i="28"/>
  <c r="L10" i="28"/>
  <c r="L25" i="28"/>
  <c r="J10" i="28"/>
  <c r="J25" i="28"/>
  <c r="H10" i="28"/>
  <c r="H25" i="28"/>
  <c r="F10" i="28"/>
  <c r="F25" i="28"/>
  <c r="D10" i="28"/>
  <c r="D25" i="28"/>
  <c r="AD36" i="13"/>
  <c r="AU36" i="13" s="1"/>
  <c r="I263" i="27"/>
  <c r="I12" i="27"/>
  <c r="K263" i="27"/>
  <c r="K12" i="27"/>
  <c r="Q263" i="27"/>
  <c r="S250" i="27"/>
  <c r="T235" i="27"/>
  <c r="O240" i="27"/>
  <c r="L240" i="27"/>
  <c r="L11" i="27"/>
  <c r="S227" i="27"/>
  <c r="T240" i="27"/>
  <c r="S208" i="27"/>
  <c r="T208" i="27"/>
  <c r="K217" i="27"/>
  <c r="Q217" i="27"/>
  <c r="T217" i="27" s="1"/>
  <c r="S192" i="27"/>
  <c r="J137" i="27"/>
  <c r="J106" i="27"/>
  <c r="E75" i="27"/>
  <c r="M75" i="27"/>
  <c r="I75" i="27"/>
  <c r="L75" i="27"/>
  <c r="H75" i="27"/>
  <c r="D75" i="27"/>
  <c r="K39" i="27"/>
  <c r="K31" i="27"/>
  <c r="K129" i="28"/>
  <c r="T161" i="27"/>
  <c r="T192" i="27"/>
  <c r="T227" i="27"/>
  <c r="T263" i="27"/>
  <c r="T250" i="27"/>
  <c r="T178" i="27"/>
  <c r="AM11" i="13"/>
  <c r="I8" i="13"/>
  <c r="G147" i="16"/>
  <c r="I147" i="16" s="1"/>
  <c r="H100" i="28"/>
  <c r="H98" i="28"/>
  <c r="C83" i="28"/>
  <c r="C65" i="28"/>
  <c r="K65" i="28"/>
  <c r="P27" i="17"/>
  <c r="Q28" i="17" s="1"/>
  <c r="E6" i="13"/>
  <c r="I32" i="13"/>
  <c r="W32" i="13" s="1"/>
  <c r="AM26" i="13"/>
  <c r="AM16" i="13"/>
  <c r="AM12" i="13"/>
  <c r="I10" i="17"/>
  <c r="E11" i="19"/>
  <c r="AM10" i="13"/>
  <c r="AM7" i="13"/>
  <c r="F11" i="17"/>
  <c r="AM22" i="13"/>
  <c r="G156" i="16"/>
  <c r="I156" i="16"/>
  <c r="AM36" i="13"/>
  <c r="E10" i="17"/>
  <c r="E13" i="17" s="1"/>
  <c r="E26" i="17" s="1"/>
  <c r="AN8" i="13"/>
  <c r="AN37" i="13"/>
  <c r="AM28" i="13"/>
  <c r="AM34" i="13"/>
  <c r="G41" i="16"/>
  <c r="I41" i="16" s="1"/>
  <c r="AN36" i="13"/>
  <c r="AM23" i="13"/>
  <c r="S27" i="13"/>
  <c r="G148" i="16"/>
  <c r="I148" i="16" s="1"/>
  <c r="AN34" i="13"/>
  <c r="AM31" i="13"/>
  <c r="AM18" i="13"/>
  <c r="I33" i="13"/>
  <c r="AN24" i="13"/>
  <c r="AM14" i="13"/>
  <c r="AM24" i="13"/>
  <c r="I11" i="13"/>
  <c r="I10" i="13"/>
  <c r="G39" i="13"/>
  <c r="H7" i="13"/>
  <c r="H39" i="13" s="1"/>
  <c r="F7" i="13"/>
  <c r="F39" i="13" s="1"/>
  <c r="E7" i="13"/>
  <c r="I6" i="13"/>
  <c r="F12" i="19"/>
  <c r="D15" i="27"/>
  <c r="D16" i="27"/>
  <c r="Q12" i="27"/>
  <c r="T12" i="27"/>
  <c r="O12" i="27"/>
  <c r="M10" i="27"/>
  <c r="AN38" i="13"/>
  <c r="AN21" i="13"/>
  <c r="AM21" i="13"/>
  <c r="G73" i="16"/>
  <c r="I73" i="16" s="1"/>
  <c r="AM19" i="13"/>
  <c r="S254" i="27"/>
  <c r="E10" i="27"/>
  <c r="Q10" i="27" s="1"/>
  <c r="T10" i="27" s="1"/>
  <c r="K43" i="27"/>
  <c r="K35" i="27"/>
  <c r="O22" i="27"/>
  <c r="G101" i="28"/>
  <c r="K10" i="27"/>
  <c r="S216" i="27"/>
  <c r="S169" i="27"/>
  <c r="I9" i="13"/>
  <c r="AN35" i="13"/>
  <c r="I35" i="13"/>
  <c r="B20" i="19"/>
  <c r="B21" i="19"/>
  <c r="AN20" i="13"/>
  <c r="AN18" i="13"/>
  <c r="AN16" i="13"/>
  <c r="AN14" i="13"/>
  <c r="AN12" i="13"/>
  <c r="H27" i="17"/>
  <c r="E27" i="17"/>
  <c r="D27" i="17"/>
  <c r="M43" i="27"/>
  <c r="S43" i="27"/>
  <c r="M263" i="27"/>
  <c r="M12" i="27"/>
  <c r="S39" i="27"/>
  <c r="S12" i="27"/>
  <c r="M35" i="27"/>
  <c r="S35" i="27"/>
  <c r="T35" i="27"/>
  <c r="L13" i="27"/>
  <c r="L15" i="27" s="1"/>
  <c r="K13" i="27"/>
  <c r="S31" i="27"/>
  <c r="G13" i="27"/>
  <c r="G16" i="27" s="1"/>
  <c r="O43" i="27"/>
  <c r="O35" i="27"/>
  <c r="J11" i="27"/>
  <c r="J13" i="27"/>
  <c r="J16" i="27" s="1"/>
  <c r="D266" i="27"/>
  <c r="P240" i="27"/>
  <c r="E11" i="27"/>
  <c r="H13" i="27"/>
  <c r="P11" i="27"/>
  <c r="F13" i="27"/>
  <c r="O10" i="27"/>
  <c r="G15" i="27"/>
  <c r="T231" i="27"/>
  <c r="T31" i="27"/>
  <c r="I13" i="27"/>
  <c r="J15" i="27"/>
  <c r="I10" i="27"/>
  <c r="L217" i="27"/>
  <c r="L10" i="27" s="1"/>
  <c r="S217" i="27"/>
  <c r="J10" i="27"/>
  <c r="S178" i="27"/>
  <c r="S10" i="27"/>
  <c r="I137" i="27"/>
  <c r="L137" i="27"/>
  <c r="M137" i="27"/>
  <c r="Q22" i="27"/>
  <c r="T22" i="27"/>
  <c r="H97" i="28"/>
  <c r="H101" i="28" s="1"/>
  <c r="F101" i="28"/>
  <c r="C97" i="28"/>
  <c r="C101" i="28"/>
  <c r="D101" i="28"/>
  <c r="U22" i="13"/>
  <c r="U36" i="13"/>
  <c r="U30" i="13"/>
  <c r="E12" i="19"/>
  <c r="E20" i="19" s="1"/>
  <c r="E21" i="19" s="1"/>
  <c r="Q27" i="17"/>
  <c r="R28" i="17" s="1"/>
  <c r="E39" i="13"/>
  <c r="M15" i="27"/>
  <c r="M16" i="27"/>
  <c r="H16" i="27"/>
  <c r="P13" i="27"/>
  <c r="H15" i="27"/>
  <c r="P15" i="27" s="1"/>
  <c r="F15" i="27"/>
  <c r="F16" i="27"/>
  <c r="I15" i="27"/>
  <c r="I16" i="27"/>
  <c r="R27" i="17"/>
  <c r="I53" i="12"/>
  <c r="I52" i="12"/>
  <c r="I50" i="12"/>
  <c r="I49" i="12"/>
  <c r="S27" i="17"/>
  <c r="S28" i="17"/>
  <c r="W35" i="13" l="1"/>
  <c r="W33" i="13"/>
  <c r="E32" i="7"/>
  <c r="G9" i="12" s="1"/>
  <c r="Q63" i="17"/>
  <c r="Q64" i="17"/>
  <c r="F64" i="17"/>
  <c r="AG35" i="13"/>
  <c r="AX38" i="13"/>
  <c r="AX21" i="13"/>
  <c r="AX29" i="13"/>
  <c r="AX35" i="13"/>
  <c r="AG21" i="13"/>
  <c r="AG28" i="13"/>
  <c r="AG27" i="13"/>
  <c r="C20" i="19"/>
  <c r="C21" i="19" s="1"/>
  <c r="AZ36" i="13"/>
  <c r="AX28" i="13"/>
  <c r="BA34" i="13"/>
  <c r="BA30" i="13"/>
  <c r="AH36" i="13"/>
  <c r="D11" i="19"/>
  <c r="D20" i="19" s="1"/>
  <c r="D21" i="19" s="1"/>
  <c r="S34" i="13"/>
  <c r="AZ32" i="13"/>
  <c r="AX34" i="13"/>
  <c r="AZ34" i="13"/>
  <c r="AZ22" i="13"/>
  <c r="AY32" i="13"/>
  <c r="AY28" i="13"/>
  <c r="AX37" i="13"/>
  <c r="BA21" i="13"/>
  <c r="I7" i="13"/>
  <c r="V28" i="13"/>
  <c r="T28" i="13"/>
  <c r="W28" i="13"/>
  <c r="U28" i="13"/>
  <c r="W34" i="13"/>
  <c r="V32" i="13"/>
  <c r="AN28" i="13"/>
  <c r="AN15" i="13"/>
  <c r="AM37" i="13"/>
  <c r="U35" i="13"/>
  <c r="V34" i="13"/>
  <c r="AN19" i="13"/>
  <c r="AM15" i="13"/>
  <c r="AM39" i="13" s="1"/>
  <c r="AN13" i="13"/>
  <c r="AM17" i="13"/>
  <c r="AN32" i="13"/>
  <c r="T34" i="13"/>
  <c r="S32" i="13"/>
  <c r="AR36" i="13"/>
  <c r="AY36" i="13" s="1"/>
  <c r="S28" i="13"/>
  <c r="T35" i="13"/>
  <c r="AG38" i="13"/>
  <c r="AG34" i="13"/>
  <c r="AG30" i="13"/>
  <c r="AI37" i="13"/>
  <c r="AJ30" i="13"/>
  <c r="AM25" i="13"/>
  <c r="AN25" i="13"/>
  <c r="T32" i="13"/>
  <c r="AN17" i="13"/>
  <c r="AN23" i="13"/>
  <c r="D39" i="13"/>
  <c r="I39" i="13" s="1"/>
  <c r="G98" i="16"/>
  <c r="I98" i="16" s="1"/>
  <c r="G96" i="16"/>
  <c r="I96" i="16" s="1"/>
  <c r="G94" i="16"/>
  <c r="I94" i="16" s="1"/>
  <c r="G87" i="16"/>
  <c r="I87" i="16" s="1"/>
  <c r="G78" i="16"/>
  <c r="I78" i="16" s="1"/>
  <c r="AG36" i="13"/>
  <c r="G95" i="16"/>
  <c r="I95" i="16" s="1"/>
  <c r="G88" i="16"/>
  <c r="I88" i="16" s="1"/>
  <c r="G86" i="16"/>
  <c r="I86" i="16" s="1"/>
  <c r="G70" i="16"/>
  <c r="I70" i="16" s="1"/>
  <c r="T31" i="13"/>
  <c r="C20" i="12"/>
  <c r="C42" i="12"/>
  <c r="C21" i="12"/>
  <c r="U32" i="13"/>
  <c r="G145" i="16"/>
  <c r="I145" i="16" s="1"/>
  <c r="G136" i="16"/>
  <c r="I136" i="16" s="1"/>
  <c r="G131" i="16"/>
  <c r="I131" i="16" s="1"/>
  <c r="G123" i="16"/>
  <c r="I123" i="16" s="1"/>
  <c r="G117" i="16"/>
  <c r="I117" i="16" s="1"/>
  <c r="G109" i="16"/>
  <c r="I109" i="16" s="1"/>
  <c r="G37" i="16"/>
  <c r="I37" i="16" s="1"/>
  <c r="G29" i="16"/>
  <c r="I29" i="16" s="1"/>
  <c r="G21" i="16"/>
  <c r="I21" i="16" s="1"/>
  <c r="G154" i="16"/>
  <c r="I154" i="16" s="1"/>
  <c r="G72" i="16"/>
  <c r="I72" i="16" s="1"/>
  <c r="G68" i="16"/>
  <c r="I68" i="16" s="1"/>
  <c r="G66" i="16"/>
  <c r="I66" i="16" s="1"/>
  <c r="G64" i="16"/>
  <c r="I64" i="16" s="1"/>
  <c r="G60" i="16"/>
  <c r="I60" i="16" s="1"/>
  <c r="G56" i="16"/>
  <c r="I56" i="16" s="1"/>
  <c r="G54" i="16"/>
  <c r="I54" i="16" s="1"/>
  <c r="G52" i="16"/>
  <c r="I52" i="16" s="1"/>
  <c r="G50" i="16"/>
  <c r="I50" i="16" s="1"/>
  <c r="G48" i="16"/>
  <c r="I48" i="16" s="1"/>
  <c r="G46" i="16"/>
  <c r="I46" i="16" s="1"/>
  <c r="G44" i="16"/>
  <c r="I44" i="16" s="1"/>
  <c r="G42" i="16"/>
  <c r="I42" i="16" s="1"/>
  <c r="G155" i="16"/>
  <c r="I155" i="16" s="1"/>
  <c r="G57" i="16"/>
  <c r="I57" i="16" s="1"/>
  <c r="G144" i="16"/>
  <c r="I144" i="16" s="1"/>
  <c r="G139" i="16"/>
  <c r="I139" i="16" s="1"/>
  <c r="G137" i="16"/>
  <c r="I137" i="16" s="1"/>
  <c r="G127" i="16"/>
  <c r="I127" i="16" s="1"/>
  <c r="G149" i="16"/>
  <c r="I149" i="16" s="1"/>
  <c r="G113" i="16"/>
  <c r="I113" i="16" s="1"/>
  <c r="G105" i="16"/>
  <c r="I105" i="16" s="1"/>
  <c r="G100" i="16"/>
  <c r="I100" i="16" s="1"/>
  <c r="G33" i="16"/>
  <c r="I33" i="16" s="1"/>
  <c r="G25" i="16"/>
  <c r="I25" i="16" s="1"/>
  <c r="G20" i="16"/>
  <c r="I20" i="16" s="1"/>
  <c r="G71" i="16"/>
  <c r="I71" i="16" s="1"/>
  <c r="G67" i="16"/>
  <c r="I67" i="16" s="1"/>
  <c r="G65" i="16"/>
  <c r="I65" i="16" s="1"/>
  <c r="G61" i="16"/>
  <c r="I61" i="16" s="1"/>
  <c r="G59" i="16"/>
  <c r="I59" i="16" s="1"/>
  <c r="G55" i="16"/>
  <c r="I55" i="16" s="1"/>
  <c r="G53" i="16"/>
  <c r="I53" i="16" s="1"/>
  <c r="G51" i="16"/>
  <c r="I51" i="16" s="1"/>
  <c r="G49" i="16"/>
  <c r="I49" i="16" s="1"/>
  <c r="G47" i="16"/>
  <c r="I47" i="16" s="1"/>
  <c r="G45" i="16"/>
  <c r="I45" i="16" s="1"/>
  <c r="G43" i="16"/>
  <c r="I43" i="16" s="1"/>
  <c r="H13" i="17"/>
  <c r="H26" i="17" s="1"/>
  <c r="G27" i="17"/>
  <c r="I13" i="17"/>
  <c r="I26" i="17" s="1"/>
  <c r="D13" i="17"/>
  <c r="D26" i="17" s="1"/>
  <c r="A1" i="36"/>
  <c r="AX33" i="13"/>
  <c r="AX32" i="13"/>
  <c r="AG32" i="13"/>
  <c r="AX31" i="13"/>
  <c r="AG31" i="13"/>
  <c r="AH22" i="13"/>
  <c r="AY31" i="13"/>
  <c r="C47" i="17"/>
  <c r="AY30" i="13"/>
  <c r="S13" i="27"/>
  <c r="AI33" i="13"/>
  <c r="AI34" i="13"/>
  <c r="AZ37" i="13"/>
  <c r="AZ33" i="13"/>
  <c r="BA29" i="13"/>
  <c r="AJ33" i="13"/>
  <c r="AJ28" i="13"/>
  <c r="BA37" i="13"/>
  <c r="AZ29" i="13"/>
  <c r="AI27" i="13"/>
  <c r="AI30" i="13"/>
  <c r="AI35" i="13"/>
  <c r="AZ38" i="13"/>
  <c r="BA35" i="13"/>
  <c r="AZ27" i="13"/>
  <c r="AZ30" i="13"/>
  <c r="AI29" i="13"/>
  <c r="AJ34" i="13"/>
  <c r="AG22" i="13"/>
  <c r="AG33" i="13"/>
  <c r="AG29" i="13"/>
  <c r="AX30" i="13"/>
  <c r="AX22" i="13"/>
  <c r="AG37" i="13"/>
  <c r="Q11" i="27"/>
  <c r="T11" i="27" s="1"/>
  <c r="E13" i="27"/>
  <c r="AY35" i="13"/>
  <c r="AY21" i="13"/>
  <c r="AY37" i="13"/>
  <c r="AH29" i="13"/>
  <c r="AY33" i="13"/>
  <c r="AH27" i="13"/>
  <c r="AY22" i="13"/>
  <c r="AH32" i="13"/>
  <c r="AH38" i="13"/>
  <c r="O11" i="27"/>
  <c r="K16" i="27"/>
  <c r="K15" i="27"/>
  <c r="S15" i="27" s="1"/>
  <c r="AX36" i="13"/>
  <c r="V38" i="13"/>
  <c r="S38" i="13"/>
  <c r="T38" i="13"/>
  <c r="W38" i="13"/>
  <c r="U38" i="13"/>
  <c r="V31" i="13"/>
  <c r="W31" i="13"/>
  <c r="U31" i="13"/>
  <c r="W21" i="13"/>
  <c r="V21" i="13"/>
  <c r="S21" i="13"/>
  <c r="AX27" i="13"/>
  <c r="T33" i="13"/>
  <c r="L16" i="27"/>
  <c r="F11" i="19"/>
  <c r="F20" i="19" s="1"/>
  <c r="F21" i="19" s="1"/>
  <c r="AN29" i="13"/>
  <c r="AN33" i="13"/>
  <c r="I29" i="13"/>
  <c r="AN22" i="13"/>
  <c r="AN31" i="13"/>
  <c r="AN9" i="13"/>
  <c r="S258" i="27"/>
  <c r="S263" i="27" s="1"/>
  <c r="G146" i="16"/>
  <c r="I146" i="16" s="1"/>
  <c r="G142" i="16"/>
  <c r="I142" i="16" s="1"/>
  <c r="G138" i="16"/>
  <c r="I138" i="16" s="1"/>
  <c r="G134" i="16"/>
  <c r="I134" i="16" s="1"/>
  <c r="G7" i="16"/>
  <c r="S239" i="27"/>
  <c r="S240" i="27" s="1"/>
  <c r="C66" i="12"/>
  <c r="C19" i="12" s="1"/>
  <c r="C75" i="12"/>
  <c r="C39" i="12" s="1"/>
  <c r="G6" i="12" s="1"/>
  <c r="G153" i="16"/>
  <c r="I153" i="16" s="1"/>
  <c r="C77" i="12"/>
  <c r="C41" i="12" s="1"/>
  <c r="C76" i="12"/>
  <c r="C40" i="12" s="1"/>
  <c r="P66" i="17"/>
  <c r="N39" i="17"/>
  <c r="O33" i="17" s="1"/>
  <c r="F41" i="12"/>
  <c r="I40" i="12"/>
  <c r="F51" i="12"/>
  <c r="I51" i="12" s="1"/>
  <c r="J51" i="12" s="1"/>
  <c r="F40" i="12"/>
  <c r="G9" i="16" l="1"/>
  <c r="G10" i="12"/>
  <c r="Q67" i="17"/>
  <c r="P61" i="17"/>
  <c r="G59" i="17"/>
  <c r="G60" i="17"/>
  <c r="G62" i="17"/>
  <c r="G63" i="17"/>
  <c r="G61" i="17"/>
  <c r="AJ22" i="13"/>
  <c r="AZ21" i="13"/>
  <c r="AJ31" i="13"/>
  <c r="AI38" i="13"/>
  <c r="AJ29" i="13"/>
  <c r="AZ35" i="13"/>
  <c r="AI28" i="13"/>
  <c r="BA33" i="13"/>
  <c r="AJ27" i="13"/>
  <c r="AJ32" i="13"/>
  <c r="AI31" i="13"/>
  <c r="BA36" i="13"/>
  <c r="AZ28" i="13"/>
  <c r="AI36" i="13"/>
  <c r="AJ36" i="13"/>
  <c r="AI21" i="13"/>
  <c r="AJ37" i="13"/>
  <c r="AZ31" i="13"/>
  <c r="AI32" i="13"/>
  <c r="BA31" i="13"/>
  <c r="BA28" i="13"/>
  <c r="AJ21" i="13"/>
  <c r="BA27" i="13"/>
  <c r="BA32" i="13"/>
  <c r="AJ35" i="13"/>
  <c r="AI22" i="13"/>
  <c r="BA22" i="13"/>
  <c r="AH28" i="13"/>
  <c r="AH35" i="13"/>
  <c r="AH34" i="13"/>
  <c r="AH31" i="13"/>
  <c r="AH33" i="13"/>
  <c r="AY29" i="13"/>
  <c r="AY34" i="13"/>
  <c r="AH21" i="13"/>
  <c r="AH30" i="13"/>
  <c r="AH37" i="13"/>
  <c r="AY38" i="13"/>
  <c r="AY27" i="13"/>
  <c r="BA38" i="13"/>
  <c r="AJ38" i="13"/>
  <c r="G8" i="16"/>
  <c r="G6" i="16"/>
  <c r="J50" i="12"/>
  <c r="J53" i="12"/>
  <c r="J49" i="12"/>
  <c r="J52" i="12"/>
  <c r="I164" i="16"/>
  <c r="D8" i="17"/>
  <c r="D20" i="17" s="1"/>
  <c r="O35" i="17"/>
  <c r="O36" i="17" s="1"/>
  <c r="G7" i="12"/>
  <c r="G8" i="12"/>
  <c r="H8" i="12" s="1"/>
  <c r="F17" i="7" s="1"/>
  <c r="H10" i="12"/>
  <c r="G10" i="16"/>
  <c r="AN39" i="13"/>
  <c r="E16" i="27"/>
  <c r="O13" i="27"/>
  <c r="Q13" i="27"/>
  <c r="T13" i="27" s="1"/>
  <c r="E15" i="27"/>
  <c r="H9" i="12"/>
  <c r="R33" i="17"/>
  <c r="Q33" i="17"/>
  <c r="S33" i="17"/>
  <c r="P33" i="17"/>
  <c r="H6" i="12"/>
  <c r="W29" i="13"/>
  <c r="V29" i="13"/>
  <c r="U29" i="13"/>
  <c r="T29" i="13"/>
  <c r="S29" i="13"/>
  <c r="G64" i="17" l="1"/>
  <c r="P67" i="17"/>
  <c r="R67" i="17" s="1"/>
  <c r="R61" i="17"/>
  <c r="R64" i="17"/>
  <c r="G11" i="16"/>
  <c r="H9" i="16" s="1"/>
  <c r="H7" i="12"/>
  <c r="E17" i="7" s="1"/>
  <c r="H46" i="17" s="1"/>
  <c r="Q35" i="17"/>
  <c r="Q36" i="17" s="1"/>
  <c r="G8" i="17"/>
  <c r="G20" i="17" s="1"/>
  <c r="Q15" i="27"/>
  <c r="T15" i="27" s="1"/>
  <c r="O15" i="27"/>
  <c r="H8" i="17"/>
  <c r="H20" i="17" s="1"/>
  <c r="R35" i="17"/>
  <c r="R36" i="17" s="1"/>
  <c r="P35" i="17"/>
  <c r="P36" i="17" s="1"/>
  <c r="S37" i="17" s="1"/>
  <c r="E8" i="17"/>
  <c r="E20" i="17" s="1"/>
  <c r="G45" i="17"/>
  <c r="E7" i="23" s="1"/>
  <c r="G46" i="17"/>
  <c r="D28" i="17"/>
  <c r="D21" i="17"/>
  <c r="D22" i="17" s="1"/>
  <c r="S35" i="17"/>
  <c r="S36" i="17" s="1"/>
  <c r="I8" i="17"/>
  <c r="I20" i="17" s="1"/>
  <c r="G17" i="7"/>
  <c r="D17" i="7"/>
  <c r="C17" i="7"/>
  <c r="I11" i="16" l="1"/>
  <c r="H45" i="17"/>
  <c r="D7" i="23" s="1"/>
  <c r="H10" i="16"/>
  <c r="G22" i="7" s="1"/>
  <c r="L14" i="13" s="1"/>
  <c r="S14" i="13" s="1"/>
  <c r="Z14" i="13" s="1"/>
  <c r="H8" i="16"/>
  <c r="F22" i="7" s="1"/>
  <c r="M25" i="13" s="1"/>
  <c r="T25" i="13" s="1"/>
  <c r="AA25" i="13" s="1"/>
  <c r="AR25" i="13" s="1"/>
  <c r="AY25" i="13" s="1"/>
  <c r="Q66" i="17"/>
  <c r="R66" i="17" s="1"/>
  <c r="J73" i="17" s="1"/>
  <c r="P73" i="17" s="1"/>
  <c r="P75" i="17" s="1"/>
  <c r="R63" i="17"/>
  <c r="H7" i="16"/>
  <c r="E22" i="7" s="1"/>
  <c r="N10" i="13" s="1"/>
  <c r="U10" i="13" s="1"/>
  <c r="M16" i="13"/>
  <c r="T16" i="13" s="1"/>
  <c r="AA16" i="13" s="1"/>
  <c r="AR16" i="13" s="1"/>
  <c r="AY16" i="13" s="1"/>
  <c r="H6" i="16"/>
  <c r="D22" i="7" s="1"/>
  <c r="C22" i="7"/>
  <c r="P23" i="13" s="1"/>
  <c r="I45" i="17"/>
  <c r="C7" i="23" s="1"/>
  <c r="I46" i="17"/>
  <c r="E45" i="17"/>
  <c r="F7" i="23" s="1"/>
  <c r="E46" i="17"/>
  <c r="E21" i="17"/>
  <c r="E22" i="17" s="1"/>
  <c r="C45" i="17" s="1"/>
  <c r="E28" i="17"/>
  <c r="J45" i="17"/>
  <c r="B6" i="23" s="1"/>
  <c r="J46" i="17"/>
  <c r="M46" i="17"/>
  <c r="D6" i="23"/>
  <c r="I21" i="17"/>
  <c r="I22" i="17" s="1"/>
  <c r="I28" i="17"/>
  <c r="L46" i="17"/>
  <c r="E6" i="23"/>
  <c r="G28" i="17"/>
  <c r="G21" i="17"/>
  <c r="G22" i="17" s="1"/>
  <c r="H28" i="17"/>
  <c r="H21" i="17"/>
  <c r="H22" i="17" s="1"/>
  <c r="P16" i="13" l="1"/>
  <c r="N9" i="13"/>
  <c r="U9" i="13" s="1"/>
  <c r="AB9" i="13" s="1"/>
  <c r="AS9" i="13" s="1"/>
  <c r="AZ9" i="13" s="1"/>
  <c r="N13" i="13"/>
  <c r="U13" i="13" s="1"/>
  <c r="AB13" i="13" s="1"/>
  <c r="AS13" i="13" s="1"/>
  <c r="AZ13" i="13" s="1"/>
  <c r="N26" i="13"/>
  <c r="U26" i="13" s="1"/>
  <c r="AB26" i="13" s="1"/>
  <c r="N8" i="13"/>
  <c r="U8" i="13" s="1"/>
  <c r="AB8" i="13" s="1"/>
  <c r="N16" i="13"/>
  <c r="U16" i="13" s="1"/>
  <c r="AB16" i="13" s="1"/>
  <c r="N24" i="13"/>
  <c r="U24" i="13" s="1"/>
  <c r="AB24" i="13" s="1"/>
  <c r="N7" i="13"/>
  <c r="U7" i="13" s="1"/>
  <c r="AB7" i="13" s="1"/>
  <c r="AI7" i="13" s="1"/>
  <c r="N12" i="13"/>
  <c r="U12" i="13" s="1"/>
  <c r="AB12" i="13" s="1"/>
  <c r="AI12" i="13" s="1"/>
  <c r="M11" i="13"/>
  <c r="T11" i="13" s="1"/>
  <c r="AA11" i="13" s="1"/>
  <c r="AR11" i="13" s="1"/>
  <c r="AY11" i="13" s="1"/>
  <c r="M10" i="13"/>
  <c r="T10" i="13" s="1"/>
  <c r="AA10" i="13" s="1"/>
  <c r="AH10" i="13" s="1"/>
  <c r="M23" i="13"/>
  <c r="T23" i="13" s="1"/>
  <c r="AA23" i="13" s="1"/>
  <c r="AR23" i="13" s="1"/>
  <c r="AY23" i="13" s="1"/>
  <c r="M14" i="13"/>
  <c r="T14" i="13" s="1"/>
  <c r="AA14" i="13" s="1"/>
  <c r="AR14" i="13" s="1"/>
  <c r="AY14" i="13" s="1"/>
  <c r="M18" i="13"/>
  <c r="T18" i="13" s="1"/>
  <c r="AA18" i="13" s="1"/>
  <c r="AR18" i="13" s="1"/>
  <c r="AY18" i="13" s="1"/>
  <c r="M20" i="13"/>
  <c r="T20" i="13" s="1"/>
  <c r="AA20" i="13" s="1"/>
  <c r="M8" i="13"/>
  <c r="T8" i="13" s="1"/>
  <c r="AA8" i="13" s="1"/>
  <c r="AH25" i="13"/>
  <c r="AH11" i="13"/>
  <c r="AH16" i="13"/>
  <c r="P26" i="13"/>
  <c r="W26" i="13" s="1"/>
  <c r="M13" i="13"/>
  <c r="T13" i="13" s="1"/>
  <c r="AA13" i="13" s="1"/>
  <c r="AR13" i="13" s="1"/>
  <c r="AY13" i="13" s="1"/>
  <c r="M15" i="13"/>
  <c r="T15" i="13" s="1"/>
  <c r="AA15" i="13" s="1"/>
  <c r="AR15" i="13" s="1"/>
  <c r="AY15" i="13" s="1"/>
  <c r="M19" i="13"/>
  <c r="T19" i="13" s="1"/>
  <c r="AA19" i="13" s="1"/>
  <c r="M6" i="13"/>
  <c r="T6" i="13" s="1"/>
  <c r="AA6" i="13" s="1"/>
  <c r="AR6" i="13" s="1"/>
  <c r="M26" i="13"/>
  <c r="T26" i="13" s="1"/>
  <c r="AA26" i="13" s="1"/>
  <c r="P11" i="13"/>
  <c r="W11" i="13" s="1"/>
  <c r="P17" i="13"/>
  <c r="M12" i="13"/>
  <c r="T12" i="13" s="1"/>
  <c r="AA12" i="13" s="1"/>
  <c r="AR12" i="13" s="1"/>
  <c r="AY12" i="13" s="1"/>
  <c r="M17" i="13"/>
  <c r="T17" i="13" s="1"/>
  <c r="AA17" i="13" s="1"/>
  <c r="AR17" i="13" s="1"/>
  <c r="AY17" i="13" s="1"/>
  <c r="M24" i="13"/>
  <c r="T24" i="13" s="1"/>
  <c r="AA24" i="13" s="1"/>
  <c r="AR24" i="13" s="1"/>
  <c r="AY24" i="13" s="1"/>
  <c r="M7" i="13"/>
  <c r="T7" i="13" s="1"/>
  <c r="AA7" i="13" s="1"/>
  <c r="M9" i="13"/>
  <c r="T9" i="13" s="1"/>
  <c r="AA9" i="13" s="1"/>
  <c r="P13" i="13"/>
  <c r="W13" i="13" s="1"/>
  <c r="P24" i="13"/>
  <c r="W24" i="13" s="1"/>
  <c r="P19" i="13"/>
  <c r="W19" i="13" s="1"/>
  <c r="P12" i="13"/>
  <c r="W12" i="13" s="1"/>
  <c r="H11" i="16"/>
  <c r="P8" i="13"/>
  <c r="W8" i="13" s="1"/>
  <c r="P7" i="13"/>
  <c r="W7" i="13" s="1"/>
  <c r="N6" i="13"/>
  <c r="U6" i="13" s="1"/>
  <c r="AB6" i="13" s="1"/>
  <c r="AS6" i="13" s="1"/>
  <c r="AS12" i="13"/>
  <c r="AZ12" i="13" s="1"/>
  <c r="AI9" i="13"/>
  <c r="O24" i="13"/>
  <c r="V24" i="13" s="1"/>
  <c r="O26" i="13"/>
  <c r="V26" i="13" s="1"/>
  <c r="O16" i="13"/>
  <c r="V16" i="13" s="1"/>
  <c r="AC16" i="13" s="1"/>
  <c r="O12" i="13"/>
  <c r="O6" i="13"/>
  <c r="V6" i="13" s="1"/>
  <c r="H22" i="7"/>
  <c r="O23" i="13"/>
  <c r="V23" i="13" s="1"/>
  <c r="AC23" i="13" s="1"/>
  <c r="O8" i="13"/>
  <c r="V8" i="13" s="1"/>
  <c r="AC8" i="13" s="1"/>
  <c r="O13" i="13"/>
  <c r="V13" i="13" s="1"/>
  <c r="O18" i="13"/>
  <c r="V18" i="13" s="1"/>
  <c r="O25" i="13"/>
  <c r="V25" i="13" s="1"/>
  <c r="O9" i="13"/>
  <c r="V9" i="13" s="1"/>
  <c r="O14" i="13"/>
  <c r="V14" i="13" s="1"/>
  <c r="O20" i="13"/>
  <c r="V20" i="13" s="1"/>
  <c r="O10" i="13"/>
  <c r="V10" i="13" s="1"/>
  <c r="O17" i="13"/>
  <c r="V17" i="13" s="1"/>
  <c r="AB10" i="13"/>
  <c r="P20" i="13"/>
  <c r="W20" i="13" s="1"/>
  <c r="AD20" i="13" s="1"/>
  <c r="AU20" i="13" s="1"/>
  <c r="P15" i="13"/>
  <c r="W15" i="13" s="1"/>
  <c r="P9" i="13"/>
  <c r="W9" i="13" s="1"/>
  <c r="AD9" i="13" s="1"/>
  <c r="AU9" i="13" s="1"/>
  <c r="P25" i="13"/>
  <c r="W25" i="13" s="1"/>
  <c r="N17" i="13"/>
  <c r="U17" i="13" s="1"/>
  <c r="AB17" i="13" s="1"/>
  <c r="N19" i="13"/>
  <c r="U19" i="13" s="1"/>
  <c r="AB19" i="13" s="1"/>
  <c r="N15" i="13"/>
  <c r="U15" i="13" s="1"/>
  <c r="AB15" i="13" s="1"/>
  <c r="N18" i="13"/>
  <c r="U18" i="13" s="1"/>
  <c r="AB18" i="13" s="1"/>
  <c r="N23" i="13"/>
  <c r="U23" i="13" s="1"/>
  <c r="AB23" i="13" s="1"/>
  <c r="N14" i="13"/>
  <c r="U14" i="13" s="1"/>
  <c r="AB14" i="13" s="1"/>
  <c r="N25" i="13"/>
  <c r="U25" i="13" s="1"/>
  <c r="AB25" i="13" s="1"/>
  <c r="N20" i="13"/>
  <c r="U20" i="13" s="1"/>
  <c r="AB20" i="13" s="1"/>
  <c r="N11" i="13"/>
  <c r="U11" i="13" s="1"/>
  <c r="AB11" i="13" s="1"/>
  <c r="P18" i="13"/>
  <c r="W18" i="13" s="1"/>
  <c r="AD18" i="13" s="1"/>
  <c r="AU18" i="13" s="1"/>
  <c r="P14" i="13"/>
  <c r="W14" i="13" s="1"/>
  <c r="P10" i="13"/>
  <c r="W10" i="13" s="1"/>
  <c r="P6" i="13"/>
  <c r="W6" i="13" s="1"/>
  <c r="O19" i="13"/>
  <c r="O15" i="13"/>
  <c r="V15" i="13" s="1"/>
  <c r="O11" i="13"/>
  <c r="V11" i="13" s="1"/>
  <c r="O7" i="13"/>
  <c r="V7" i="13" s="1"/>
  <c r="L26" i="13"/>
  <c r="S26" i="13" s="1"/>
  <c r="Z26" i="13" s="1"/>
  <c r="AG26" i="13" s="1"/>
  <c r="AR10" i="13"/>
  <c r="AY10" i="13" s="1"/>
  <c r="L20" i="13"/>
  <c r="S20" i="13" s="1"/>
  <c r="Z20" i="13" s="1"/>
  <c r="AQ20" i="13" s="1"/>
  <c r="AX20" i="13" s="1"/>
  <c r="L10" i="13"/>
  <c r="S10" i="13" s="1"/>
  <c r="Z10" i="13" s="1"/>
  <c r="AQ10" i="13" s="1"/>
  <c r="AX10" i="13" s="1"/>
  <c r="L45" i="17"/>
  <c r="C49" i="17"/>
  <c r="M45" i="17"/>
  <c r="L17" i="13"/>
  <c r="S17" i="13" s="1"/>
  <c r="Z17" i="13" s="1"/>
  <c r="AQ17" i="13" s="1"/>
  <c r="AX17" i="13" s="1"/>
  <c r="L19" i="13"/>
  <c r="S19" i="13" s="1"/>
  <c r="Z19" i="13" s="1"/>
  <c r="AG19" i="13" s="1"/>
  <c r="L23" i="13"/>
  <c r="S23" i="13" s="1"/>
  <c r="Z23" i="13" s="1"/>
  <c r="AQ23" i="13" s="1"/>
  <c r="AX23" i="13" s="1"/>
  <c r="L7" i="13"/>
  <c r="S7" i="13" s="1"/>
  <c r="Z7" i="13" s="1"/>
  <c r="AG7" i="13" s="1"/>
  <c r="L8" i="13"/>
  <c r="S8" i="13" s="1"/>
  <c r="Z8" i="13" s="1"/>
  <c r="AQ8" i="13" s="1"/>
  <c r="AX8" i="13" s="1"/>
  <c r="L12" i="13"/>
  <c r="S12" i="13" s="1"/>
  <c r="Z12" i="13" s="1"/>
  <c r="AG12" i="13" s="1"/>
  <c r="L18" i="13"/>
  <c r="S18" i="13" s="1"/>
  <c r="Z18" i="13" s="1"/>
  <c r="AG18" i="13" s="1"/>
  <c r="L9" i="13"/>
  <c r="S9" i="13" s="1"/>
  <c r="Z9" i="13" s="1"/>
  <c r="AG9" i="13" s="1"/>
  <c r="L11" i="13"/>
  <c r="S11" i="13" s="1"/>
  <c r="Z11" i="13" s="1"/>
  <c r="AQ11" i="13" s="1"/>
  <c r="AX11" i="13" s="1"/>
  <c r="L25" i="13"/>
  <c r="S25" i="13" s="1"/>
  <c r="Z25" i="13" s="1"/>
  <c r="AQ25" i="13" s="1"/>
  <c r="AX25" i="13" s="1"/>
  <c r="L16" i="13"/>
  <c r="S16" i="13" s="1"/>
  <c r="Z16" i="13" s="1"/>
  <c r="AQ16" i="13" s="1"/>
  <c r="AX16" i="13" s="1"/>
  <c r="L24" i="13"/>
  <c r="S24" i="13" s="1"/>
  <c r="Z24" i="13" s="1"/>
  <c r="AQ24" i="13" s="1"/>
  <c r="AX24" i="13" s="1"/>
  <c r="L15" i="13"/>
  <c r="S15" i="13" s="1"/>
  <c r="Z15" i="13" s="1"/>
  <c r="AG15" i="13" s="1"/>
  <c r="L6" i="13"/>
  <c r="S6" i="13" s="1"/>
  <c r="L13" i="13"/>
  <c r="S13" i="13" s="1"/>
  <c r="Z13" i="13" s="1"/>
  <c r="AG13" i="13" s="1"/>
  <c r="W16" i="13"/>
  <c r="AD16" i="13" s="1"/>
  <c r="AU16" i="13" s="1"/>
  <c r="V12" i="13"/>
  <c r="N45" i="17"/>
  <c r="K45" i="17"/>
  <c r="V19" i="13"/>
  <c r="AC19" i="13" s="1"/>
  <c r="B7" i="23"/>
  <c r="O46" i="17"/>
  <c r="W23" i="13"/>
  <c r="K46" i="17"/>
  <c r="F6" i="23"/>
  <c r="O45" i="17"/>
  <c r="C6" i="23"/>
  <c r="N46" i="17"/>
  <c r="W17" i="13"/>
  <c r="Z6" i="13"/>
  <c r="AG14" i="13"/>
  <c r="AQ14" i="13"/>
  <c r="AX14" i="13" s="1"/>
  <c r="AH6" i="13" l="1"/>
  <c r="AD17" i="13"/>
  <c r="AU17" i="13" s="1"/>
  <c r="AI13" i="13"/>
  <c r="AG24" i="13"/>
  <c r="AH13" i="13"/>
  <c r="AD10" i="13"/>
  <c r="AU10" i="13" s="1"/>
  <c r="AD25" i="13"/>
  <c r="AU25" i="13" s="1"/>
  <c r="AC13" i="13"/>
  <c r="AT13" i="13" s="1"/>
  <c r="BA13" i="13" s="1"/>
  <c r="AD19" i="13"/>
  <c r="AU19" i="13" s="1"/>
  <c r="AD23" i="13"/>
  <c r="AU23" i="13" s="1"/>
  <c r="AQ26" i="13"/>
  <c r="AX26" i="13" s="1"/>
  <c r="AC15" i="13"/>
  <c r="AT15" i="13" s="1"/>
  <c r="BA15" i="13" s="1"/>
  <c r="AC9" i="13"/>
  <c r="AT9" i="13" s="1"/>
  <c r="BA9" i="13" s="1"/>
  <c r="AS24" i="13"/>
  <c r="AZ24" i="13" s="1"/>
  <c r="AI24" i="13"/>
  <c r="AQ19" i="13"/>
  <c r="AX19" i="13" s="1"/>
  <c r="AH18" i="13"/>
  <c r="AH12" i="13"/>
  <c r="AH17" i="13"/>
  <c r="AI16" i="13"/>
  <c r="AS16" i="13"/>
  <c r="AZ16" i="13" s="1"/>
  <c r="AD15" i="13"/>
  <c r="AU15" i="13" s="1"/>
  <c r="AD8" i="13"/>
  <c r="AU8" i="13" s="1"/>
  <c r="AC7" i="13"/>
  <c r="AJ7" i="13" s="1"/>
  <c r="AC20" i="13"/>
  <c r="AJ20" i="13" s="1"/>
  <c r="AC18" i="13"/>
  <c r="AT18" i="13" s="1"/>
  <c r="BA18" i="13" s="1"/>
  <c r="AH23" i="13"/>
  <c r="AS7" i="13"/>
  <c r="AZ7" i="13" s="1"/>
  <c r="AS8" i="13"/>
  <c r="AZ8" i="13" s="1"/>
  <c r="AI8" i="13"/>
  <c r="AS26" i="13"/>
  <c r="AZ26" i="13" s="1"/>
  <c r="AI26" i="13"/>
  <c r="AC11" i="13"/>
  <c r="AJ11" i="13" s="1"/>
  <c r="AC14" i="13"/>
  <c r="AT14" i="13" s="1"/>
  <c r="BA14" i="13" s="1"/>
  <c r="AC24" i="13"/>
  <c r="AD12" i="13"/>
  <c r="AU12" i="13" s="1"/>
  <c r="AG20" i="13"/>
  <c r="AG23" i="13"/>
  <c r="AG8" i="13"/>
  <c r="AC12" i="13"/>
  <c r="AJ12" i="13" s="1"/>
  <c r="AH24" i="13"/>
  <c r="AH15" i="13"/>
  <c r="AD24" i="13"/>
  <c r="AU24" i="13" s="1"/>
  <c r="AD26" i="13"/>
  <c r="AU26" i="13" s="1"/>
  <c r="AG17" i="13"/>
  <c r="AI6" i="13"/>
  <c r="AD6" i="13"/>
  <c r="AH14" i="13"/>
  <c r="AR7" i="13"/>
  <c r="AY7" i="13" s="1"/>
  <c r="AH7" i="13"/>
  <c r="AR19" i="13"/>
  <c r="AY19" i="13" s="1"/>
  <c r="AH19" i="13"/>
  <c r="AC17" i="13"/>
  <c r="AT17" i="13" s="1"/>
  <c r="BA17" i="13" s="1"/>
  <c r="AG10" i="13"/>
  <c r="AA46" i="13"/>
  <c r="AH8" i="13"/>
  <c r="AR8" i="13"/>
  <c r="AY8" i="13" s="1"/>
  <c r="AC10" i="13"/>
  <c r="AJ10" i="13" s="1"/>
  <c r="AD14" i="13"/>
  <c r="AU14" i="13" s="1"/>
  <c r="AD11" i="13"/>
  <c r="AU11" i="13" s="1"/>
  <c r="AC25" i="13"/>
  <c r="AJ25" i="13" s="1"/>
  <c r="AA40" i="13"/>
  <c r="AH26" i="13"/>
  <c r="AR26" i="13"/>
  <c r="AY26" i="13" s="1"/>
  <c r="AH20" i="13"/>
  <c r="AR20" i="13"/>
  <c r="AY20" i="13" s="1"/>
  <c r="AD13" i="13"/>
  <c r="AU13" i="13" s="1"/>
  <c r="T39" i="13"/>
  <c r="AA47" i="13"/>
  <c r="AB46" i="13"/>
  <c r="AC26" i="13"/>
  <c r="AJ26" i="13" s="1"/>
  <c r="AR9" i="13"/>
  <c r="AY9" i="13" s="1"/>
  <c r="AH9" i="13"/>
  <c r="AD7" i="13"/>
  <c r="AU7" i="13" s="1"/>
  <c r="AC6" i="13"/>
  <c r="S39" i="13"/>
  <c r="AQ9" i="13"/>
  <c r="AX9" i="13" s="1"/>
  <c r="AG16" i="13"/>
  <c r="AQ7" i="13"/>
  <c r="AX7" i="13" s="1"/>
  <c r="AQ13" i="13"/>
  <c r="AX13" i="13" s="1"/>
  <c r="AQ18" i="13"/>
  <c r="AX18" i="13" s="1"/>
  <c r="AB40" i="13"/>
  <c r="AB47" i="13"/>
  <c r="AS14" i="13"/>
  <c r="AZ14" i="13" s="1"/>
  <c r="AI14" i="13"/>
  <c r="AS19" i="13"/>
  <c r="AZ19" i="13" s="1"/>
  <c r="AI19" i="13"/>
  <c r="AS11" i="13"/>
  <c r="AZ11" i="13" s="1"/>
  <c r="AI11" i="13"/>
  <c r="AI23" i="13"/>
  <c r="AS23" i="13"/>
  <c r="AZ23" i="13" s="1"/>
  <c r="AI17" i="13"/>
  <c r="AS17" i="13"/>
  <c r="AZ17" i="13" s="1"/>
  <c r="AI20" i="13"/>
  <c r="AS20" i="13"/>
  <c r="AZ20" i="13" s="1"/>
  <c r="AI18" i="13"/>
  <c r="AS18" i="13"/>
  <c r="AZ18" i="13" s="1"/>
  <c r="U39" i="13"/>
  <c r="AI25" i="13"/>
  <c r="AS25" i="13"/>
  <c r="AZ25" i="13" s="1"/>
  <c r="AI15" i="13"/>
  <c r="AS15" i="13"/>
  <c r="AZ15" i="13" s="1"/>
  <c r="AI10" i="13"/>
  <c r="AS10" i="13"/>
  <c r="AZ10" i="13" s="1"/>
  <c r="AQ15" i="13"/>
  <c r="AX15" i="13" s="1"/>
  <c r="AG25" i="13"/>
  <c r="AG11" i="13"/>
  <c r="AQ12" i="13"/>
  <c r="AX12" i="13" s="1"/>
  <c r="Z47" i="13"/>
  <c r="AJ9" i="13"/>
  <c r="AT11" i="13"/>
  <c r="BA11" i="13" s="1"/>
  <c r="AT26" i="13"/>
  <c r="BA26" i="13" s="1"/>
  <c r="AG6" i="13"/>
  <c r="Z46" i="13"/>
  <c r="Z40" i="13"/>
  <c r="AQ6" i="13"/>
  <c r="AJ23" i="13"/>
  <c r="AT23" i="13"/>
  <c r="BA23" i="13" s="1"/>
  <c r="AJ18" i="13"/>
  <c r="AT20" i="13"/>
  <c r="BA20" i="13" s="1"/>
  <c r="AJ17" i="13"/>
  <c r="V39" i="13"/>
  <c r="AJ24" i="13"/>
  <c r="AT24" i="13"/>
  <c r="BA24" i="13" s="1"/>
  <c r="AT19" i="13"/>
  <c r="BA19" i="13" s="1"/>
  <c r="AJ19" i="13"/>
  <c r="AY6" i="13"/>
  <c r="AJ6" i="13"/>
  <c r="AT6" i="13"/>
  <c r="AJ14" i="13"/>
  <c r="AU6" i="13"/>
  <c r="AJ8" i="13"/>
  <c r="AT8" i="13"/>
  <c r="BA8" i="13" s="1"/>
  <c r="AJ16" i="13"/>
  <c r="AT16" i="13"/>
  <c r="BA16" i="13" s="1"/>
  <c r="AZ6" i="13"/>
  <c r="AJ13" i="13" l="1"/>
  <c r="AJ40" i="13" s="1"/>
  <c r="AJ15" i="13"/>
  <c r="AT7" i="13"/>
  <c r="BA7" i="13" s="1"/>
  <c r="AT25" i="13"/>
  <c r="BA25" i="13" s="1"/>
  <c r="AA48" i="13"/>
  <c r="E10" i="23" s="1"/>
  <c r="AC47" i="13"/>
  <c r="AA49" i="13"/>
  <c r="AD47" i="13"/>
  <c r="AT12" i="13"/>
  <c r="BA12" i="13" s="1"/>
  <c r="AR40" i="13"/>
  <c r="AT10" i="13"/>
  <c r="BA10" i="13" s="1"/>
  <c r="AH40" i="13"/>
  <c r="AD40" i="13"/>
  <c r="AC40" i="13"/>
  <c r="AB49" i="13"/>
  <c r="AC46" i="13"/>
  <c r="AD46" i="13"/>
  <c r="AY40" i="13"/>
  <c r="AZ40" i="13"/>
  <c r="AI40" i="13"/>
  <c r="AS40" i="13"/>
  <c r="AB48" i="13"/>
  <c r="D10" i="23" s="1"/>
  <c r="AG40" i="13"/>
  <c r="Z48" i="13"/>
  <c r="F10" i="23" s="1"/>
  <c r="Z49" i="13"/>
  <c r="AU40" i="13"/>
  <c r="BA6" i="13"/>
  <c r="AQ40" i="13"/>
  <c r="AX6" i="13"/>
  <c r="AX40" i="13" s="1"/>
  <c r="AD49" i="13" l="1"/>
  <c r="BA40" i="13"/>
  <c r="AC48" i="13"/>
  <c r="C10" i="23" s="1"/>
  <c r="AT40" i="13"/>
  <c r="AQ39" i="13" s="1"/>
  <c r="AT41" i="13" s="1"/>
  <c r="I47" i="17" s="1"/>
  <c r="Z39" i="13"/>
  <c r="Z41" i="13" s="1"/>
  <c r="AC49" i="13"/>
  <c r="AD48" i="13"/>
  <c r="B10" i="23" s="1"/>
  <c r="AG39" i="13"/>
  <c r="AG41" i="13" s="1"/>
  <c r="AD41" i="13"/>
  <c r="AX39" i="13"/>
  <c r="BA41" i="13" s="1"/>
  <c r="AC41" i="13" l="1"/>
  <c r="AA41" i="13"/>
  <c r="AB41" i="13"/>
  <c r="AH41" i="13"/>
  <c r="AI41" i="13"/>
  <c r="AJ41" i="13"/>
  <c r="AX41" i="13"/>
  <c r="C5" i="23"/>
  <c r="N47" i="17"/>
  <c r="N49" i="17" s="1"/>
  <c r="AZ41" i="13"/>
  <c r="AY41" i="13"/>
  <c r="AS41" i="13"/>
  <c r="H47" i="17" s="1"/>
  <c r="AR41" i="13"/>
  <c r="G47" i="17" s="1"/>
  <c r="AU41" i="13"/>
  <c r="J47" i="17" s="1"/>
  <c r="AQ41" i="13"/>
  <c r="E47" i="17" s="1"/>
  <c r="D5" i="23" l="1"/>
  <c r="M47" i="17"/>
  <c r="M49" i="17" s="1"/>
  <c r="E5" i="23"/>
  <c r="L47" i="17"/>
  <c r="L49" i="17" s="1"/>
  <c r="F5" i="23"/>
  <c r="K47" i="17"/>
  <c r="K49" i="17" s="1"/>
  <c r="B5" i="23"/>
  <c r="O47" i="17"/>
  <c r="O49" i="17" s="1"/>
  <c r="K50" i="17" l="1"/>
  <c r="M50" i="17"/>
  <c r="D8" i="23" s="1"/>
  <c r="N50" i="17"/>
  <c r="C8" i="23" s="1"/>
  <c r="O50" i="17"/>
  <c r="B8" i="23" s="1"/>
  <c r="L50" i="17"/>
  <c r="F8" i="23" l="1"/>
  <c r="F73" i="17"/>
  <c r="L73" i="17" s="1"/>
  <c r="L75" i="17" s="1"/>
  <c r="H73" i="17"/>
  <c r="N73" i="17" s="1"/>
  <c r="N75" i="17" s="1"/>
  <c r="I73" i="17"/>
  <c r="O73" i="17" s="1"/>
  <c r="O75" i="17" s="1"/>
  <c r="E8" i="23"/>
  <c r="G73" i="17"/>
  <c r="M73" i="17" s="1"/>
  <c r="M75" i="17" s="1"/>
  <c r="D73" i="17" l="1"/>
  <c r="R75" i="17"/>
  <c r="P79" i="17" l="1"/>
  <c r="G9" i="23" s="1"/>
  <c r="N79" i="17"/>
  <c r="D9" i="23" s="1"/>
  <c r="O79" i="17"/>
  <c r="C9" i="23" s="1"/>
  <c r="M79" i="17"/>
  <c r="E9" i="23" s="1"/>
  <c r="L79" i="17"/>
  <c r="S79" i="17"/>
  <c r="B9" i="23" s="1"/>
  <c r="F6" i="36" l="1"/>
  <c r="C6" i="36"/>
  <c r="E6" i="36"/>
  <c r="D6" i="36"/>
  <c r="F9" i="23"/>
  <c r="R79" i="17"/>
</calcChain>
</file>

<file path=xl/sharedStrings.xml><?xml version="1.0" encoding="utf-8"?>
<sst xmlns="http://schemas.openxmlformats.org/spreadsheetml/2006/main" count="3790" uniqueCount="1021">
  <si>
    <t>Total Net Non-load related (other non-fault)</t>
  </si>
  <si>
    <t>Inspections &amp; Maintenance, Tree Cutting and Fault Costs</t>
  </si>
  <si>
    <t>Inspections &amp; Maintenance</t>
  </si>
  <si>
    <t>Fault Costs</t>
  </si>
  <si>
    <t>Cash typicals</t>
  </si>
  <si>
    <t>Atypicals</t>
  </si>
  <si>
    <t>Inspection and Maintenance</t>
  </si>
  <si>
    <t xml:space="preserve">Inspections </t>
  </si>
  <si>
    <t>Cost</t>
  </si>
  <si>
    <t>Depn.</t>
  </si>
  <si>
    <t>Net Book Value</t>
  </si>
  <si>
    <t>Net Sales Proceeds</t>
  </si>
  <si>
    <t>Asset Owner</t>
  </si>
  <si>
    <t>Asset Type</t>
  </si>
  <si>
    <t>£m</t>
  </si>
  <si>
    <t>Fault Level Reinforcement</t>
  </si>
  <si>
    <t>Regulatory Reporting Pack (RRP)</t>
  </si>
  <si>
    <t xml:space="preserve">System Maximum Demand </t>
  </si>
  <si>
    <t>System Maximum Demand (Weather corrected)</t>
  </si>
  <si>
    <t xml:space="preserve">Maintenance </t>
  </si>
  <si>
    <t xml:space="preserve">Total </t>
  </si>
  <si>
    <t>LV Services</t>
  </si>
  <si>
    <t>Underground Mains - Consac</t>
  </si>
  <si>
    <t>Underground Mains - Non Consac</t>
  </si>
  <si>
    <t xml:space="preserve">HV </t>
  </si>
  <si>
    <t>Substation electricity</t>
  </si>
  <si>
    <t>Diesel generation costs (permanent emergency back up on islands)</t>
  </si>
  <si>
    <t>Third party cable damage - recoveries</t>
  </si>
  <si>
    <t>Dismantlement</t>
  </si>
  <si>
    <t>2007/08</t>
  </si>
  <si>
    <t>Network Data</t>
  </si>
  <si>
    <t>Units</t>
  </si>
  <si>
    <t>2005/06</t>
  </si>
  <si>
    <t>2006/07</t>
  </si>
  <si>
    <t>2008/09</t>
  </si>
  <si>
    <t>2009/10</t>
  </si>
  <si>
    <t>allocated in proportion to repex</t>
  </si>
  <si>
    <t>HV/LV sub/trans costs</t>
  </si>
  <si>
    <t>LV/HV/(LV/HV+HV) %</t>
  </si>
  <si>
    <t>Total Tree Cutting</t>
  </si>
  <si>
    <t>Lane rentals analysis: including logged up costs (see below):</t>
  </si>
  <si>
    <t>LV Fuses (PM)</t>
  </si>
  <si>
    <t>LV Fuses (TM)</t>
  </si>
  <si>
    <t>HV network</t>
  </si>
  <si>
    <t>6.6/11 kV OHL (Open)</t>
  </si>
  <si>
    <t>6.6/11 kV OHL (Covered)</t>
  </si>
  <si>
    <t>20 kV OHL (Open)</t>
  </si>
  <si>
    <t>Total CMLs (Excluding EE)</t>
  </si>
  <si>
    <t>CMLs</t>
  </si>
  <si>
    <t>Condition based</t>
  </si>
  <si>
    <t>Units Distributed</t>
  </si>
  <si>
    <t>GWh</t>
  </si>
  <si>
    <t>LOSSES</t>
  </si>
  <si>
    <t xml:space="preserve">Units of distribution losses </t>
  </si>
  <si>
    <t>(GWh)</t>
  </si>
  <si>
    <t xml:space="preserve">Losses </t>
  </si>
  <si>
    <t>(%)</t>
  </si>
  <si>
    <t>SYSTEM PARAMETERS</t>
  </si>
  <si>
    <t>IFI</t>
  </si>
  <si>
    <t>Network Policy</t>
  </si>
  <si>
    <t>Network Design &amp; Engineering</t>
  </si>
  <si>
    <t>Project Management</t>
  </si>
  <si>
    <t>Engineering Mgt &amp; Clerical Support</t>
  </si>
  <si>
    <t>Control Centre</t>
  </si>
  <si>
    <t>System Mapping - Cartographical</t>
  </si>
  <si>
    <t>(Description)</t>
  </si>
  <si>
    <t>LR1 - Demand</t>
  </si>
  <si>
    <t>Demand Totals</t>
  </si>
  <si>
    <t>Submarine cables (kms)</t>
  </si>
  <si>
    <t>HV Sub Cable</t>
  </si>
  <si>
    <t>6.6/11 kV CB (PM)</t>
  </si>
  <si>
    <t>Indirect activities - From RRP 2.2 Detailed Cost Matrix</t>
  </si>
  <si>
    <t>6.6/11 kV Switchgear - Other (GM)</t>
  </si>
  <si>
    <t>HR &amp; Non-operational Training</t>
  </si>
  <si>
    <t>Brief description of work involved, substations affected, assets installed/replaced etc.</t>
  </si>
  <si>
    <t>(Unique name)</t>
  </si>
  <si>
    <t>(kV)</t>
  </si>
  <si>
    <t>(a-j)</t>
  </si>
  <si>
    <t>(Year)</t>
  </si>
  <si>
    <t>(MVA)</t>
  </si>
  <si>
    <t>6.6/11 kV CB (GM)</t>
  </si>
  <si>
    <t>6.6/11 kV Switch (PM)</t>
  </si>
  <si>
    <t>6.6/11 kV Switch (GM)</t>
  </si>
  <si>
    <t>Direct Costs only</t>
  </si>
  <si>
    <t>New Connections (carried out by DNO/RP)</t>
  </si>
  <si>
    <t>New Connections (carried out by Third Parties)</t>
  </si>
  <si>
    <t>Customer Specific Reinforcement - Chargeable</t>
  </si>
  <si>
    <t>EHV ground mounted</t>
  </si>
  <si>
    <t>EHV pole mounted</t>
  </si>
  <si>
    <t>HV ground mounted</t>
  </si>
  <si>
    <t>HV pole mounted</t>
  </si>
  <si>
    <t>Regulatory Reporting Pack</t>
  </si>
  <si>
    <t>MISCELLANEOUS</t>
  </si>
  <si>
    <t>Costs outside scope of DPCR4 allowances</t>
  </si>
  <si>
    <t>Road Occupation &amp; Permit Scheme Costs included within Lane Rentals, previously agreed in writing with Ofgem to be treated as logged up costs:</t>
  </si>
  <si>
    <t>Salary sacrifice schemes (including flexible benefit schemes)</t>
  </si>
  <si>
    <t>Direct capex</t>
  </si>
  <si>
    <t>Direct opex, faults &amp; Non-op capex</t>
  </si>
  <si>
    <t>Indirect costs</t>
  </si>
  <si>
    <t>All Other non-distrib'n activities</t>
  </si>
  <si>
    <t>Salary element sacrificed by employee(-ve)</t>
  </si>
  <si>
    <t>Fault Related</t>
  </si>
  <si>
    <t xml:space="preserve">Total
</t>
  </si>
  <si>
    <t>Metered LV Services</t>
  </si>
  <si>
    <t>Overhead</t>
  </si>
  <si>
    <t>Underground</t>
  </si>
  <si>
    <t>Un-metered LV Services</t>
  </si>
  <si>
    <t>Road occupation costs</t>
  </si>
  <si>
    <t>Permit scheme costs</t>
  </si>
  <si>
    <t>Congestion charges</t>
  </si>
  <si>
    <t>Total per Table 2.2</t>
  </si>
  <si>
    <t>Uncertain Costs (included in table 2.2 costs)</t>
  </si>
  <si>
    <t>Total condition based replacement</t>
  </si>
  <si>
    <t>Asset Categories</t>
  </si>
  <si>
    <t>DPCR 4</t>
  </si>
  <si>
    <t>DPCR 5</t>
  </si>
  <si>
    <t>DPCR4</t>
  </si>
  <si>
    <t>DPCR5</t>
  </si>
  <si>
    <t>2010/11</t>
  </si>
  <si>
    <t>Underground Cables</t>
  </si>
  <si>
    <t>Submarine</t>
  </si>
  <si>
    <t>Environment</t>
  </si>
  <si>
    <t>Visual Amenity</t>
  </si>
  <si>
    <t>ESQCR</t>
  </si>
  <si>
    <t>Resilience</t>
  </si>
  <si>
    <t>Operational IT &amp; Telecoms - BT 21CN</t>
  </si>
  <si>
    <t>Actuals</t>
  </si>
  <si>
    <t>Forecast</t>
  </si>
  <si>
    <t>% change</t>
  </si>
  <si>
    <t>Overhead mains</t>
  </si>
  <si>
    <t>Underground mains</t>
  </si>
  <si>
    <t>Take these data from the February 2005 Ofgem document (link below), not the November 2004 final proposals.</t>
  </si>
  <si>
    <t>Ex-gratia compensation payments</t>
  </si>
  <si>
    <t>Bad debt expense (net of recoveries)</t>
  </si>
  <si>
    <t>IT Non-operational Capital Expenditure</t>
  </si>
  <si>
    <t>Total Non-load related (other non-fault)</t>
  </si>
  <si>
    <t>2011/12</t>
  </si>
  <si>
    <t>2012/13</t>
  </si>
  <si>
    <t>2013/14</t>
  </si>
  <si>
    <t>2014/15</t>
  </si>
  <si>
    <t>Customer contributions - customer specific demand investment</t>
  </si>
  <si>
    <t>Customer contributions (directs) for connections at LV</t>
  </si>
  <si>
    <t xml:space="preserve">Shared </t>
  </si>
  <si>
    <t>Operational IT &amp; Telecoms - other</t>
  </si>
  <si>
    <t>Non - rechargeable diversions</t>
  </si>
  <si>
    <t>Transmission exit charges</t>
  </si>
  <si>
    <t>Wheeled units imported</t>
  </si>
  <si>
    <t>Network rates</t>
  </si>
  <si>
    <t>Costs inside scope of DPCR4 allowances</t>
  </si>
  <si>
    <t>Present value of opening / closing RAV</t>
  </si>
  <si>
    <t>Operating costs (excluding pensions)</t>
  </si>
  <si>
    <t>Capital expenditure (excluding pensions)</t>
  </si>
  <si>
    <t>Pensions allowance</t>
  </si>
  <si>
    <t>Capex incentive scheme</t>
  </si>
  <si>
    <t>Sliding scale additional income</t>
  </si>
  <si>
    <t>ANALYSIS OF ASSET DISPOSALS</t>
  </si>
  <si>
    <t>Non-activity based costs (excluded from Table 2.2)(enter as positive)</t>
  </si>
  <si>
    <t>£'m</t>
  </si>
  <si>
    <t>Pass through Costs</t>
  </si>
  <si>
    <t>Customer Specific Reinforcement - Non Chargeable</t>
  </si>
  <si>
    <t>General Reinforcement</t>
  </si>
  <si>
    <t>DNO LV Main usage</t>
  </si>
  <si>
    <t>For Future years</t>
  </si>
  <si>
    <t xml:space="preserve">Customer Numbers </t>
  </si>
  <si>
    <t>Millions</t>
  </si>
  <si>
    <t>Total CIs (Excluding EE)</t>
  </si>
  <si>
    <t>CIs</t>
  </si>
  <si>
    <t>June Forecast Business Plan DPCR5</t>
  </si>
  <si>
    <t>EDFE SPN</t>
  </si>
  <si>
    <t>Distribution Circuit Length - Overhead (km)</t>
  </si>
  <si>
    <t>Circuit km</t>
  </si>
  <si>
    <t>Distribution Circuit Length - Underground (km)</t>
  </si>
  <si>
    <t>Distribution Circuit Length - Total (km)</t>
  </si>
  <si>
    <t xml:space="preserve">Number of Substations and Switching Stations </t>
  </si>
  <si>
    <t>No. Subs</t>
  </si>
  <si>
    <t>Miscellaneous costs (included in table 2.2 costs)</t>
  </si>
  <si>
    <t>Additional employer pension contributions (+ve)</t>
  </si>
  <si>
    <t>km</t>
  </si>
  <si>
    <t>Total Undergrounding in National Parks / AONB</t>
  </si>
  <si>
    <t>Opex incentive / Other adjustments</t>
  </si>
  <si>
    <t>Quality award</t>
  </si>
  <si>
    <t>Present value of allowed items</t>
  </si>
  <si>
    <t>TOTAL PRESENT VALUE OVER 5 YEARS</t>
  </si>
  <si>
    <t>Excluded service revenue</t>
  </si>
  <si>
    <t>Present value of total revenue</t>
  </si>
  <si>
    <t>Gross direct costs</t>
  </si>
  <si>
    <t>Customer contributions directs</t>
  </si>
  <si>
    <t>Costs previously agreed with Ofgem in writing for additional security</t>
  </si>
  <si>
    <t>Customer contributions indirects</t>
  </si>
  <si>
    <t>Finance &amp; Regulation</t>
  </si>
  <si>
    <t>Expenditure replacing Pressure Assisted cables</t>
  </si>
  <si>
    <t>Undergrounding in National Parks / AONB - direct costs</t>
  </si>
  <si>
    <t>EHV/132kV</t>
  </si>
  <si>
    <t>Undergrounding in National Parks / AONB - indirect costs</t>
  </si>
  <si>
    <t>NEW AND REPLACEMENT ASSETS (EXCL. FAULTS)</t>
  </si>
  <si>
    <t>5 Year movement in closing RAV</t>
  </si>
  <si>
    <t>2005/6</t>
  </si>
  <si>
    <t>2006/7</t>
  </si>
  <si>
    <t>2007/8</t>
  </si>
  <si>
    <t>2008/9</t>
  </si>
  <si>
    <t>2004/05</t>
  </si>
  <si>
    <t>(£M)</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</si>
  <si>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</si>
  <si>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</si>
  <si>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</si>
  <si>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</si>
  <si>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</si>
  <si>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</si>
  <si>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</si>
  <si>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</si>
  <si>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</si>
  <si>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Non-load non-fault new &amp; replacement assets</t>
  </si>
  <si>
    <t>Faults</t>
  </si>
  <si>
    <t>Inspectns &amp; Maint. (exc. Tree Cutting)</t>
  </si>
  <si>
    <t>Tree Cutting</t>
  </si>
  <si>
    <t>Fines and penalties</t>
  </si>
  <si>
    <t>Index</t>
  </si>
  <si>
    <t>PB power numbers, if available</t>
  </si>
  <si>
    <t>DATA</t>
  </si>
  <si>
    <t>Sum of MEAV of asset classified in voltage tier</t>
  </si>
  <si>
    <t>Customer Call Centre</t>
  </si>
  <si>
    <t>Stores</t>
  </si>
  <si>
    <t>Overhead Mains</t>
  </si>
  <si>
    <t>Underground Mains</t>
  </si>
  <si>
    <t>Switchgear (incl other plant &amp; equipment)</t>
  </si>
  <si>
    <t>Overhead lines</t>
  </si>
  <si>
    <t>http://www.ofgem.gov.uk/Markets/RetMkts/Metrng/Metering/Documents1/9745-5405.pdf</t>
  </si>
  <si>
    <t>Ofgem licence fee</t>
  </si>
  <si>
    <t>Shetland Balancing Costs (SHEPD only)</t>
  </si>
  <si>
    <t>QUALITY OF SERVICE</t>
  </si>
  <si>
    <t>Historical data</t>
  </si>
  <si>
    <t>Telecoms Non-operational Capital Expenditures</t>
  </si>
  <si>
    <t>Total Non-operational New Assets &amp; Replacement</t>
  </si>
  <si>
    <t>Guaranteed standard of performance compensation payments</t>
  </si>
  <si>
    <t>NETWORK ACTIVITY INDICATORS</t>
  </si>
  <si>
    <t>CONNECTIONS</t>
  </si>
  <si>
    <t>Number of new connections</t>
  </si>
  <si>
    <t>EHV (Includes 132kV)</t>
  </si>
  <si>
    <t>No. Connections</t>
  </si>
  <si>
    <t>HV</t>
  </si>
  <si>
    <t>LV</t>
  </si>
  <si>
    <t>DG</t>
  </si>
  <si>
    <t xml:space="preserve">Total Connected Distributed Generation </t>
  </si>
  <si>
    <t>132kV</t>
  </si>
  <si>
    <t>MW</t>
  </si>
  <si>
    <t>EHV</t>
  </si>
  <si>
    <t>Total</t>
  </si>
  <si>
    <t>DEMANDS</t>
  </si>
  <si>
    <t>ALLOWED ITEMS</t>
  </si>
  <si>
    <t xml:space="preserve">LV Services - Split of activities </t>
  </si>
  <si>
    <t>LV Services - metered only</t>
  </si>
  <si>
    <t>OHL</t>
  </si>
  <si>
    <t>Service Replacement</t>
  </si>
  <si>
    <t>Cut out Replacement</t>
  </si>
  <si>
    <t>UG</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</si>
  <si>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</si>
  <si>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</si>
  <si>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</si>
  <si>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</si>
  <si>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</si>
  <si>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</si>
  <si>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</si>
  <si>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</si>
  <si>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</si>
  <si>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</si>
  <si>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</si>
  <si>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</si>
  <si>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</si>
  <si>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</si>
  <si>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</si>
  <si>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</si>
  <si>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</si>
  <si>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</si>
  <si>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</si>
  <si>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</si>
  <si>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</si>
  <si>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</si>
  <si>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</si>
  <si>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</si>
  <si>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</si>
  <si>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</si>
  <si>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</si>
  <si>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</si>
  <si>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</si>
  <si>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</si>
  <si>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</si>
  <si>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</si>
  <si>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</si>
  <si>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</si>
  <si>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</si>
  <si>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</si>
  <si>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</si>
  <si>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</si>
  <si>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</si>
  <si>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</si>
  <si>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</si>
  <si>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</si>
  <si>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</si>
  <si>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</si>
  <si>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</si>
  <si>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</si>
  <si>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</si>
  <si>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</si>
  <si>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</si>
  <si>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</si>
  <si>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</si>
  <si>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</si>
  <si>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</si>
  <si>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</si>
  <si>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</si>
  <si>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</si>
  <si>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</si>
  <si>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</si>
  <si>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</si>
  <si>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</si>
  <si>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</si>
  <si>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</si>
  <si>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</si>
  <si>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</si>
  <si>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</si>
  <si>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</si>
  <si>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</si>
  <si>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</si>
  <si>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</si>
  <si>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Connections spend minus customer contributions (from FBPQ LR1 v5 opt3)</t>
  </si>
  <si>
    <t>Other Costs from full activitty cost allocation</t>
  </si>
  <si>
    <t>Total activity cost - from RRP 1.3</t>
  </si>
  <si>
    <t>Unallocated costs = Total - costs allocated to network tiers</t>
  </si>
  <si>
    <t>Legacy Basic Meter Asset Provision Revenue</t>
  </si>
  <si>
    <t>DNO HV Main usage</t>
  </si>
  <si>
    <t>Step 1 - extract total activity costs from cost report</t>
  </si>
  <si>
    <t>Step 6.   Adjust costs so that they are aligned with the definition of opex in the allowed price control revenues</t>
  </si>
  <si>
    <t>Operating costs (excl pensions)</t>
  </si>
  <si>
    <t>Capital elements</t>
  </si>
  <si>
    <t>Capex (excl pensions)</t>
  </si>
  <si>
    <t>Pensions</t>
  </si>
  <si>
    <t>Tax allowance</t>
  </si>
  <si>
    <t>Capital incentive</t>
  </si>
  <si>
    <t>Capex incentive</t>
  </si>
  <si>
    <t>Sliding scale</t>
  </si>
  <si>
    <t>Sliding scale addn income</t>
  </si>
  <si>
    <t>p/kWh</t>
  </si>
  <si>
    <t>Return</t>
  </si>
  <si>
    <t xml:space="preserve">% by network tier </t>
  </si>
  <si>
    <t>NL1 + NL9</t>
  </si>
  <si>
    <t xml:space="preserve">The individual activities are defined in the Electricity Distribution Price Control Review Price control cost reporting rules: Instructions and Guidance April 2008 </t>
  </si>
  <si>
    <t>Network Generation Revenue (RGt)</t>
  </si>
  <si>
    <t>Metering Revenue</t>
  </si>
  <si>
    <t>PV of total revenue</t>
  </si>
  <si>
    <t>No discount</t>
  </si>
  <si>
    <t>LDNO LV: LV user</t>
  </si>
  <si>
    <t>LDNO HV: LV user</t>
  </si>
  <si>
    <t>LDNO HV: LV sub user</t>
  </si>
  <si>
    <t>LDNO HV: HV user</t>
  </si>
  <si>
    <t>LDNO discount</t>
  </si>
  <si>
    <t>% Cost capitalised (from DCPR settlement - same for all DNOs)</t>
  </si>
  <si>
    <t>Total indirect</t>
  </si>
  <si>
    <t>% indirect</t>
  </si>
  <si>
    <t>Inspections, &amp; Maintenance</t>
  </si>
  <si>
    <t>Excluded services revenue</t>
  </si>
  <si>
    <t>Total revenue</t>
  </si>
  <si>
    <t>Unapportioned part of shared HV</t>
  </si>
  <si>
    <t>Closing asset value</t>
  </si>
  <si>
    <t>Quality Reward</t>
  </si>
  <si>
    <t>Present value of opening/closing RAV</t>
  </si>
  <si>
    <t>DPCR3 costs</t>
  </si>
  <si>
    <t>5 year movement in closing RAV</t>
  </si>
  <si>
    <t>Total revenue to share</t>
  </si>
  <si>
    <t>Total Opex</t>
  </si>
  <si>
    <t>Non-activity costs include Ofgem licence fee, Shetland Balancing Costs (SHEPD only), Scottish Electricity Settlements run-off (Scottish DNOs only) and proceeds of asset sales; and reconciling amounts, e.g. intra-group recharges treated as de minimis costs</t>
  </si>
  <si>
    <t>Excluded Services and Revenue Outside of Price Control</t>
  </si>
  <si>
    <t>Excluded Services</t>
  </si>
  <si>
    <t>Revenue Outside of Price Control</t>
  </si>
  <si>
    <t>MEAV  - LV, LV/HV, HV, EHV, 132kV split</t>
  </si>
  <si>
    <t>LV/HV</t>
  </si>
  <si>
    <t>Sum connecions/reinforcement/replacement capex -see below</t>
  </si>
  <si>
    <t>FBPQ capex - see "Calc Net capex"</t>
  </si>
  <si>
    <t>FBPQ capex - see "Calc MEAV"</t>
  </si>
  <si>
    <t>Basic Meter Operation Revenue</t>
  </si>
  <si>
    <t>Net Movement on Revenue Provisions</t>
  </si>
  <si>
    <t>Over/Under Recovery</t>
  </si>
  <si>
    <t>Allowed Network Generation Revenue (AGt)</t>
  </si>
  <si>
    <t>Incentivised Generation (IGt)</t>
  </si>
  <si>
    <t>Registered Power Zones (RPZt)</t>
  </si>
  <si>
    <t>Correction Factor (KGt)</t>
  </si>
  <si>
    <t>Quality reward/Opex incentive &amp; Other Adjustments</t>
  </si>
  <si>
    <t>Not to be split</t>
  </si>
  <si>
    <t>PV of excluded service revenue</t>
  </si>
  <si>
    <t>Total Net Capex 2005/06 -2014/15 LV, LV/HV, HV, EHV, 132kV split</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</si>
  <si>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</si>
  <si>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</si>
  <si>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</si>
  <si>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</si>
  <si>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</si>
  <si>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</si>
  <si>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</si>
  <si>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</si>
  <si>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</si>
  <si>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</si>
  <si>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</si>
  <si>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</si>
  <si>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(from FBPQ LR6)</t>
  </si>
  <si>
    <t>Replacement Capex 2005/06 -2014/15 (£m)</t>
  </si>
  <si>
    <t xml:space="preserve"> (from FBPQ NL1)</t>
  </si>
  <si>
    <t>Total Net Capex</t>
  </si>
  <si>
    <t>% of Total</t>
  </si>
  <si>
    <t>Net Capex</t>
  </si>
  <si>
    <t>Opex only on p/kWh throughput</t>
  </si>
  <si>
    <t>HV/LV</t>
  </si>
  <si>
    <t>Cash typical costs (excluding disallowed related party margins)</t>
  </si>
  <si>
    <t>Memorandum Information - Scottish DNOs 132kV</t>
  </si>
  <si>
    <t>NET CAPEX SPLIT FROM "CALC -NET CAPEX" SHEET</t>
  </si>
  <si>
    <t>CAUTION - THIS PACK DOES NOT BALANCE</t>
  </si>
  <si>
    <t>Electricity Distribution Industry Activity Costs - individual DNO input</t>
  </si>
  <si>
    <t>Pension deficit payments made by a related party and not charged in the regulatory accounts of the DNO</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</si>
  <si>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</si>
  <si>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</si>
  <si>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33kV UG Cable (Non Pressurised)</t>
  </si>
  <si>
    <t>33kV UG Cable (Oil)</t>
  </si>
  <si>
    <t>33kV UG Cable (Gas)</t>
  </si>
  <si>
    <t>Cost drivers - lookup from "Calc-Drivers"</t>
  </si>
  <si>
    <t>Proportion of cost allocated to each network tier</t>
  </si>
  <si>
    <t>LV only</t>
  </si>
  <si>
    <t>HV only</t>
  </si>
  <si>
    <t>Net (gross directs - customer contributions directs and indirects)</t>
  </si>
  <si>
    <t>Demand trends</t>
  </si>
  <si>
    <t>Estimated system maximum demand</t>
  </si>
  <si>
    <t>Insert name of cost driver</t>
  </si>
  <si>
    <t>Increase (reduction) in units distributed</t>
  </si>
  <si>
    <t>66kV UG Cable (Oil)</t>
  </si>
  <si>
    <t>66kV UG Cable (Gas)</t>
  </si>
  <si>
    <t>Estimated units distributed</t>
  </si>
  <si>
    <t>PV of allowed items</t>
  </si>
  <si>
    <t>Allocation of allowed revenue to:-</t>
  </si>
  <si>
    <t>TOTAL PV OVER 5 YEARS</t>
  </si>
  <si>
    <t>All LV Tariffs</t>
  </si>
  <si>
    <t>HV Tariffs</t>
  </si>
  <si>
    <t>EHV Tariffs</t>
  </si>
  <si>
    <t>Revenue index</t>
  </si>
  <si>
    <t>Discounted revenue index</t>
  </si>
  <si>
    <t>Price control revenue</t>
  </si>
  <si>
    <t>Depreciation</t>
  </si>
  <si>
    <t>132kV Fittings (Tower Line)</t>
  </si>
  <si>
    <t>Connections/disconnections volume</t>
  </si>
  <si>
    <t>Connections/Disconnections</t>
  </si>
  <si>
    <t>Direct cost %</t>
  </si>
  <si>
    <t>Is DNO Unit cost if avaliable, otherwise PB power unit cost</t>
  </si>
  <si>
    <t>(Profit) / Loss on Disposal</t>
  </si>
  <si>
    <t>Weighted Average</t>
  </si>
  <si>
    <t>Unallocated</t>
  </si>
  <si>
    <t>Incentive revenue</t>
  </si>
  <si>
    <t>Excluded</t>
  </si>
  <si>
    <t>I) DPCR3 type presentation</t>
  </si>
  <si>
    <t>ii) DPCR4 type presentation</t>
  </si>
  <si>
    <t>Total allowed income</t>
  </si>
  <si>
    <t>Customer contributions (directs) total</t>
  </si>
  <si>
    <t>Customer contributions (indirects)</t>
  </si>
  <si>
    <t>Customer contributions total</t>
  </si>
  <si>
    <t>Allowed pass through items</t>
  </si>
  <si>
    <t>MEAV (£)</t>
  </si>
  <si>
    <t>MEAV by Voltage Level</t>
  </si>
  <si>
    <t>Total MEAV</t>
  </si>
  <si>
    <t>Units (kWh) flowing through each level, loss-adjusted to LV</t>
  </si>
  <si>
    <t>Drivers - LV, LV/HV, HV, EHV split</t>
  </si>
  <si>
    <t>No. of switchboards @ &gt;95% of F.L.</t>
  </si>
  <si>
    <t>LV Network</t>
  </si>
  <si>
    <t>LV Main (OHL)</t>
  </si>
  <si>
    <t>LV Service (OHL)</t>
  </si>
  <si>
    <t>Total capital</t>
  </si>
  <si>
    <t>Total capital ex depreciation</t>
  </si>
  <si>
    <t>Non-load new &amp; replacement assets (net of contributions)</t>
  </si>
  <si>
    <t>Non-operational capex</t>
  </si>
  <si>
    <t>Indirect activities</t>
  </si>
  <si>
    <t>Do not allocate</t>
  </si>
  <si>
    <t>CEO etc</t>
  </si>
  <si>
    <t>Atypical cash costs</t>
  </si>
  <si>
    <t>Pension deficit payments</t>
  </si>
  <si>
    <t>As at 31st March 2015</t>
  </si>
  <si>
    <t>Network Length</t>
  </si>
  <si>
    <t>Source</t>
  </si>
  <si>
    <t>RRP table 5.1</t>
  </si>
  <si>
    <t>Notes</t>
  </si>
  <si>
    <t>N/A</t>
  </si>
  <si>
    <t>Assumption</t>
  </si>
  <si>
    <t>MEAV</t>
  </si>
  <si>
    <t>C2 - Unit costs</t>
  </si>
  <si>
    <t>No. of schemes</t>
  </si>
  <si>
    <t>Switchboards</t>
  </si>
  <si>
    <t>Opex and transmission exit charges</t>
  </si>
  <si>
    <t>Total direct+other</t>
  </si>
  <si>
    <t>Total inc. exp on DSM to avoid customer spec investment (net of cust cont)</t>
  </si>
  <si>
    <t>Unapportioned part of shared LV</t>
  </si>
  <si>
    <t>LR6 - Fault levels</t>
  </si>
  <si>
    <t>Fault level system measures</t>
  </si>
  <si>
    <t>As at 31st March 2010</t>
  </si>
  <si>
    <t>Unapportioned part of shared EHV</t>
  </si>
  <si>
    <t>Unapportioned part of shared 132kV</t>
  </si>
  <si>
    <t>132 kV</t>
  </si>
  <si>
    <t>(from FBPQ LR4)</t>
  </si>
  <si>
    <t xml:space="preserve">Step 2. Allocate price control revenues to network tiers </t>
  </si>
  <si>
    <t>2007/08 allowed revenue source from page "summary allowed revenue"</t>
  </si>
  <si>
    <t>20 kV CB (GM)</t>
  </si>
  <si>
    <t>20 kV Switch (PM)</t>
  </si>
  <si>
    <t>20 kV Switch (GM)</t>
  </si>
  <si>
    <t>Year ended</t>
  </si>
  <si>
    <t>Health &amp; Safety &amp; Operational Training</t>
  </si>
  <si>
    <t>20 kV RMU</t>
  </si>
  <si>
    <t>31 March 2008</t>
  </si>
  <si>
    <t>Adjustments on T4.3</t>
  </si>
  <si>
    <t>31 March 2007</t>
  </si>
  <si>
    <t>31 March 2006</t>
  </si>
  <si>
    <t>20 kV Switchgear - Other (GM)</t>
  </si>
  <si>
    <t xml:space="preserve">Transformers  </t>
  </si>
  <si>
    <t>6.6/11 kV Transformer (PM)</t>
  </si>
  <si>
    <t>6.6/11 kV Transformer (GM)</t>
  </si>
  <si>
    <t>20 kV Transformer (PM)</t>
  </si>
  <si>
    <t>20 kV Transformer (GM)</t>
  </si>
  <si>
    <t>Opex</t>
  </si>
  <si>
    <t>Capex</t>
  </si>
  <si>
    <t>Estimated number demand connections/disconnections at LV</t>
  </si>
  <si>
    <t>IDNO connections</t>
  </si>
  <si>
    <t>#</t>
  </si>
  <si>
    <t>Connections (excluding IDNOs)</t>
  </si>
  <si>
    <t>THESE % ARE USED TO ALLOCATE PRICE CONTROL OPEX</t>
  </si>
  <si>
    <t>Pass through Items (PTt)</t>
  </si>
  <si>
    <t>Incentive Revenue (Ipt)</t>
  </si>
  <si>
    <t>Correction Factor (KDt)</t>
  </si>
  <si>
    <t>Allowed Demand Revenue (Adt)</t>
  </si>
  <si>
    <t>Regulated Demand Revenue (RDt)</t>
  </si>
  <si>
    <t>Base Demand Revenue  (BRt)</t>
  </si>
  <si>
    <t>EHV Network</t>
  </si>
  <si>
    <t>33kV OHL (Pole Line)</t>
  </si>
  <si>
    <t>33kV OHL (Tower Line)</t>
  </si>
  <si>
    <t>66kV OHL (Pole Line)</t>
  </si>
  <si>
    <t>66kV OHL (Tower Line)</t>
  </si>
  <si>
    <t>33kV Pole</t>
  </si>
  <si>
    <t>33kV Tower</t>
  </si>
  <si>
    <t>66kV Pole</t>
  </si>
  <si>
    <t>66kV Tower</t>
  </si>
  <si>
    <t>103. Units distributed (GWh) from RRP table 5.1</t>
  </si>
  <si>
    <t>Units distributed (GWh) from RRP table 5.1</t>
  </si>
  <si>
    <t>Units distributed at LV</t>
  </si>
  <si>
    <t>Units distributed at HV</t>
  </si>
  <si>
    <t>66kV UG Cable (Non Pressurised)</t>
  </si>
  <si>
    <t>Summary of Revenue</t>
  </si>
  <si>
    <t>Allowed Demand Revenue (ADt)</t>
  </si>
  <si>
    <t>Closing Balance DPCR4</t>
  </si>
  <si>
    <t>LRE</t>
  </si>
  <si>
    <t>NLRE</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</si>
  <si>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</si>
  <si>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</si>
  <si>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</si>
  <si>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</si>
  <si>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</si>
  <si>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</si>
  <si>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</si>
  <si>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</si>
  <si>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</si>
  <si>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</si>
  <si>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</si>
  <si>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</si>
  <si>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</si>
  <si>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</si>
  <si>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</si>
  <si>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</si>
  <si>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</si>
  <si>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</si>
  <si>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</si>
  <si>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DPCR4 Expenditure</t>
  </si>
  <si>
    <t>DPCR5 Expenditure</t>
  </si>
  <si>
    <t>Utilisation</t>
  </si>
  <si>
    <t>(N-2) scheme?</t>
  </si>
  <si>
    <t>Primary Voltage</t>
  </si>
  <si>
    <t>Secondary Voltage</t>
  </si>
  <si>
    <t>Limiting 
Factor</t>
  </si>
  <si>
    <t>Forecast year in which substation demand will reach substation/group firm capacity</t>
  </si>
  <si>
    <t>Planned reinforcement Year</t>
  </si>
  <si>
    <t>Historic and forecast max demand (MVA)</t>
  </si>
  <si>
    <t>Substation/Group Total
Capability</t>
  </si>
  <si>
    <t>Substation/group firm capacity under single circuit outage conditions</t>
  </si>
  <si>
    <t>Substation/Group Maximum Demand</t>
  </si>
  <si>
    <t>Season of critical loading condition</t>
  </si>
  <si>
    <t>Season</t>
  </si>
  <si>
    <t>(Y/N)</t>
  </si>
  <si>
    <t>Overhead lines - Conductor</t>
  </si>
  <si>
    <t>Sum of direct and indriect replacement unit cost from FBPQ C2</t>
  </si>
  <si>
    <t>Incremental increase in max demand due to new connections</t>
  </si>
  <si>
    <t>Incremental reduction in max demand due to disconnections</t>
  </si>
  <si>
    <t>Total units distributed</t>
  </si>
  <si>
    <t>Increase (reduction) in max demand</t>
  </si>
  <si>
    <t>Net change in max demand (not due to connections/disconnections)</t>
  </si>
  <si>
    <t>Units distributed offset by DSM</t>
  </si>
  <si>
    <t xml:space="preserve">Price impact on units distributed </t>
  </si>
  <si>
    <t xml:space="preserve">Economic downturn effect on units distributed </t>
  </si>
  <si>
    <t>EHV (inc. 132kV)</t>
  </si>
  <si>
    <t>66 kV Transformer</t>
  </si>
  <si>
    <t>66 kV AuxiliaryTransfomer</t>
  </si>
  <si>
    <t>132kV Network</t>
  </si>
  <si>
    <t>132kV OHL Conductor (Pole Line)</t>
  </si>
  <si>
    <t>132kV OHL Conductor (Tower Line)</t>
  </si>
  <si>
    <t>132kV Pole</t>
  </si>
  <si>
    <t>132kV Tower</t>
  </si>
  <si>
    <t>Opening asset value</t>
  </si>
  <si>
    <t>Allowed revenue</t>
  </si>
  <si>
    <t>Total capex</t>
  </si>
  <si>
    <t>Customer contributions (directs) for connections at 132kV</t>
  </si>
  <si>
    <t>Total Net Non-load replacement (Direct Costs)</t>
  </si>
  <si>
    <t xml:space="preserve">          Non-operational </t>
  </si>
  <si>
    <t>Owned by DNO</t>
  </si>
  <si>
    <t>Owned by related party</t>
  </si>
  <si>
    <t>Plant &amp; Machinery</t>
  </si>
  <si>
    <t>Small Tools &amp; Equipment</t>
  </si>
  <si>
    <t>Office Equipment</t>
  </si>
  <si>
    <t>No. of switchboards having fault level 'operational restrictions'</t>
  </si>
  <si>
    <t>Number of fault level schemes</t>
  </si>
  <si>
    <t>Switchgear, Transformers, Substation</t>
  </si>
  <si>
    <t>Underground - Pressure assisted</t>
  </si>
  <si>
    <t>Underground - Non Pressure assisted</t>
  </si>
  <si>
    <t>Submarine cables - all voltages</t>
  </si>
  <si>
    <t>Check</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</si>
  <si>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</si>
  <si>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</si>
  <si>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</si>
  <si>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</si>
  <si>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</si>
  <si>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</si>
  <si>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</si>
  <si>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</si>
  <si>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</si>
  <si>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</si>
  <si>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</si>
  <si>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Connections Capex 2005/06 -2014/15 (£m)</t>
  </si>
  <si>
    <t>132 kV Total</t>
  </si>
  <si>
    <t>Expenditure on DSM to avoid gen reinf.</t>
  </si>
  <si>
    <t>LV Main (UG Plastic)</t>
  </si>
  <si>
    <t>LV Main (UG Paper)</t>
  </si>
  <si>
    <t>LV Service (UG)</t>
  </si>
  <si>
    <t xml:space="preserve">Switchgear </t>
  </si>
  <si>
    <t>LV Pillar (ID)</t>
  </si>
  <si>
    <t>LV Pillar (OD)</t>
  </si>
  <si>
    <t>Load related new connections &amp; reinforcement (net of contributions)</t>
  </si>
  <si>
    <t>Asset categories</t>
  </si>
  <si>
    <t xml:space="preserve">New build </t>
  </si>
  <si>
    <t>Replacement</t>
  </si>
  <si>
    <t>Direct costs</t>
  </si>
  <si>
    <t>Transmission Exit Charges</t>
  </si>
  <si>
    <t>EHV only</t>
  </si>
  <si>
    <t>Pension deficit repair payments by related parties (note 2)</t>
  </si>
  <si>
    <t>Non activity costs and reconciling amounts (note 3)</t>
  </si>
  <si>
    <t>20 kV OHL (Covered)</t>
  </si>
  <si>
    <t>Hence DPCR4 revenue made up of</t>
  </si>
  <si>
    <t>Transformers</t>
  </si>
  <si>
    <t>Other</t>
  </si>
  <si>
    <t>Fault level reinforcement</t>
  </si>
  <si>
    <t>Cost including indirects (absorbed costs in T2A)</t>
  </si>
  <si>
    <t>(£k)</t>
  </si>
  <si>
    <t>Direct activities</t>
  </si>
  <si>
    <t>Total allowed items</t>
  </si>
  <si>
    <t>Income</t>
  </si>
  <si>
    <t>Total Annual Operating &amp; Capital Expenditure per Regulatory Accounts</t>
  </si>
  <si>
    <t>Direct activities - From RRP 2.2 Detailed Cost Matrix</t>
  </si>
  <si>
    <t>Step 1. Format price control allowed revenue data</t>
  </si>
  <si>
    <t>20 kV CB (PM)</t>
  </si>
  <si>
    <t>IT &amp; Telecoms</t>
  </si>
  <si>
    <t>Pension administration costs (reported in HR &amp; Non-op training)</t>
  </si>
  <si>
    <t>20 kV Switchgear - Other (PM)</t>
  </si>
  <si>
    <t>Net (gross directs - customer contributions directs)</t>
  </si>
  <si>
    <t>Increase in units distributed due to generic background demand growth</t>
  </si>
  <si>
    <t xml:space="preserve">Reduction in units distributed due to energy efficiency </t>
  </si>
  <si>
    <t>Units distributed offset by DG</t>
  </si>
  <si>
    <t>New Connections &amp; Customer Specific Reinforcement:</t>
  </si>
  <si>
    <t>Connections provided at LV</t>
  </si>
  <si>
    <t>Connections provided at HV</t>
  </si>
  <si>
    <t>132kV UG Cable (Gas)</t>
  </si>
  <si>
    <t>132 kV Sub Cable</t>
  </si>
  <si>
    <t>132 kV CB (ID &amp; OD)</t>
  </si>
  <si>
    <t>132 kV Switchgear (other)</t>
  </si>
  <si>
    <t>132 kV Transformer</t>
  </si>
  <si>
    <t>132 kV AuxiliaryTransfomer</t>
  </si>
  <si>
    <t>Total all network tiers</t>
  </si>
  <si>
    <t>Total by network tiers</t>
  </si>
  <si>
    <t xml:space="preserve">% </t>
  </si>
  <si>
    <t>Estimated number demand connections/disconnections at HV</t>
  </si>
  <si>
    <t>Tele-control / SCADA</t>
  </si>
  <si>
    <t>Primary substation</t>
  </si>
  <si>
    <t>132 kV/EHV RTU (PM)</t>
  </si>
  <si>
    <t>Allocation of "Unallocated" costs by cost driver to network tiers</t>
  </si>
  <si>
    <t>HV RTU (PM)</t>
  </si>
  <si>
    <t>HV RTU (GM)</t>
  </si>
  <si>
    <t>HV network switchgear</t>
  </si>
  <si>
    <t>Primary</t>
  </si>
  <si>
    <t>Distribution</t>
  </si>
  <si>
    <t>T4 - Volume Summary</t>
  </si>
  <si>
    <t>Total Asset Register Movement</t>
  </si>
  <si>
    <t>Opening Balance DCPR4</t>
  </si>
  <si>
    <t>Units distributed at EHV+</t>
  </si>
  <si>
    <t>104. Estimated line loss adjustment factors relative to LV</t>
  </si>
  <si>
    <t>LV services</t>
  </si>
  <si>
    <t>Assets Installed</t>
  </si>
  <si>
    <t>Closing Balance</t>
  </si>
  <si>
    <t>132kV total</t>
  </si>
  <si>
    <t>Expenditure on DSM to avoid customer spec investment</t>
  </si>
  <si>
    <t>Total inc. expenditure on DSM to avoid customer spec investment</t>
  </si>
  <si>
    <t>Closing DCPR asset Balance (units)</t>
  </si>
  <si>
    <t>Units (GWh) flowing through each level, loss-adjusted to LV</t>
  </si>
  <si>
    <t>Losses</t>
  </si>
  <si>
    <t>Incremental increase in units distributed attributable to new connections</t>
  </si>
  <si>
    <t>MWh</t>
  </si>
  <si>
    <t>Total increase in units distributed due to new connections</t>
  </si>
  <si>
    <t>132kV UG Cable (Oil)</t>
  </si>
  <si>
    <t>132kV UG Cable (Non Pressurised)</t>
  </si>
  <si>
    <t>Costs extracted from RRP Tables</t>
  </si>
  <si>
    <t>MEAV Calculation = Replacement unit cost*FBPQ closing asset balance</t>
  </si>
  <si>
    <t>Unit cost used in MEAV calculation (£)</t>
  </si>
  <si>
    <t>Customer contributions (directs) for connections at EHV</t>
  </si>
  <si>
    <t>Total Non-load related expenditure (direct costs)</t>
  </si>
  <si>
    <t>Non-operational property</t>
  </si>
  <si>
    <t>Total OHL expenditure (£m)</t>
  </si>
  <si>
    <t>EHV - Pole line</t>
  </si>
  <si>
    <t>EHV - Tower line</t>
  </si>
  <si>
    <t>Fittings only</t>
  </si>
  <si>
    <t>Reconductoring</t>
  </si>
  <si>
    <t>Tower Refurbishment</t>
  </si>
  <si>
    <t>EHV Total</t>
  </si>
  <si>
    <t>132kV - Pole Line</t>
  </si>
  <si>
    <t>132kV - Tower line</t>
  </si>
  <si>
    <t>No. of switchboards</t>
  </si>
  <si>
    <t>Vehicles</t>
  </si>
  <si>
    <t>OK</t>
  </si>
  <si>
    <t>Use of System Bad Debts</t>
  </si>
  <si>
    <t>previously allowed</t>
  </si>
  <si>
    <t>Costs incurred (excluding VAT)</t>
  </si>
  <si>
    <t>Receipts/(recoveries)</t>
  </si>
  <si>
    <t>Total Use of System Bad Debts</t>
  </si>
  <si>
    <t>Non-QoS Faults</t>
  </si>
  <si>
    <t>(£m)</t>
  </si>
  <si>
    <t>Fault level reinforcement:</t>
  </si>
  <si>
    <t xml:space="preserve">LV </t>
  </si>
  <si>
    <t xml:space="preserve">EHV </t>
  </si>
  <si>
    <t xml:space="preserve">132kV </t>
  </si>
  <si>
    <t>Total expenditure</t>
  </si>
  <si>
    <t>LR4 - General reinforcement</t>
  </si>
  <si>
    <t>General reinforcement expenditure</t>
  </si>
  <si>
    <t>General reinforcement:</t>
  </si>
  <si>
    <t>Each</t>
  </si>
  <si>
    <t>Overhead lines - Support</t>
  </si>
  <si>
    <t>LV Support</t>
  </si>
  <si>
    <t>Fault costs allocated to Opex and Capex</t>
  </si>
  <si>
    <t>Fault opex</t>
  </si>
  <si>
    <t>Fault capex</t>
  </si>
  <si>
    <t>Total Fault Costs</t>
  </si>
  <si>
    <t>Expenditure avoided due to DG</t>
  </si>
  <si>
    <t>Expenditure avoided due to DSM</t>
  </si>
  <si>
    <t>Load Related New Connections &amp; Reinforcement</t>
  </si>
  <si>
    <t>General reinforcement projects</t>
  </si>
  <si>
    <t>Scheme details</t>
  </si>
  <si>
    <t>Scheme description</t>
  </si>
  <si>
    <t>Named scheme</t>
  </si>
  <si>
    <t>LV Board (WM)</t>
  </si>
  <si>
    <t>LV UGB</t>
  </si>
  <si>
    <t>Relevant distributed generation (less contributions)</t>
  </si>
  <si>
    <t>Disallowed Related Party Margins</t>
  </si>
  <si>
    <t>Statutory Depreciation</t>
  </si>
  <si>
    <t>Network Rates</t>
  </si>
  <si>
    <t>MVA of additional firm capacity to be installed</t>
  </si>
  <si>
    <t>Total cost of project</t>
  </si>
  <si>
    <t>Total cost of project in DPCR5 period</t>
  </si>
  <si>
    <t>6.6/11 kV Support</t>
  </si>
  <si>
    <t>20 kV Support</t>
  </si>
  <si>
    <t>Underground cables (kms)</t>
  </si>
  <si>
    <t>6.6/11kV UG Cable</t>
  </si>
  <si>
    <t>20kV UG Cable</t>
  </si>
  <si>
    <t>Step 2.b. Divide cost by units flowing - effectively adjust the cost because of electricity lost as it flows thorugh the network meaning that there is more cost in the lower tiers</t>
  </si>
  <si>
    <t>LV Main (UG Consac)</t>
  </si>
  <si>
    <t>Metering</t>
  </si>
  <si>
    <t>Excluded services &amp; de minimis</t>
  </si>
  <si>
    <t>Total DPCR4</t>
  </si>
  <si>
    <t>Basis of allocation</t>
  </si>
  <si>
    <t>% used</t>
  </si>
  <si>
    <t>Operating costs</t>
  </si>
  <si>
    <t>Overall Opex split</t>
  </si>
  <si>
    <t>REVENUE</t>
  </si>
  <si>
    <t>6.6/11 kV RMU</t>
  </si>
  <si>
    <t>6.6/11 kV Switchgear - Other (PM)</t>
  </si>
  <si>
    <t>Property Mgt</t>
  </si>
  <si>
    <t>Vehicles &amp; Transport</t>
  </si>
  <si>
    <t>Non Relevant Distributed Generation</t>
  </si>
  <si>
    <t>132kV System</t>
  </si>
  <si>
    <t>Total Direct Costs excluding Reallocations</t>
  </si>
  <si>
    <t xml:space="preserve">Direct Cost Reallocation </t>
  </si>
  <si>
    <t>NL9 - Legal and safety</t>
  </si>
  <si>
    <t>Legal and Safety</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</si>
  <si>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</si>
  <si>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</si>
  <si>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</si>
  <si>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</si>
  <si>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</si>
  <si>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</si>
  <si>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</si>
  <si>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</si>
  <si>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</si>
  <si>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</si>
  <si>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</si>
  <si>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</si>
  <si>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</si>
  <si>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</si>
  <si>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</si>
  <si>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</si>
  <si>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</si>
  <si>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</si>
  <si>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</si>
  <si>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</si>
  <si>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</si>
  <si>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</si>
  <si>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</si>
  <si>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</si>
  <si>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</si>
  <si>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</si>
  <si>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</si>
  <si>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</si>
  <si>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</si>
  <si>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</si>
  <si>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</si>
  <si>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</si>
  <si>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</si>
  <si>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</si>
  <si>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</si>
  <si>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</si>
  <si>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</si>
  <si>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</si>
  <si>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</si>
  <si>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</si>
  <si>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</si>
  <si>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</si>
  <si>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</si>
  <si>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ESQCR 2005/06 -2014/15 (£m)</t>
  </si>
  <si>
    <t>(from FBPQ NL9)</t>
  </si>
  <si>
    <t>Total Costs including Reallocations</t>
  </si>
  <si>
    <t>Customer Contributions (-ve)</t>
  </si>
  <si>
    <t>Total Costs less Capital Contributions</t>
  </si>
  <si>
    <t>Non-operational assets (-ve)</t>
  </si>
  <si>
    <t>Step 4.a. calculate proportion of cost classified as direct costs</t>
  </si>
  <si>
    <t>% direct+other</t>
  </si>
  <si>
    <t>HV System</t>
  </si>
  <si>
    <t>EHV System</t>
  </si>
  <si>
    <t>Connections provided at EHV</t>
  </si>
  <si>
    <t>Connections provided at 132kV</t>
  </si>
  <si>
    <t>General Reinforcement:</t>
  </si>
  <si>
    <t>LV System</t>
  </si>
  <si>
    <t>Estimated number demand connections/disconnections at EHV</t>
  </si>
  <si>
    <t>Disconnections</t>
  </si>
  <si>
    <t>Non-fault Related</t>
  </si>
  <si>
    <t>Estimated number demand connections/disconnections at 132kV</t>
  </si>
  <si>
    <t>Total number of demand connections</t>
  </si>
  <si>
    <t>132 kV/EHV RTU (GM)</t>
  </si>
  <si>
    <t>Secondary substation</t>
  </si>
  <si>
    <t>Total number of demand disconnections</t>
  </si>
  <si>
    <t>Customer specific demand investment</t>
  </si>
  <si>
    <t>Main Forecast Business Plan DPCR5</t>
  </si>
  <si>
    <t xml:space="preserve"> </t>
  </si>
  <si>
    <t>NL1 - Condition based expenditure</t>
  </si>
  <si>
    <t xml:space="preserve">Assets removed </t>
  </si>
  <si>
    <t>New connections &amp; customer specific reinforcement:</t>
  </si>
  <si>
    <t>Sole use</t>
  </si>
  <si>
    <t>Shared</t>
  </si>
  <si>
    <t>LV total</t>
  </si>
  <si>
    <t>HV total</t>
  </si>
  <si>
    <t>EHV total</t>
  </si>
  <si>
    <t xml:space="preserve">Transformers </t>
  </si>
  <si>
    <t>Substation</t>
  </si>
  <si>
    <t>Submarine Cables</t>
  </si>
  <si>
    <t>Total Non-load replacement</t>
  </si>
  <si>
    <t>Total Net Non-load replacement</t>
  </si>
  <si>
    <t>Non-load related (other)</t>
  </si>
  <si>
    <t>Quality of Service</t>
  </si>
  <si>
    <t>Safety</t>
  </si>
  <si>
    <t>DNO reported Unit Cost (£)</t>
  </si>
  <si>
    <t>Customer contributions (directs) for connections at HV</t>
  </si>
  <si>
    <t>Underground cables</t>
  </si>
  <si>
    <t>Submarine cables</t>
  </si>
  <si>
    <t>Total non-load replacement (£m)</t>
  </si>
  <si>
    <t>Base revenue</t>
  </si>
  <si>
    <t>Scottish Electricity Settlements run-off (Scottish DNOs only)</t>
  </si>
  <si>
    <t>Unit cost used in MEAV calculation*Closing DCPR asset Balance (units)</t>
  </si>
  <si>
    <t>Proactive condition based replacement (non fault)</t>
  </si>
  <si>
    <t>LV Service</t>
  </si>
  <si>
    <t>LR1 an LR1 (opt3) formula references</t>
  </si>
  <si>
    <t>LR1 variant</t>
  </si>
  <si>
    <t>LR1 (opt3) variant</t>
  </si>
  <si>
    <t>Cell Ref B36</t>
  </si>
  <si>
    <t>Cell Ref: B16</t>
  </si>
  <si>
    <t>LR1</t>
  </si>
  <si>
    <t>OVERALL OPEX SPLIT FROM "CALC DNO OPEX ALLOCATION" SHEET</t>
  </si>
  <si>
    <t>Connections spend minus customer contributions (from FBPQ LR1)</t>
  </si>
  <si>
    <t>Vlookup Values:</t>
  </si>
  <si>
    <t>Split of Tariffs</t>
  </si>
  <si>
    <t>'LR1 opt 3' is an extended version of LR1, which contains all information from LR1, but breaks down certain lines into more detail.</t>
  </si>
  <si>
    <t>Category</t>
  </si>
  <si>
    <t>Weighted Average (after incentive and pension deficit costs removed and weighted by units flowing)</t>
  </si>
  <si>
    <t>Opex (incl pensions after  57.7% capitalised)</t>
  </si>
  <si>
    <t>Under/over recovery</t>
  </si>
  <si>
    <t>Step 3. Remove incentive revenue and pension deficit payment from allocations</t>
  </si>
  <si>
    <t>Costs allocated to network tiers in RRP - from 2.3 and 2.4</t>
  </si>
  <si>
    <t>Step 2. Identify costs included in price control revenues to be allocated by MEAV</t>
  </si>
  <si>
    <t>Step 3.  Allocate costs not directly atttibutable to network tiers to network tiers using MEAV</t>
  </si>
  <si>
    <t>Step 4.  Sum directly attributed and allocated costs</t>
  </si>
  <si>
    <t>Sum of allocated and "unallocated" costs</t>
  </si>
  <si>
    <t>Step 5. Divide cost by units flowing - effectively adjust the cost because of electricity lost as it flows through the network meaning that there is more cost in the lower tiers</t>
  </si>
  <si>
    <t>Sum of allocated and "unallocated" costs expressed per unit throughput (p/kWh)</t>
  </si>
  <si>
    <t>Proportion of costs allocated to Opex and Capex</t>
  </si>
  <si>
    <t>Operating costs = sum of allocated and unallocated multiplied by 1 minus capitalised proprtion</t>
  </si>
  <si>
    <t>No. of Customers</t>
  </si>
  <si>
    <t>No. of Substations</t>
  </si>
  <si>
    <t>Closing asset balance from FBPQ V4</t>
  </si>
  <si>
    <t>Connection/Reinforcement/Replacement Capex LV, HV, EHV, 132kV split</t>
  </si>
  <si>
    <t>Fault reinforcement Capex 2005/06 -2014/15 (£m)</t>
  </si>
  <si>
    <t>General reinforcement Capex 2005/06 -2014/15 (£m)</t>
  </si>
  <si>
    <t>Connection/Reinforcement/Replacement Capex LV, LV/HV, HV, EHV, 132kV split</t>
  </si>
  <si>
    <t>De Minimis Revenue</t>
  </si>
  <si>
    <t>Non-load related replacement (Condition based)</t>
  </si>
  <si>
    <t>LV Control centre costs
(where it remotely controls LV network)</t>
  </si>
  <si>
    <t>Company, charging year, data version</t>
  </si>
  <si>
    <t>LV Split and HV Split</t>
  </si>
  <si>
    <t>Discount rate</t>
  </si>
  <si>
    <t>LR1 opt 3</t>
  </si>
  <si>
    <t>HV main usage value provided each year by the Nominated Calculation Agent</t>
  </si>
  <si>
    <t>Company</t>
  </si>
  <si>
    <t>Charging year</t>
  </si>
  <si>
    <t>Data version</t>
  </si>
  <si>
    <t>Choice of data source for connections-related capital expenditure</t>
  </si>
  <si>
    <t>Percentage</t>
  </si>
  <si>
    <t>Results (for table 1037 of the CDCM tariff model)</t>
  </si>
  <si>
    <t>Summary of revenue</t>
  </si>
  <si>
    <t>Allowed revenue -DPCR4</t>
  </si>
  <si>
    <t>FBPQ T4</t>
  </si>
  <si>
    <t>FBPQ LR1</t>
  </si>
  <si>
    <t>FBPQ LR1 - V5 opt3</t>
  </si>
  <si>
    <t>FBPQ LR4</t>
  </si>
  <si>
    <t>FBPQ LR6</t>
  </si>
  <si>
    <t>FBPQ NL1</t>
  </si>
  <si>
    <t>NL9 - Legal &amp; Safety</t>
  </si>
  <si>
    <t>FBPQ C2</t>
  </si>
  <si>
    <t>RRP 1.3</t>
  </si>
  <si>
    <t>RRP 2.3</t>
  </si>
  <si>
    <t>RRP 2.4</t>
  </si>
  <si>
    <t>RRP 2.6</t>
  </si>
  <si>
    <t>RRP 5.1</t>
  </si>
  <si>
    <t>Calc-MEAV</t>
  </si>
  <si>
    <t>Calc-Units</t>
  </si>
  <si>
    <t>Calc-Net capex</t>
  </si>
  <si>
    <t>Calc DNO Opex Allocation</t>
  </si>
  <si>
    <t>Calc-Drivers</t>
  </si>
  <si>
    <t>DNO Final Allocation</t>
  </si>
  <si>
    <t>Allocation Summary</t>
  </si>
  <si>
    <t>Discount rate used to convert between price control presentations</t>
  </si>
  <si>
    <t>Results</t>
  </si>
  <si>
    <t>Use these buttons to select a LR1 data source</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</si>
  <si>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</si>
  <si>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</si>
  <si>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</si>
  <si>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</si>
  <si>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</si>
  <si>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</si>
  <si>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</si>
  <si>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</si>
  <si>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</si>
  <si>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</si>
  <si>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</si>
  <si>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</si>
  <si>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</si>
  <si>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</si>
  <si>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</si>
  <si>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GSP</t>
  </si>
  <si>
    <t>132kV circuits</t>
  </si>
  <si>
    <t>132kV/EHV</t>
  </si>
  <si>
    <t>EHV circuits</t>
  </si>
  <si>
    <t>EHV/HV</t>
  </si>
  <si>
    <t>132kV/HV</t>
  </si>
  <si>
    <t>HV circuits</t>
  </si>
  <si>
    <t>LV circuits</t>
  </si>
  <si>
    <t>LV customer</t>
  </si>
  <si>
    <t>HV customer</t>
  </si>
  <si>
    <t>Assets in CDCM model (£) (from CDCM table 2705 or 2706)</t>
  </si>
  <si>
    <t>Assets in CDCM model (£) (from CDCM table 2705 or 2706 or EDCM table 1131)</t>
  </si>
  <si>
    <t>All notional assets in EDCM (£)</t>
  </si>
  <si>
    <t>All notional assets in EDCM (£) (from EDCM table 4167, 4168, 4169 or 4170)</t>
  </si>
  <si>
    <r>
      <t>BR</t>
    </r>
    <r>
      <rPr>
        <vertAlign val="subscript"/>
        <sz val="10"/>
        <color indexed="8"/>
        <rFont val="Arial"/>
        <family val="2"/>
      </rPr>
      <t xml:space="preserve"> t =</t>
    </r>
    <r>
      <rPr>
        <sz val="10"/>
        <color indexed="8"/>
        <rFont val="Arial"/>
        <family val="2"/>
      </rPr>
      <t xml:space="preserve"> (PU x GR </t>
    </r>
    <r>
      <rPr>
        <vertAlign val="subscript"/>
        <sz val="10"/>
        <color indexed="8"/>
        <rFont val="Arial"/>
        <family val="2"/>
      </rPr>
      <t xml:space="preserve"> t</t>
    </r>
    <r>
      <rPr>
        <sz val="10"/>
        <color indexed="8"/>
        <rFont val="Arial"/>
        <family val="2"/>
      </rPr>
      <t xml:space="preserve"> + PE) x PIAD </t>
    </r>
    <r>
      <rPr>
        <vertAlign val="subscript"/>
        <sz val="10"/>
        <color indexed="8"/>
        <rFont val="Arial"/>
        <family val="2"/>
      </rPr>
      <t>t</t>
    </r>
    <r>
      <rPr>
        <sz val="10"/>
        <color indexed="8"/>
        <rFont val="Arial"/>
        <family val="2"/>
      </rPr>
      <t xml:space="preserve"> - MG</t>
    </r>
    <r>
      <rPr>
        <vertAlign val="subscript"/>
        <sz val="10"/>
        <color indexed="8"/>
        <rFont val="Arial"/>
        <family val="2"/>
      </rPr>
      <t xml:space="preserve"> t</t>
    </r>
  </si>
  <si>
    <r>
      <t xml:space="preserve">PU.GR </t>
    </r>
    <r>
      <rPr>
        <vertAlign val="subscript"/>
        <sz val="10"/>
        <color indexed="8"/>
        <rFont val="Arial"/>
        <family val="2"/>
      </rPr>
      <t xml:space="preserve"> t</t>
    </r>
    <r>
      <rPr>
        <sz val="10"/>
        <color indexed="8"/>
        <rFont val="Arial"/>
        <family val="2"/>
      </rPr>
      <t xml:space="preserve"> </t>
    </r>
  </si>
  <si>
    <r>
      <t xml:space="preserve">PIAD </t>
    </r>
    <r>
      <rPr>
        <vertAlign val="subscript"/>
        <sz val="10"/>
        <color indexed="8"/>
        <rFont val="Arial"/>
        <family val="2"/>
      </rPr>
      <t>t</t>
    </r>
  </si>
  <si>
    <r>
      <t>MG</t>
    </r>
    <r>
      <rPr>
        <vertAlign val="subscript"/>
        <sz val="10"/>
        <color indexed="8"/>
        <rFont val="Arial"/>
        <family val="2"/>
      </rPr>
      <t xml:space="preserve"> t</t>
    </r>
  </si>
  <si>
    <r>
      <t>EHV Connected Customers Component of BR</t>
    </r>
    <r>
      <rPr>
        <vertAlign val="subscript"/>
        <sz val="11"/>
        <color indexed="8"/>
        <rFont val="Arial"/>
        <family val="2"/>
      </rPr>
      <t xml:space="preserve">t </t>
    </r>
    <r>
      <rPr>
        <sz val="11"/>
        <color indexed="8"/>
        <rFont val="Arial"/>
        <family val="2"/>
      </rPr>
      <t>(PE in above Equn)</t>
    </r>
  </si>
  <si>
    <t>Less transmission exist charges</t>
  </si>
  <si>
    <t>Less incentive revenue</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</si>
  <si>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</si>
  <si>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</si>
  <si>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</si>
  <si>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</si>
  <si>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</si>
  <si>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Total revenue not to share</t>
  </si>
  <si>
    <t>£m EHV</t>
  </si>
  <si>
    <t>£m ex EHV</t>
  </si>
  <si>
    <t>Sheet</t>
  </si>
  <si>
    <t>Inputs</t>
  </si>
  <si>
    <t>Description / instructions</t>
  </si>
  <si>
    <t>Use copy-paste to replace the entire contents of this sheet with your input data</t>
  </si>
  <si>
    <t>Use copy-paste to replace rows 1 to 50 with your input data, and populate cells shaded in blue in rows 61 to 63</t>
  </si>
  <si>
    <t>Use copy-paste to replace rows 18 to 163 with your input data; do not change formulas in rows 1 to 12</t>
  </si>
  <si>
    <t>Enter input data in blue shaded areas</t>
  </si>
  <si>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</si>
  <si>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</si>
  <si>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</si>
  <si>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</si>
  <si>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Technical notes</t>
  </si>
  <si>
    <t>We have built this workbook by modifying the DCP 129 model published on dcusa.co.uk.</t>
  </si>
  <si>
    <t>Do not change anything in this calculation sheet</t>
  </si>
  <si>
    <t>Do not change anything in this calculation sheet; use the results to populate your CDCM tariff model</t>
  </si>
  <si>
    <t>We have not tried to ensure compliance with the legal text as a whole or consistency with any method M model published by any DNO.</t>
  </si>
  <si>
    <t>We have made changes for DCP 118 on the basis of the DCP 118 change report, the DCP 118 RFI workbooks and the DCP 118 legal text.</t>
  </si>
  <si>
    <t>WPD South West</t>
  </si>
  <si>
    <t>Indicative</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</si>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</sst>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quot;£&quot;* #,##0.00_-;\-&quot;£&quot;* #,##0.00_-;_-&quot;£&quot;* &quot;-&quot;??_-;_-@_-"/>
    <numFmt numFmtId="43" formatCode="_-* #,##0.00_-;\-* #,##0.00_-;_-* &quot;-&quot;??_-;_-@_-"/>
    <numFmt numFmtId="164" formatCode="0.0%"/>
    <numFmt numFmtId="165" formatCode="0.0000"/>
    <numFmt numFmtId="166" formatCode="0.000"/>
    <numFmt numFmtId="167" formatCode="0.0"/>
    <numFmt numFmtId="168" formatCode="#,##0_);[Red]\(#,##0\);\-"/>
    <numFmt numFmtId="169" formatCode="#,##0.000;[Red]\-#,##0.000;"/>
    <numFmt numFmtId="170" formatCode="#,##0.000;[Red]\-#,##0.000;\-"/>
    <numFmt numFmtId="171" formatCode="_(* #,##0_);_(* \(#,##0\);_(* &quot;-&quot;??_);_(@_)"/>
    <numFmt numFmtId="172" formatCode="#,##0;[Red]\-#,##0;\-"/>
    <numFmt numFmtId="173" formatCode="_-* #,##0.000_-;\-* #,##0.000_-;_-* &quot;-&quot;??_-;_-@_-"/>
    <numFmt numFmtId="174" formatCode="#,##0.0_);[Red]\(#,##0.0\);\-"/>
    <numFmt numFmtId="175" formatCode="0.00000%"/>
    <numFmt numFmtId="176" formatCode="0;\(0\)"/>
    <numFmt numFmtId="177" formatCode="0;[Red]\(0\);\-"/>
    <numFmt numFmtId="178" formatCode="_(* #,##0.0_);_(* \(#,##0.0\);_(* &quot;-&quot;?_);_(@_)"/>
    <numFmt numFmtId="179" formatCode="_(??0.0%_);[Red]\(??0.0%\);"/>
    <numFmt numFmtId="180" formatCode="_(??0.000%_);[Red]\(??0.000%\);_(???_%_)"/>
    <numFmt numFmtId="181" formatCode="_-* #,##0_-;\-* #,##0_-;_-* &quot;-&quot;??_-;_-@_-"/>
    <numFmt numFmtId="182" formatCode="\ _(???,???,??0_);[Red]\ \(???,???,??0\);;@"/>
    <numFmt numFmtId="183" formatCode="\ _(??0.0%_);[Red]\ \(??0.0%\);;@"/>
  </numFmts>
  <fonts count="83">
    <font>
      <sz val="10"/>
      <name val="Arial"/>
    </font>
    <font>
      <sz val="10"/>
      <name val="Arial"/>
      <family val="2"/>
    </font>
    <font>
      <sz val="8"/>
      <name val="Verdana"/>
      <family val="2"/>
    </font>
    <font>
      <sz val="10"/>
      <name val="Arial"/>
      <family val="2"/>
    </font>
    <font>
      <b/>
      <sz val="10"/>
      <name val="Arial"/>
      <family val="2"/>
    </font>
    <font>
      <sz val="10"/>
      <name val="Arial"/>
      <family val="2"/>
    </font>
    <font>
      <sz val="10"/>
      <color indexed="8"/>
      <name val="Verdana"/>
      <family val="2"/>
    </font>
    <font>
      <i/>
      <sz val="10"/>
      <name val="Arial"/>
      <family val="2"/>
    </font>
    <font>
      <sz val="11"/>
      <name val="CG Omega"/>
      <family val="2"/>
    </font>
    <font>
      <sz val="11"/>
      <name val="Arial"/>
      <family val="2"/>
    </font>
    <font>
      <sz val="8"/>
      <name val="Arial"/>
      <family val="2"/>
    </font>
    <font>
      <b/>
      <sz val="8"/>
      <name val="Arial"/>
      <family val="2"/>
    </font>
    <font>
      <sz val="8"/>
      <color indexed="12"/>
      <name val="Arial"/>
      <family val="2"/>
    </font>
    <font>
      <b/>
      <sz val="11"/>
      <name val="CG Omega"/>
      <family val="2"/>
    </font>
    <font>
      <sz val="10"/>
      <name val="CG Omega"/>
      <family val="2"/>
    </font>
    <font>
      <b/>
      <sz val="10"/>
      <name val="CG Omega"/>
      <family val="2"/>
    </font>
    <font>
      <sz val="10"/>
      <color indexed="10"/>
      <name val="Arial"/>
      <family val="2"/>
    </font>
    <font>
      <b/>
      <sz val="12"/>
      <color indexed="40"/>
      <name val="Arial"/>
      <family val="2"/>
    </font>
    <font>
      <u/>
      <sz val="11"/>
      <color indexed="40"/>
      <name val="Arial"/>
      <family val="2"/>
    </font>
    <font>
      <sz val="11"/>
      <color indexed="12"/>
      <name val="CG Omega"/>
      <family val="2"/>
    </font>
    <font>
      <u/>
      <sz val="10"/>
      <color indexed="12"/>
      <name val="Arial"/>
      <family val="2"/>
    </font>
    <font>
      <b/>
      <sz val="10"/>
      <color indexed="8"/>
      <name val="Verdana"/>
      <family val="2"/>
    </font>
    <font>
      <sz val="10"/>
      <color indexed="10"/>
      <name val="Arial"/>
      <family val="2"/>
    </font>
    <font>
      <sz val="10"/>
      <color indexed="10"/>
      <name val="CG Omega"/>
      <family val="2"/>
    </font>
    <font>
      <sz val="10"/>
      <color indexed="9"/>
      <name val="Arial"/>
      <family val="2"/>
    </font>
    <font>
      <b/>
      <u/>
      <sz val="10"/>
      <name val="Arial"/>
      <family val="2"/>
    </font>
    <font>
      <sz val="10"/>
      <color indexed="12"/>
      <name val="CG Omega"/>
      <family val="2"/>
    </font>
    <font>
      <sz val="10"/>
      <color indexed="12"/>
      <name val="Arial"/>
      <family val="2"/>
    </font>
    <font>
      <sz val="8"/>
      <name val="CG Omega"/>
      <family val="2"/>
    </font>
    <font>
      <b/>
      <sz val="11"/>
      <name val="Arial"/>
      <family val="2"/>
    </font>
    <font>
      <sz val="10"/>
      <color indexed="8"/>
      <name val="Arial"/>
      <family val="2"/>
    </font>
    <font>
      <b/>
      <sz val="10"/>
      <color indexed="8"/>
      <name val="Arial"/>
      <family val="2"/>
    </font>
    <font>
      <b/>
      <sz val="14"/>
      <name val="CG Omega"/>
      <family val="2"/>
    </font>
    <font>
      <sz val="9"/>
      <name val="Arial"/>
      <family val="2"/>
    </font>
    <font>
      <sz val="9"/>
      <name val="CG Omega"/>
      <family val="2"/>
    </font>
    <font>
      <b/>
      <sz val="9"/>
      <name val="CG Omega"/>
      <family val="2"/>
    </font>
    <font>
      <sz val="10"/>
      <color indexed="8"/>
      <name val="CG Omega"/>
      <family val="2"/>
    </font>
    <font>
      <b/>
      <sz val="16"/>
      <name val="CG Omega"/>
      <family val="2"/>
    </font>
    <font>
      <b/>
      <sz val="12"/>
      <name val="CG Omega"/>
      <family val="2"/>
    </font>
    <font>
      <sz val="11"/>
      <color indexed="10"/>
      <name val="CG Omega"/>
      <family val="2"/>
    </font>
    <font>
      <b/>
      <sz val="11"/>
      <color indexed="12"/>
      <name val="CG Omega"/>
      <family val="2"/>
    </font>
    <font>
      <sz val="10"/>
      <color indexed="30"/>
      <name val="CG Omega"/>
      <family val="2"/>
    </font>
    <font>
      <b/>
      <sz val="10"/>
      <name val="Verdana"/>
      <family val="2"/>
    </font>
    <font>
      <sz val="10"/>
      <name val="Verdana"/>
      <family val="2"/>
    </font>
    <font>
      <b/>
      <sz val="10"/>
      <name val="Arial"/>
      <family val="2"/>
    </font>
    <font>
      <u/>
      <sz val="10"/>
      <color indexed="12"/>
      <name val="Arial"/>
      <family val="2"/>
    </font>
    <font>
      <sz val="11"/>
      <name val="Arial"/>
      <family val="2"/>
    </font>
    <font>
      <sz val="8"/>
      <name val="Verdana"/>
      <family val="2"/>
    </font>
    <font>
      <sz val="10"/>
      <name val="Arial"/>
      <family val="2"/>
    </font>
    <font>
      <sz val="10"/>
      <name val="Verdana"/>
      <family val="2"/>
    </font>
    <font>
      <b/>
      <sz val="16"/>
      <name val="Arial"/>
      <family val="2"/>
    </font>
    <font>
      <b/>
      <sz val="20"/>
      <name val="CG Omega"/>
      <family val="2"/>
    </font>
    <font>
      <b/>
      <sz val="14"/>
      <name val="Arial"/>
      <family val="2"/>
    </font>
    <font>
      <sz val="16"/>
      <color indexed="8"/>
      <name val="Arial"/>
      <family val="2"/>
    </font>
    <font>
      <sz val="10"/>
      <color indexed="56"/>
      <name val="Arial"/>
      <family val="2"/>
    </font>
    <font>
      <b/>
      <sz val="20"/>
      <name val="Arial"/>
      <family val="2"/>
    </font>
    <font>
      <b/>
      <sz val="10"/>
      <color indexed="12"/>
      <name val="Arial"/>
      <family val="2"/>
    </font>
    <font>
      <sz val="11"/>
      <color indexed="30"/>
      <name val="CG Omega"/>
      <family val="2"/>
    </font>
    <font>
      <sz val="11"/>
      <color indexed="8"/>
      <name val="CG Omega"/>
      <family val="2"/>
    </font>
    <font>
      <sz val="14"/>
      <name val="Arial"/>
      <family val="2"/>
    </font>
    <font>
      <sz val="11"/>
      <name val="Calibri"/>
      <family val="2"/>
    </font>
    <font>
      <b/>
      <sz val="11"/>
      <name val="CG Omega"/>
      <family val="2"/>
    </font>
    <font>
      <u/>
      <sz val="10"/>
      <color theme="11"/>
      <name val="Arial"/>
      <family val="2"/>
    </font>
    <font>
      <sz val="10"/>
      <color rgb="FF000000"/>
      <name val="Geneva"/>
    </font>
    <font>
      <b/>
      <sz val="15"/>
      <name val="Calibri"/>
      <family val="2"/>
    </font>
    <font>
      <b/>
      <sz val="11"/>
      <name val="Calibri"/>
      <family val="2"/>
    </font>
    <font>
      <b/>
      <sz val="13"/>
      <name val="Calibri"/>
      <family val="2"/>
    </font>
    <font>
      <sz val="10"/>
      <name val="Calibri"/>
      <family val="2"/>
    </font>
    <font>
      <b/>
      <sz val="10"/>
      <name val="Calibri"/>
      <family val="2"/>
    </font>
    <font>
      <b/>
      <sz val="11"/>
      <color theme="1"/>
      <name val="Arial"/>
      <family val="2"/>
    </font>
    <font>
      <sz val="10"/>
      <color theme="1"/>
      <name val="Times New Roman"/>
      <family val="1"/>
    </font>
    <font>
      <sz val="10"/>
      <color theme="1"/>
      <name val="Arial"/>
      <family val="2"/>
    </font>
    <font>
      <b/>
      <sz val="10"/>
      <color theme="1"/>
      <name val="Arial"/>
      <family val="2"/>
    </font>
    <font>
      <sz val="11"/>
      <color theme="1"/>
      <name val="Arial"/>
      <family val="2"/>
    </font>
    <font>
      <sz val="10"/>
      <color rgb="FFFF0000"/>
      <name val="Times New Roman"/>
      <family val="1"/>
    </font>
    <font>
      <b/>
      <sz val="11"/>
      <color theme="1"/>
      <name val="Calibri"/>
      <family val="2"/>
      <scheme val="minor"/>
    </font>
    <font>
      <sz val="11"/>
      <color rgb="FF800080"/>
      <name val="Calibri"/>
      <family val="2"/>
      <scheme val="minor"/>
    </font>
    <font>
      <vertAlign val="subscript"/>
      <sz val="10"/>
      <color indexed="8"/>
      <name val="Arial"/>
      <family val="2"/>
    </font>
    <font>
      <vertAlign val="subscript"/>
      <sz val="11"/>
      <color indexed="8"/>
      <name val="Arial"/>
      <family val="2"/>
    </font>
    <font>
      <sz val="11"/>
      <color indexed="8"/>
      <name val="Arial"/>
      <family val="2"/>
    </font>
    <font>
      <b/>
      <sz val="10"/>
      <color rgb="FFFF0000"/>
      <name val="Arial"/>
      <family val="2"/>
    </font>
    <font>
      <sz val="11"/>
      <color rgb="FF000000"/>
      <name val="Calibri"/>
      <family val="2"/>
    </font>
    <font>
      <b/>
      <sz val="15"/>
      <color theme="1"/>
      <name val="Calibri"/>
      <family val="2"/>
      <scheme val="minor"/>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8"/>
        <bgColor indexed="64"/>
      </patternFill>
    </fill>
    <fill>
      <patternFill patternType="solid">
        <fgColor indexed="52"/>
        <bgColor indexed="64"/>
      </patternFill>
    </fill>
    <fill>
      <patternFill patternType="solid">
        <fgColor indexed="63"/>
        <bgColor indexed="64"/>
      </patternFill>
    </fill>
    <fill>
      <patternFill patternType="gray125">
        <bgColor indexed="22"/>
      </patternFill>
    </fill>
    <fill>
      <patternFill patternType="solid">
        <fgColor indexed="23"/>
        <bgColor indexed="64"/>
      </patternFill>
    </fill>
    <fill>
      <patternFill patternType="solid">
        <fgColor indexed="46"/>
        <bgColor indexed="64"/>
      </patternFill>
    </fill>
    <fill>
      <patternFill patternType="solid">
        <fgColor rgb="FFFF0000"/>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99CCFF"/>
        <bgColor indexed="64"/>
      </patternFill>
    </fill>
    <fill>
      <patternFill patternType="solid">
        <fgColor rgb="FFFFCC99"/>
        <bgColor indexed="64"/>
      </patternFill>
    </fill>
  </fills>
  <borders count="8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top style="thin">
        <color auto="1"/>
      </top>
      <bottom/>
      <diagonal/>
    </border>
    <border>
      <left/>
      <right/>
      <top style="thin">
        <color auto="1"/>
      </top>
      <bottom style="thin">
        <color auto="1"/>
      </bottom>
      <diagonal/>
    </border>
    <border>
      <left style="medium">
        <color auto="1"/>
      </left>
      <right/>
      <top/>
      <bottom/>
      <diagonal/>
    </border>
    <border>
      <left/>
      <right/>
      <top/>
      <bottom style="thin">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double">
        <color auto="1"/>
      </bottom>
      <diagonal/>
    </border>
    <border>
      <left/>
      <right style="thin">
        <color auto="1"/>
      </right>
      <top/>
      <bottom style="medium">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dashed">
        <color rgb="FF800080"/>
      </top>
      <bottom style="dashed">
        <color rgb="FF800080"/>
      </bottom>
      <diagonal/>
    </border>
    <border>
      <left/>
      <right style="medium">
        <color indexed="64"/>
      </right>
      <top style="thin">
        <color indexed="64"/>
      </top>
      <bottom style="double">
        <color indexed="64"/>
      </bottom>
      <diagonal/>
    </border>
  </borders>
  <cellStyleXfs count="119">
    <xf numFmtId="0" fontId="0" fillId="0" borderId="0"/>
    <xf numFmtId="0" fontId="8" fillId="0" borderId="0"/>
    <xf numFmtId="0" fontId="48" fillId="0" borderId="0"/>
    <xf numFmtId="0" fontId="48" fillId="0" borderId="0">
      <alignment vertical="center"/>
    </xf>
    <xf numFmtId="0" fontId="8" fillId="0" borderId="0"/>
    <xf numFmtId="0" fontId="48" fillId="0" borderId="0"/>
    <xf numFmtId="0" fontId="8" fillId="0" borderId="0">
      <alignment vertical="justify"/>
    </xf>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20" fillId="0" borderId="0" applyNumberFormat="0" applyFill="0" applyBorder="0" applyAlignment="0" applyProtection="0">
      <alignment vertical="top"/>
      <protection locked="0"/>
    </xf>
    <xf numFmtId="0" fontId="3" fillId="0" borderId="0"/>
    <xf numFmtId="0" fontId="8" fillId="0" borderId="0"/>
    <xf numFmtId="0" fontId="48" fillId="0" borderId="0"/>
    <xf numFmtId="0" fontId="48" fillId="0" borderId="0"/>
    <xf numFmtId="0" fontId="5" fillId="0" borderId="0"/>
    <xf numFmtId="0" fontId="48" fillId="0" borderId="0"/>
    <xf numFmtId="0" fontId="48" fillId="0" borderId="0"/>
    <xf numFmtId="0" fontId="48" fillId="0" borderId="0"/>
    <xf numFmtId="0" fontId="49" fillId="0" borderId="0"/>
    <xf numFmtId="0" fontId="48" fillId="0" borderId="0">
      <alignment vertical="center"/>
    </xf>
    <xf numFmtId="0" fontId="8" fillId="0" borderId="0">
      <alignment vertical="top"/>
    </xf>
    <xf numFmtId="0" fontId="8" fillId="0" borderId="0"/>
    <xf numFmtId="0" fontId="6" fillId="0" borderId="0"/>
    <xf numFmtId="0" fontId="8" fillId="0" borderId="0"/>
    <xf numFmtId="0" fontId="8" fillId="0" borderId="0"/>
    <xf numFmtId="0" fontId="8" fillId="0" borderId="0"/>
    <xf numFmtId="0" fontId="3" fillId="0" borderId="0"/>
    <xf numFmtId="0" fontId="48" fillId="0" borderId="0"/>
    <xf numFmtId="0" fontId="49" fillId="0" borderId="0"/>
    <xf numFmtId="0" fontId="6" fillId="0" borderId="0"/>
    <xf numFmtId="0" fontId="9"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270">
    <xf numFmtId="0" fontId="0" fillId="0" borderId="0" xfId="0"/>
    <xf numFmtId="0" fontId="0" fillId="2" borderId="0" xfId="0" applyFill="1"/>
    <xf numFmtId="0" fontId="0" fillId="3" borderId="0" xfId="0" applyFill="1"/>
    <xf numFmtId="0" fontId="0" fillId="0" borderId="1" xfId="0" applyBorder="1"/>
    <xf numFmtId="0" fontId="5" fillId="0" borderId="2" xfId="0" applyFont="1" applyBorder="1"/>
    <xf numFmtId="0" fontId="5" fillId="0" borderId="3" xfId="0" applyFont="1" applyBorder="1"/>
    <xf numFmtId="0" fontId="5" fillId="0" borderId="0" xfId="0" applyFont="1" applyBorder="1"/>
    <xf numFmtId="0" fontId="0" fillId="0" borderId="0" xfId="0" applyBorder="1"/>
    <xf numFmtId="0" fontId="4" fillId="2" borderId="0" xfId="0" applyFont="1" applyFill="1"/>
    <xf numFmtId="0" fontId="0" fillId="0" borderId="4" xfId="0" applyBorder="1"/>
    <xf numFmtId="0" fontId="5" fillId="0" borderId="5" xfId="0" applyFont="1" applyBorder="1"/>
    <xf numFmtId="2" fontId="0" fillId="0" borderId="1" xfId="0" applyNumberFormat="1" applyBorder="1"/>
    <xf numFmtId="2" fontId="0" fillId="0" borderId="2" xfId="0" applyNumberFormat="1" applyBorder="1"/>
    <xf numFmtId="2" fontId="0" fillId="0" borderId="3" xfId="0" applyNumberFormat="1" applyBorder="1"/>
    <xf numFmtId="0" fontId="0" fillId="0" borderId="6" xfId="0" applyBorder="1"/>
    <xf numFmtId="10" fontId="0" fillId="0" borderId="2" xfId="0" applyNumberFormat="1" applyBorder="1" applyAlignment="1">
      <alignment vertical="top"/>
    </xf>
    <xf numFmtId="10" fontId="0" fillId="0" borderId="2" xfId="33" applyNumberFormat="1" applyFont="1" applyBorder="1" applyAlignment="1">
      <alignment vertical="top"/>
    </xf>
    <xf numFmtId="9" fontId="0" fillId="0" borderId="2" xfId="33" applyFont="1" applyBorder="1" applyAlignment="1">
      <alignment vertical="top"/>
    </xf>
    <xf numFmtId="0" fontId="5" fillId="0" borderId="0" xfId="0" applyFont="1"/>
    <xf numFmtId="0" fontId="0" fillId="0" borderId="0" xfId="0" applyAlignment="1">
      <alignment vertical="center"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3" xfId="0" applyBorder="1"/>
    <xf numFmtId="0" fontId="0" fillId="0" borderId="2" xfId="0" applyBorder="1"/>
    <xf numFmtId="0" fontId="5" fillId="0" borderId="1" xfId="0" applyFont="1" applyBorder="1"/>
    <xf numFmtId="0" fontId="7" fillId="0" borderId="1" xfId="0" applyFont="1" applyBorder="1" applyAlignment="1">
      <alignment vertical="top" wrapText="1"/>
    </xf>
    <xf numFmtId="0" fontId="0" fillId="4" borderId="4" xfId="0" applyFill="1" applyBorder="1" applyAlignment="1">
      <alignment vertical="center" wrapText="1"/>
    </xf>
    <xf numFmtId="0" fontId="5" fillId="0" borderId="10" xfId="0" applyFont="1" applyBorder="1"/>
    <xf numFmtId="0" fontId="5" fillId="0" borderId="12" xfId="0" applyFont="1" applyBorder="1"/>
    <xf numFmtId="1" fontId="11" fillId="0" borderId="0" xfId="26" applyNumberFormat="1" applyFont="1" applyFill="1" applyBorder="1" applyAlignment="1" applyProtection="1">
      <alignment wrapText="1"/>
    </xf>
    <xf numFmtId="0" fontId="11" fillId="0" borderId="0" xfId="26" applyFont="1" applyFill="1" applyBorder="1" applyAlignment="1" applyProtection="1"/>
    <xf numFmtId="0" fontId="10" fillId="0" borderId="0" xfId="26" applyFont="1" applyFill="1" applyBorder="1" applyProtection="1"/>
    <xf numFmtId="0" fontId="11" fillId="0" borderId="0" xfId="26" applyFont="1" applyFill="1" applyBorder="1" applyProtection="1"/>
    <xf numFmtId="0" fontId="0" fillId="0" borderId="0" xfId="0" applyFill="1" applyBorder="1"/>
    <xf numFmtId="1" fontId="10" fillId="0" borderId="0" xfId="26" applyNumberFormat="1" applyFont="1" applyFill="1" applyBorder="1" applyAlignment="1" applyProtection="1">
      <alignment wrapText="1"/>
    </xf>
    <xf numFmtId="1" fontId="11" fillId="0" borderId="0" xfId="26" applyNumberFormat="1" applyFont="1" applyFill="1" applyBorder="1" applyAlignment="1" applyProtection="1">
      <alignment horizontal="center" wrapText="1"/>
    </xf>
    <xf numFmtId="1" fontId="11" fillId="0" borderId="0" xfId="26" applyNumberFormat="1" applyFont="1" applyFill="1" applyBorder="1" applyAlignment="1" applyProtection="1">
      <alignment horizontal="centerContinuous" wrapText="1"/>
    </xf>
    <xf numFmtId="1" fontId="11" fillId="0" borderId="0" xfId="26" applyNumberFormat="1" applyFont="1" applyFill="1" applyBorder="1" applyAlignment="1" applyProtection="1">
      <alignment horizontal="center" vertical="center" wrapText="1"/>
    </xf>
    <xf numFmtId="1" fontId="10" fillId="0" borderId="0" xfId="26" applyNumberFormat="1" applyFont="1" applyFill="1" applyBorder="1" applyProtection="1"/>
    <xf numFmtId="1" fontId="10" fillId="0" borderId="0" xfId="26" applyNumberFormat="1" applyFont="1" applyFill="1" applyBorder="1" applyAlignment="1" applyProtection="1">
      <alignment horizontal="center"/>
    </xf>
    <xf numFmtId="0" fontId="10" fillId="0" borderId="0" xfId="0" applyFont="1" applyFill="1" applyBorder="1" applyAlignment="1" applyProtection="1"/>
    <xf numFmtId="167" fontId="12" fillId="0" borderId="0" xfId="0" applyNumberFormat="1" applyFont="1" applyFill="1" applyBorder="1" applyAlignment="1" applyProtection="1">
      <alignment horizontal="center" vertical="center"/>
      <protection locked="0"/>
    </xf>
    <xf numFmtId="0" fontId="10" fillId="0" borderId="0" xfId="26" applyFont="1" applyFill="1" applyBorder="1" applyAlignment="1" applyProtection="1">
      <alignment horizontal="center"/>
    </xf>
    <xf numFmtId="167" fontId="10" fillId="0" borderId="0" xfId="0" applyNumberFormat="1" applyFont="1" applyFill="1" applyBorder="1" applyAlignment="1" applyProtection="1">
      <alignment horizontal="center" vertical="center"/>
    </xf>
    <xf numFmtId="167" fontId="10" fillId="0" borderId="0" xfId="27" applyNumberFormat="1" applyFont="1" applyFill="1" applyBorder="1" applyAlignment="1" applyProtection="1">
      <alignment horizontal="center" vertical="center"/>
    </xf>
    <xf numFmtId="1" fontId="11" fillId="0" borderId="0" xfId="26" applyNumberFormat="1" applyFont="1" applyFill="1" applyBorder="1" applyProtection="1"/>
    <xf numFmtId="168" fontId="12" fillId="0" borderId="0" xfId="26" applyNumberFormat="1" applyFont="1" applyFill="1" applyBorder="1" applyProtection="1"/>
    <xf numFmtId="0" fontId="10" fillId="0" borderId="0" xfId="22" applyFont="1" applyFill="1" applyBorder="1" applyAlignment="1" applyProtection="1"/>
    <xf numFmtId="1" fontId="10" fillId="0" borderId="0" xfId="27" applyNumberFormat="1" applyFont="1" applyFill="1" applyBorder="1" applyAlignment="1" applyProtection="1">
      <alignment horizontal="center" vertical="center"/>
    </xf>
    <xf numFmtId="2" fontId="10" fillId="0" borderId="0" xfId="0" applyNumberFormat="1" applyFont="1" applyFill="1" applyBorder="1" applyAlignment="1" applyProtection="1">
      <alignment horizontal="center" vertical="center"/>
    </xf>
    <xf numFmtId="2" fontId="0" fillId="0" borderId="0" xfId="0" applyNumberFormat="1" applyBorder="1"/>
    <xf numFmtId="9" fontId="0" fillId="0" borderId="0" xfId="33" applyFont="1" applyBorder="1"/>
    <xf numFmtId="0" fontId="5" fillId="0" borderId="4" xfId="0" applyFont="1" applyFill="1" applyBorder="1"/>
    <xf numFmtId="2" fontId="0" fillId="0" borderId="6" xfId="0" applyNumberFormat="1" applyBorder="1"/>
    <xf numFmtId="2" fontId="0" fillId="0" borderId="9" xfId="0" applyNumberFormat="1" applyBorder="1"/>
    <xf numFmtId="2" fontId="0" fillId="0" borderId="11" xfId="0" applyNumberFormat="1" applyBorder="1"/>
    <xf numFmtId="2" fontId="0" fillId="0" borderId="7" xfId="0" applyNumberFormat="1" applyBorder="1"/>
    <xf numFmtId="9" fontId="0" fillId="0" borderId="4" xfId="33" applyFont="1" applyBorder="1"/>
    <xf numFmtId="10" fontId="0" fillId="0" borderId="6" xfId="0" applyNumberFormat="1" applyBorder="1" applyAlignment="1">
      <alignment vertical="top"/>
    </xf>
    <xf numFmtId="9" fontId="0" fillId="0" borderId="9" xfId="33" applyFont="1" applyBorder="1" applyAlignment="1">
      <alignment vertical="top"/>
    </xf>
    <xf numFmtId="10" fontId="0" fillId="0" borderId="9" xfId="33" applyNumberFormat="1" applyFont="1" applyBorder="1" applyAlignment="1">
      <alignment vertical="top"/>
    </xf>
    <xf numFmtId="0" fontId="7" fillId="0" borderId="2" xfId="0" applyFont="1" applyBorder="1" applyAlignment="1">
      <alignment vertical="top" wrapText="1"/>
    </xf>
    <xf numFmtId="0" fontId="0" fillId="0" borderId="0" xfId="0" applyAlignment="1"/>
    <xf numFmtId="0" fontId="0" fillId="0" borderId="0" xfId="0" applyBorder="1" applyAlignment="1"/>
    <xf numFmtId="164" fontId="14" fillId="0" borderId="9" xfId="33" applyNumberFormat="1" applyFont="1" applyBorder="1" applyAlignment="1" applyProtection="1">
      <alignment horizontal="center" vertical="center" wrapText="1"/>
    </xf>
    <xf numFmtId="167" fontId="14" fillId="0" borderId="0" xfId="32" applyNumberFormat="1" applyFont="1" applyBorder="1" applyAlignment="1" applyProtection="1">
      <alignment horizontal="center" vertical="center" wrapText="1"/>
    </xf>
    <xf numFmtId="167" fontId="14" fillId="0" borderId="10" xfId="32" applyNumberFormat="1" applyFont="1" applyBorder="1" applyAlignment="1" applyProtection="1">
      <alignment horizontal="center" vertical="center" wrapText="1"/>
    </xf>
    <xf numFmtId="9" fontId="0" fillId="0" borderId="0" xfId="33" applyFont="1" applyBorder="1" applyAlignment="1"/>
    <xf numFmtId="167" fontId="0" fillId="0" borderId="9" xfId="0" applyNumberFormat="1" applyBorder="1" applyAlignment="1"/>
    <xf numFmtId="167" fontId="0" fillId="0" borderId="0" xfId="0" applyNumberFormat="1" applyBorder="1" applyAlignment="1"/>
    <xf numFmtId="166" fontId="0" fillId="0" borderId="9" xfId="0" applyNumberFormat="1" applyBorder="1" applyAlignment="1"/>
    <xf numFmtId="166" fontId="0" fillId="0" borderId="0" xfId="0" applyNumberFormat="1" applyBorder="1" applyAlignment="1"/>
    <xf numFmtId="164" fontId="14" fillId="0" borderId="9" xfId="33" applyNumberFormat="1" applyFont="1" applyFill="1" applyBorder="1" applyAlignment="1" applyProtection="1">
      <alignment horizontal="center" vertical="center" wrapText="1"/>
    </xf>
    <xf numFmtId="167" fontId="14" fillId="0" borderId="0" xfId="32" applyNumberFormat="1" applyFont="1" applyFill="1" applyBorder="1" applyAlignment="1" applyProtection="1">
      <alignment horizontal="center" vertical="center" wrapText="1"/>
    </xf>
    <xf numFmtId="0" fontId="0" fillId="0" borderId="0" xfId="0" applyFill="1" applyBorder="1" applyAlignment="1"/>
    <xf numFmtId="167" fontId="0" fillId="0" borderId="0" xfId="0" applyNumberFormat="1" applyFill="1" applyBorder="1" applyAlignment="1"/>
    <xf numFmtId="166" fontId="0" fillId="0" borderId="0" xfId="0" applyNumberFormat="1" applyFill="1" applyBorder="1" applyAlignment="1"/>
    <xf numFmtId="0" fontId="0" fillId="0" borderId="0" xfId="0" applyFill="1" applyAlignment="1"/>
    <xf numFmtId="0" fontId="14" fillId="0" borderId="2" xfId="32" applyFont="1" applyBorder="1" applyAlignment="1">
      <alignment horizontal="left" vertical="center" wrapText="1"/>
    </xf>
    <xf numFmtId="164" fontId="14" fillId="0" borderId="9" xfId="33" applyNumberFormat="1" applyFont="1" applyBorder="1" applyAlignment="1">
      <alignment horizontal="center" vertical="center" wrapText="1"/>
    </xf>
    <xf numFmtId="0" fontId="14" fillId="0" borderId="1" xfId="32" applyFont="1" applyBorder="1" applyAlignment="1">
      <alignment horizontal="left" vertical="center" wrapText="1"/>
    </xf>
    <xf numFmtId="0" fontId="14" fillId="0" borderId="3" xfId="32" applyFont="1" applyBorder="1" applyAlignment="1">
      <alignment horizontal="left" vertical="center" wrapText="1"/>
    </xf>
    <xf numFmtId="0" fontId="22" fillId="0" borderId="0" xfId="0" applyFont="1" applyFill="1" applyBorder="1" applyAlignment="1"/>
    <xf numFmtId="0" fontId="22" fillId="0" borderId="0" xfId="0" applyFont="1" applyFill="1" applyBorder="1" applyAlignment="1">
      <alignment horizontal="center"/>
    </xf>
    <xf numFmtId="167" fontId="23" fillId="0" borderId="0" xfId="32" applyNumberFormat="1" applyFont="1" applyFill="1" applyBorder="1" applyAlignment="1" applyProtection="1">
      <alignment horizontal="left" vertical="center" wrapText="1"/>
    </xf>
    <xf numFmtId="164" fontId="23" fillId="0" borderId="0" xfId="33" applyNumberFormat="1" applyFont="1" applyFill="1" applyBorder="1" applyAlignment="1" applyProtection="1">
      <alignment horizontal="center" vertical="center" wrapText="1"/>
    </xf>
    <xf numFmtId="167" fontId="23" fillId="0" borderId="0" xfId="32" applyNumberFormat="1" applyFont="1" applyFill="1" applyBorder="1" applyAlignment="1" applyProtection="1">
      <alignment horizontal="center" vertical="center" wrapText="1"/>
    </xf>
    <xf numFmtId="167" fontId="22" fillId="0" borderId="0" xfId="0" applyNumberFormat="1" applyFont="1" applyFill="1" applyBorder="1" applyAlignment="1"/>
    <xf numFmtId="9" fontId="22" fillId="0" borderId="0" xfId="33" applyFont="1" applyFill="1" applyBorder="1" applyAlignment="1"/>
    <xf numFmtId="166" fontId="22" fillId="0" borderId="0" xfId="0" applyNumberFormat="1" applyFont="1" applyFill="1" applyBorder="1" applyAlignment="1"/>
    <xf numFmtId="1" fontId="22" fillId="0" borderId="0" xfId="0" applyNumberFormat="1" applyFont="1" applyFill="1" applyBorder="1" applyAlignment="1">
      <alignment horizontal="center"/>
    </xf>
    <xf numFmtId="0" fontId="22" fillId="0" borderId="0" xfId="0" applyFont="1" applyFill="1"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Alignment="1">
      <alignment vertical="top" wrapText="1"/>
    </xf>
    <xf numFmtId="0" fontId="13" fillId="0" borderId="0" xfId="0" applyFont="1" applyFill="1" applyBorder="1" applyAlignment="1">
      <alignment horizontal="center" vertical="top" wrapText="1"/>
    </xf>
    <xf numFmtId="0" fontId="0" fillId="0" borderId="9" xfId="0" applyBorder="1" applyAlignment="1">
      <alignment wrapText="1"/>
    </xf>
    <xf numFmtId="0" fontId="14" fillId="0" borderId="6" xfId="32" applyFont="1" applyBorder="1" applyAlignment="1">
      <alignment horizontal="center" vertical="center" wrapText="1"/>
    </xf>
    <xf numFmtId="0" fontId="14" fillId="0" borderId="9" xfId="32" applyFont="1" applyBorder="1" applyAlignment="1">
      <alignment horizontal="center" vertical="center" wrapText="1"/>
    </xf>
    <xf numFmtId="167" fontId="14" fillId="0" borderId="1" xfId="32" applyNumberFormat="1" applyFont="1" applyBorder="1" applyAlignment="1" applyProtection="1">
      <alignment horizontal="left" vertical="center" wrapText="1"/>
    </xf>
    <xf numFmtId="167" fontId="14" fillId="0" borderId="2" xfId="32" applyNumberFormat="1" applyFont="1" applyBorder="1" applyAlignment="1" applyProtection="1">
      <alignment horizontal="left" vertical="center" wrapText="1"/>
    </xf>
    <xf numFmtId="167" fontId="14" fillId="0" borderId="2" xfId="32" applyNumberFormat="1" applyFont="1" applyFill="1" applyBorder="1" applyAlignment="1" applyProtection="1">
      <alignment horizontal="left" vertical="center" wrapText="1"/>
    </xf>
    <xf numFmtId="0" fontId="15" fillId="0" borderId="4" xfId="32" applyFont="1" applyBorder="1" applyAlignment="1">
      <alignment horizontal="left" vertical="center" wrapText="1"/>
    </xf>
    <xf numFmtId="167" fontId="14" fillId="0" borderId="2" xfId="32" applyNumberFormat="1" applyFont="1" applyBorder="1" applyAlignment="1" applyProtection="1">
      <alignment horizontal="center" vertical="center" wrapText="1"/>
    </xf>
    <xf numFmtId="167" fontId="14" fillId="0" borderId="1" xfId="32" applyNumberFormat="1" applyFont="1" applyBorder="1" applyAlignment="1" applyProtection="1">
      <alignment horizontal="center" vertical="center" wrapText="1"/>
    </xf>
    <xf numFmtId="167" fontId="14" fillId="0" borderId="2" xfId="32" applyNumberFormat="1" applyFont="1" applyFill="1" applyBorder="1" applyAlignment="1" applyProtection="1">
      <alignment horizontal="center" vertical="center" wrapText="1"/>
    </xf>
    <xf numFmtId="167" fontId="14" fillId="0" borderId="1" xfId="32" applyNumberFormat="1" applyFont="1" applyBorder="1" applyAlignment="1">
      <alignment horizontal="center" vertical="center" wrapText="1"/>
    </xf>
    <xf numFmtId="167" fontId="14" fillId="0" borderId="2" xfId="32" applyNumberFormat="1" applyFont="1" applyBorder="1" applyAlignment="1">
      <alignment horizontal="center" vertical="center" wrapText="1"/>
    </xf>
    <xf numFmtId="167" fontId="14" fillId="0" borderId="3" xfId="32" applyNumberFormat="1" applyFont="1" applyBorder="1" applyAlignment="1">
      <alignment horizontal="center" vertical="center" wrapText="1"/>
    </xf>
    <xf numFmtId="167" fontId="15" fillId="0" borderId="4" xfId="32" applyNumberFormat="1" applyFont="1" applyBorder="1" applyAlignment="1">
      <alignment horizontal="center" vertical="center" wrapText="1"/>
    </xf>
    <xf numFmtId="167" fontId="15" fillId="0" borderId="1" xfId="32" applyNumberFormat="1" applyFont="1" applyBorder="1" applyAlignment="1">
      <alignment horizontal="center" vertical="center" wrapText="1"/>
    </xf>
    <xf numFmtId="0" fontId="7" fillId="0" borderId="3" xfId="0" applyFont="1" applyBorder="1" applyAlignment="1">
      <alignment vertical="top"/>
    </xf>
    <xf numFmtId="167" fontId="14" fillId="0" borderId="0" xfId="32" applyNumberFormat="1" applyFont="1" applyBorder="1" applyAlignment="1">
      <alignment horizontal="center" vertical="center" wrapText="1"/>
    </xf>
    <xf numFmtId="167" fontId="14" fillId="0" borderId="3" xfId="32" applyNumberFormat="1" applyFont="1" applyBorder="1" applyAlignment="1" applyProtection="1">
      <alignment horizontal="center" vertical="center" wrapText="1"/>
    </xf>
    <xf numFmtId="167" fontId="0" fillId="0" borderId="18" xfId="0" applyNumberFormat="1" applyBorder="1" applyAlignment="1">
      <alignment horizontal="center" vertical="center"/>
    </xf>
    <xf numFmtId="9" fontId="14" fillId="0" borderId="2" xfId="33" applyFont="1" applyBorder="1" applyAlignment="1" applyProtection="1">
      <alignment horizontal="center" vertical="center" wrapText="1"/>
    </xf>
    <xf numFmtId="0" fontId="0" fillId="0" borderId="7" xfId="0" applyBorder="1" applyAlignment="1">
      <alignment vertical="top" wrapText="1"/>
    </xf>
    <xf numFmtId="0" fontId="0" fillId="0" borderId="16" xfId="0" applyBorder="1" applyAlignment="1">
      <alignment vertical="top" wrapText="1"/>
    </xf>
    <xf numFmtId="0" fontId="0" fillId="0" borderId="5" xfId="0" applyBorder="1" applyAlignment="1">
      <alignment vertical="top" wrapText="1"/>
    </xf>
    <xf numFmtId="167" fontId="0" fillId="0" borderId="1" xfId="0" applyNumberFormat="1" applyBorder="1" applyAlignment="1"/>
    <xf numFmtId="167" fontId="0" fillId="0" borderId="2" xfId="0" applyNumberFormat="1" applyBorder="1" applyAlignment="1"/>
    <xf numFmtId="167" fontId="0" fillId="0" borderId="3" xfId="0" applyNumberFormat="1" applyBorder="1" applyAlignment="1"/>
    <xf numFmtId="167" fontId="14" fillId="0" borderId="3" xfId="32" applyNumberFormat="1" applyFont="1" applyFill="1" applyBorder="1" applyAlignment="1" applyProtection="1">
      <alignment horizontal="center" vertical="center" wrapText="1"/>
    </xf>
    <xf numFmtId="167" fontId="0" fillId="0" borderId="6" xfId="0" applyNumberFormat="1" applyBorder="1" applyAlignment="1"/>
    <xf numFmtId="167" fontId="0" fillId="0" borderId="11" xfId="0" applyNumberFormat="1" applyBorder="1" applyAlignment="1"/>
    <xf numFmtId="0" fontId="15" fillId="0" borderId="0" xfId="32" applyFont="1" applyBorder="1" applyAlignment="1">
      <alignment horizontal="left" vertical="center" wrapText="1"/>
    </xf>
    <xf numFmtId="167" fontId="15" fillId="0" borderId="0" xfId="32" applyNumberFormat="1" applyFont="1" applyBorder="1" applyAlignment="1">
      <alignment horizontal="center" vertical="center" wrapText="1"/>
    </xf>
    <xf numFmtId="9" fontId="14" fillId="0" borderId="0" xfId="33" applyFont="1" applyBorder="1" applyAlignment="1" applyProtection="1">
      <alignment horizontal="center" vertical="center" wrapText="1"/>
    </xf>
    <xf numFmtId="9" fontId="4" fillId="0" borderId="4" xfId="33" applyFont="1" applyBorder="1" applyAlignment="1"/>
    <xf numFmtId="167" fontId="0" fillId="0" borderId="0" xfId="0" applyNumberFormat="1" applyBorder="1" applyAlignment="1">
      <alignment horizontal="center" vertical="center"/>
    </xf>
    <xf numFmtId="0" fontId="4" fillId="0" borderId="4" xfId="0" applyFont="1" applyBorder="1" applyAlignment="1"/>
    <xf numFmtId="0" fontId="17" fillId="0" borderId="0" xfId="0" applyFont="1"/>
    <xf numFmtId="169" fontId="4" fillId="7" borderId="0" xfId="0" applyNumberFormat="1" applyFont="1" applyFill="1" applyAlignment="1">
      <alignment vertical="center" wrapText="1"/>
    </xf>
    <xf numFmtId="0" fontId="9" fillId="3" borderId="0" xfId="0" applyFont="1" applyFill="1"/>
    <xf numFmtId="0" fontId="18" fillId="3" borderId="0" xfId="0" applyFont="1" applyFill="1"/>
    <xf numFmtId="171" fontId="0" fillId="0" borderId="0" xfId="0" applyNumberFormat="1" applyFill="1" applyAlignment="1"/>
    <xf numFmtId="3" fontId="0" fillId="0" borderId="0" xfId="0" applyNumberFormat="1" applyFill="1" applyAlignment="1"/>
    <xf numFmtId="167" fontId="15" fillId="0" borderId="2" xfId="32" applyNumberFormat="1" applyFont="1" applyBorder="1" applyAlignment="1" applyProtection="1">
      <alignment horizontal="center" vertical="center" wrapText="1"/>
    </xf>
    <xf numFmtId="2" fontId="4" fillId="0" borderId="0" xfId="0" applyNumberFormat="1" applyFont="1" applyBorder="1" applyAlignment="1">
      <alignment horizontal="center"/>
    </xf>
    <xf numFmtId="9" fontId="0" fillId="0" borderId="0" xfId="33" applyFont="1" applyAlignment="1"/>
    <xf numFmtId="0" fontId="0" fillId="8" borderId="13" xfId="0" applyFill="1" applyBorder="1" applyAlignment="1"/>
    <xf numFmtId="0" fontId="0" fillId="8" borderId="14" xfId="0" applyFill="1" applyBorder="1" applyAlignment="1"/>
    <xf numFmtId="9" fontId="0" fillId="8" borderId="19" xfId="33" applyFont="1" applyFill="1" applyBorder="1" applyAlignment="1"/>
    <xf numFmtId="0" fontId="0" fillId="8" borderId="17" xfId="0" applyFill="1" applyBorder="1" applyAlignment="1"/>
    <xf numFmtId="0" fontId="0" fillId="8" borderId="0" xfId="0" applyFill="1" applyBorder="1" applyAlignment="1"/>
    <xf numFmtId="0" fontId="0" fillId="8" borderId="20" xfId="0" applyFill="1" applyBorder="1" applyAlignment="1"/>
    <xf numFmtId="0" fontId="0" fillId="8" borderId="21" xfId="0" applyFill="1" applyBorder="1" applyAlignment="1"/>
    <xf numFmtId="0" fontId="5" fillId="8" borderId="0" xfId="0" applyFont="1" applyFill="1"/>
    <xf numFmtId="0" fontId="16" fillId="8" borderId="0" xfId="0" applyFont="1" applyFill="1"/>
    <xf numFmtId="167" fontId="16" fillId="8" borderId="0" xfId="0" applyNumberFormat="1" applyFont="1" applyFill="1"/>
    <xf numFmtId="167" fontId="5" fillId="8" borderId="0" xfId="0" applyNumberFormat="1" applyFont="1" applyFill="1"/>
    <xf numFmtId="164" fontId="0" fillId="0" borderId="0" xfId="33" applyNumberFormat="1" applyFont="1" applyAlignment="1"/>
    <xf numFmtId="10" fontId="16" fillId="8" borderId="0" xfId="0" applyNumberFormat="1" applyFont="1" applyFill="1"/>
    <xf numFmtId="1" fontId="5" fillId="8" borderId="0" xfId="0" applyNumberFormat="1" applyFont="1" applyFill="1"/>
    <xf numFmtId="0" fontId="0" fillId="9" borderId="13" xfId="0" applyFill="1" applyBorder="1" applyAlignment="1"/>
    <xf numFmtId="0" fontId="0" fillId="9" borderId="14" xfId="0" applyFill="1" applyBorder="1" applyAlignment="1"/>
    <xf numFmtId="0" fontId="0" fillId="9" borderId="17" xfId="0" applyFill="1" applyBorder="1" applyAlignment="1"/>
    <xf numFmtId="0" fontId="0" fillId="9" borderId="0" xfId="0" applyFill="1" applyBorder="1" applyAlignment="1"/>
    <xf numFmtId="0" fontId="0" fillId="9" borderId="22" xfId="0" applyFill="1" applyBorder="1" applyAlignment="1"/>
    <xf numFmtId="0" fontId="0" fillId="9" borderId="4" xfId="0" applyFill="1" applyBorder="1" applyAlignment="1"/>
    <xf numFmtId="0" fontId="0" fillId="9" borderId="4" xfId="0" applyFill="1" applyBorder="1" applyAlignment="1">
      <alignment horizontal="center"/>
    </xf>
    <xf numFmtId="10" fontId="5" fillId="8" borderId="0" xfId="0" applyNumberFormat="1" applyFont="1" applyFill="1"/>
    <xf numFmtId="165" fontId="5" fillId="8" borderId="0" xfId="0" applyNumberFormat="1" applyFont="1" applyFill="1"/>
    <xf numFmtId="167" fontId="0" fillId="9" borderId="17" xfId="0" applyNumberFormat="1" applyFill="1" applyBorder="1" applyAlignment="1"/>
    <xf numFmtId="167" fontId="0" fillId="9" borderId="0" xfId="0" applyNumberFormat="1" applyFill="1" applyBorder="1" applyAlignment="1"/>
    <xf numFmtId="43" fontId="0" fillId="9" borderId="22" xfId="0" applyNumberFormat="1" applyFill="1" applyBorder="1" applyAlignment="1"/>
    <xf numFmtId="9" fontId="0" fillId="9" borderId="0" xfId="33" applyFont="1" applyFill="1" applyBorder="1" applyAlignment="1">
      <alignment horizontal="center"/>
    </xf>
    <xf numFmtId="9" fontId="0" fillId="9" borderId="22" xfId="33" applyFont="1" applyFill="1" applyBorder="1" applyAlignment="1"/>
    <xf numFmtId="0" fontId="0" fillId="9" borderId="20" xfId="0" applyFill="1" applyBorder="1" applyAlignment="1"/>
    <xf numFmtId="0" fontId="0" fillId="9" borderId="21" xfId="0" applyFill="1" applyBorder="1" applyAlignment="1"/>
    <xf numFmtId="166" fontId="5" fillId="8" borderId="0" xfId="0" applyNumberFormat="1" applyFont="1" applyFill="1"/>
    <xf numFmtId="167" fontId="5" fillId="0" borderId="0" xfId="0" applyNumberFormat="1" applyFont="1"/>
    <xf numFmtId="0" fontId="5" fillId="9" borderId="6" xfId="0" applyFont="1" applyFill="1" applyBorder="1"/>
    <xf numFmtId="0" fontId="0" fillId="9" borderId="6" xfId="0" applyFill="1" applyBorder="1" applyAlignment="1">
      <alignment wrapText="1"/>
    </xf>
    <xf numFmtId="0" fontId="0" fillId="9" borderId="1" xfId="0" applyFill="1" applyBorder="1" applyAlignment="1">
      <alignment horizontal="center"/>
    </xf>
    <xf numFmtId="0" fontId="0" fillId="9" borderId="15" xfId="0" applyFill="1" applyBorder="1" applyAlignment="1"/>
    <xf numFmtId="0" fontId="5" fillId="9" borderId="9" xfId="0" applyFont="1" applyFill="1" applyBorder="1"/>
    <xf numFmtId="0" fontId="0" fillId="9" borderId="9" xfId="0" applyFill="1" applyBorder="1" applyAlignment="1"/>
    <xf numFmtId="0" fontId="0" fillId="9" borderId="2" xfId="0" applyFill="1" applyBorder="1" applyAlignment="1"/>
    <xf numFmtId="0" fontId="0" fillId="5" borderId="17" xfId="0" applyFill="1" applyBorder="1" applyAlignment="1"/>
    <xf numFmtId="167" fontId="0" fillId="9" borderId="10" xfId="0" applyNumberFormat="1" applyFill="1" applyBorder="1" applyAlignment="1">
      <alignment horizontal="center"/>
    </xf>
    <xf numFmtId="0" fontId="5" fillId="9" borderId="9" xfId="0" applyFont="1" applyFill="1" applyBorder="1" applyAlignment="1"/>
    <xf numFmtId="0" fontId="0" fillId="9" borderId="11" xfId="0" applyFill="1" applyBorder="1" applyAlignment="1"/>
    <xf numFmtId="0" fontId="0" fillId="9" borderId="18" xfId="0" applyFill="1" applyBorder="1" applyAlignment="1"/>
    <xf numFmtId="0" fontId="0" fillId="9" borderId="3" xfId="0" applyFill="1" applyBorder="1" applyAlignment="1"/>
    <xf numFmtId="9" fontId="0" fillId="9" borderId="18" xfId="33" applyFont="1" applyFill="1" applyBorder="1" applyAlignment="1"/>
    <xf numFmtId="167" fontId="0" fillId="0" borderId="0" xfId="0" applyNumberFormat="1"/>
    <xf numFmtId="167" fontId="14" fillId="0" borderId="3" xfId="32" applyNumberFormat="1" applyFont="1" applyBorder="1" applyAlignment="1" applyProtection="1">
      <alignment horizontal="left" vertical="center" wrapText="1"/>
    </xf>
    <xf numFmtId="9" fontId="14" fillId="0" borderId="1" xfId="33" applyFont="1" applyBorder="1" applyAlignment="1" applyProtection="1">
      <alignment horizontal="center" vertical="center" wrapText="1"/>
    </xf>
    <xf numFmtId="9" fontId="14" fillId="0" borderId="3" xfId="33" applyFont="1" applyBorder="1" applyAlignment="1" applyProtection="1">
      <alignment horizontal="center" vertical="center" wrapText="1"/>
    </xf>
    <xf numFmtId="166" fontId="0" fillId="0" borderId="2" xfId="0" applyNumberFormat="1" applyBorder="1" applyAlignment="1"/>
    <xf numFmtId="166" fontId="0" fillId="0" borderId="11" xfId="0" applyNumberFormat="1" applyBorder="1" applyAlignment="1"/>
    <xf numFmtId="166" fontId="0" fillId="0" borderId="3" xfId="0" applyNumberFormat="1" applyBorder="1" applyAlignment="1"/>
    <xf numFmtId="164" fontId="14" fillId="0" borderId="11" xfId="33" applyNumberFormat="1" applyFont="1" applyBorder="1" applyAlignment="1" applyProtection="1">
      <alignment horizontal="center" vertical="center" wrapText="1"/>
    </xf>
    <xf numFmtId="167" fontId="14" fillId="0" borderId="12" xfId="32" applyNumberFormat="1" applyFont="1" applyBorder="1" applyAlignment="1" applyProtection="1">
      <alignment horizontal="center" vertical="center" wrapText="1"/>
    </xf>
    <xf numFmtId="0" fontId="4" fillId="4" borderId="1" xfId="0" applyFont="1" applyFill="1" applyBorder="1" applyAlignment="1">
      <alignment vertical="top" wrapText="1"/>
    </xf>
    <xf numFmtId="9" fontId="0" fillId="0" borderId="8" xfId="33" applyFont="1" applyBorder="1"/>
    <xf numFmtId="9" fontId="0" fillId="0" borderId="10" xfId="33" applyFont="1" applyBorder="1"/>
    <xf numFmtId="9" fontId="0" fillId="0" borderId="12" xfId="33" applyFont="1" applyBorder="1"/>
    <xf numFmtId="0" fontId="4" fillId="4" borderId="3" xfId="0" applyFont="1" applyFill="1" applyBorder="1" applyAlignment="1">
      <alignment vertical="top" wrapText="1"/>
    </xf>
    <xf numFmtId="9" fontId="10" fillId="0" borderId="0" xfId="33" applyFont="1" applyFill="1" applyBorder="1" applyProtection="1"/>
    <xf numFmtId="0" fontId="5" fillId="0" borderId="0" xfId="0" applyFont="1" applyBorder="1" applyAlignment="1">
      <alignment vertical="top" wrapText="1"/>
    </xf>
    <xf numFmtId="9" fontId="5" fillId="0" borderId="0" xfId="33" applyFont="1" applyBorder="1" applyAlignment="1">
      <alignment vertical="top" wrapText="1"/>
    </xf>
    <xf numFmtId="0" fontId="7" fillId="0" borderId="0" xfId="0" applyFont="1" applyBorder="1" applyAlignment="1">
      <alignment vertical="top"/>
    </xf>
    <xf numFmtId="9" fontId="0" fillId="0" borderId="0" xfId="33" applyFont="1" applyFill="1" applyBorder="1"/>
    <xf numFmtId="175" fontId="0" fillId="0" borderId="0" xfId="33" applyNumberFormat="1" applyFont="1" applyFill="1" applyBorder="1" applyAlignment="1">
      <alignment horizontal="center"/>
    </xf>
    <xf numFmtId="0" fontId="4" fillId="0" borderId="1" xfId="0" applyFont="1" applyFill="1" applyBorder="1" applyAlignment="1"/>
    <xf numFmtId="167" fontId="4" fillId="0" borderId="8" xfId="0" applyNumberFormat="1" applyFont="1" applyFill="1" applyBorder="1" applyAlignment="1"/>
    <xf numFmtId="0" fontId="4" fillId="0" borderId="2" xfId="0" applyFont="1" applyFill="1" applyBorder="1" applyAlignment="1"/>
    <xf numFmtId="167" fontId="4" fillId="0" borderId="10" xfId="0" applyNumberFormat="1" applyFont="1" applyFill="1" applyBorder="1" applyAlignment="1"/>
    <xf numFmtId="9" fontId="4" fillId="0" borderId="10" xfId="33" applyFont="1" applyFill="1" applyBorder="1" applyAlignment="1"/>
    <xf numFmtId="9" fontId="4" fillId="0" borderId="2" xfId="33" applyFont="1" applyFill="1" applyBorder="1" applyAlignment="1"/>
    <xf numFmtId="0" fontId="4" fillId="0" borderId="3" xfId="0" applyFont="1" applyFill="1" applyBorder="1" applyAlignment="1"/>
    <xf numFmtId="9" fontId="4" fillId="0" borderId="12" xfId="33" applyFont="1" applyFill="1" applyBorder="1" applyAlignment="1"/>
    <xf numFmtId="9" fontId="4" fillId="0" borderId="3" xfId="33" applyFont="1" applyFill="1" applyBorder="1" applyAlignment="1"/>
    <xf numFmtId="167" fontId="14" fillId="0" borderId="8" xfId="32" applyNumberFormat="1" applyFont="1" applyBorder="1" applyAlignment="1" applyProtection="1">
      <alignment horizontal="center" vertical="center" wrapText="1"/>
    </xf>
    <xf numFmtId="0" fontId="21" fillId="0" borderId="0" xfId="0" applyFont="1" applyBorder="1" applyAlignment="1">
      <alignment vertical="top" wrapText="1"/>
    </xf>
    <xf numFmtId="0" fontId="15" fillId="0" borderId="1" xfId="32" applyFont="1" applyBorder="1" applyAlignment="1">
      <alignment horizontal="left" vertical="center" wrapText="1"/>
    </xf>
    <xf numFmtId="166" fontId="0" fillId="0" borderId="6" xfId="0" applyNumberFormat="1" applyBorder="1" applyAlignment="1"/>
    <xf numFmtId="166" fontId="0" fillId="0" borderId="1" xfId="0" applyNumberFormat="1" applyBorder="1" applyAlignment="1"/>
    <xf numFmtId="164" fontId="14" fillId="0" borderId="6" xfId="33" applyNumberFormat="1" applyFont="1" applyFill="1" applyBorder="1" applyAlignment="1" applyProtection="1">
      <alignment horizontal="center" vertical="center" wrapText="1"/>
    </xf>
    <xf numFmtId="164" fontId="14" fillId="0" borderId="11" xfId="33" applyNumberFormat="1" applyFont="1" applyFill="1" applyBorder="1" applyAlignment="1" applyProtection="1">
      <alignment horizontal="center" vertical="center" wrapText="1"/>
    </xf>
    <xf numFmtId="164" fontId="4" fillId="0" borderId="7" xfId="0" applyNumberFormat="1" applyFont="1" applyBorder="1" applyAlignment="1">
      <alignment horizontal="center" vertical="center"/>
    </xf>
    <xf numFmtId="164" fontId="0" fillId="0" borderId="6"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4" fillId="0" borderId="6" xfId="0" applyNumberFormat="1" applyFont="1" applyBorder="1" applyAlignment="1">
      <alignment horizontal="center"/>
    </xf>
    <xf numFmtId="0" fontId="22" fillId="0" borderId="0" xfId="0" applyFont="1" applyFill="1" applyBorder="1" applyAlignment="1">
      <alignment vertical="top" wrapText="1"/>
    </xf>
    <xf numFmtId="0" fontId="4" fillId="10" borderId="0" xfId="0" applyFont="1" applyFill="1"/>
    <xf numFmtId="0" fontId="24" fillId="0" borderId="0" xfId="0" applyFont="1" applyFill="1" applyAlignment="1"/>
    <xf numFmtId="0" fontId="24" fillId="0" borderId="0" xfId="0" applyFont="1" applyFill="1"/>
    <xf numFmtId="167" fontId="24" fillId="0" borderId="0" xfId="0" applyNumberFormat="1" applyFont="1" applyFill="1"/>
    <xf numFmtId="0" fontId="24" fillId="10" borderId="0" xfId="0" applyFont="1" applyFill="1" applyAlignment="1"/>
    <xf numFmtId="0" fontId="24" fillId="10" borderId="0" xfId="0" applyFont="1" applyFill="1"/>
    <xf numFmtId="167" fontId="24" fillId="10" borderId="0" xfId="0" applyNumberFormat="1" applyFont="1" applyFill="1"/>
    <xf numFmtId="9" fontId="22" fillId="9" borderId="22" xfId="33" applyFont="1" applyFill="1" applyBorder="1" applyAlignment="1"/>
    <xf numFmtId="0" fontId="3" fillId="5" borderId="17" xfId="0" applyFont="1" applyFill="1" applyBorder="1" applyAlignment="1"/>
    <xf numFmtId="0" fontId="22" fillId="0" borderId="0" xfId="0" applyFont="1" applyAlignment="1"/>
    <xf numFmtId="0" fontId="16" fillId="0" borderId="0" xfId="0" applyFont="1" applyFill="1" applyBorder="1" applyAlignment="1"/>
    <xf numFmtId="167" fontId="16" fillId="0" borderId="0" xfId="0" applyNumberFormat="1" applyFont="1" applyFill="1" applyBorder="1" applyAlignment="1"/>
    <xf numFmtId="9" fontId="4" fillId="0" borderId="2" xfId="33" applyNumberFormat="1" applyFont="1" applyFill="1" applyBorder="1" applyAlignment="1"/>
    <xf numFmtId="9" fontId="4" fillId="0" borderId="7" xfId="33" applyFont="1" applyBorder="1" applyAlignment="1">
      <alignment horizontal="center"/>
    </xf>
    <xf numFmtId="0" fontId="1" fillId="0" borderId="9" xfId="0" applyFont="1" applyBorder="1"/>
    <xf numFmtId="0" fontId="16" fillId="0" borderId="0" xfId="0" applyFont="1" applyAlignment="1">
      <alignment vertical="top" wrapText="1"/>
    </xf>
    <xf numFmtId="0" fontId="1" fillId="0" borderId="2" xfId="0" applyFont="1" applyBorder="1"/>
    <xf numFmtId="0" fontId="1" fillId="0" borderId="11" xfId="0" applyFont="1" applyBorder="1"/>
    <xf numFmtId="0" fontId="1" fillId="0" borderId="3" xfId="0" applyFont="1" applyBorder="1"/>
    <xf numFmtId="0" fontId="16" fillId="0" borderId="0" xfId="0" applyFont="1"/>
    <xf numFmtId="164" fontId="0" fillId="0" borderId="0" xfId="33" applyNumberFormat="1" applyFont="1"/>
    <xf numFmtId="0" fontId="25" fillId="0" borderId="0" xfId="0" applyFont="1"/>
    <xf numFmtId="0" fontId="20" fillId="0" borderId="0" xfId="11" applyAlignment="1" applyProtection="1"/>
    <xf numFmtId="0" fontId="5" fillId="0" borderId="0" xfId="16" applyProtection="1"/>
    <xf numFmtId="167" fontId="5" fillId="10" borderId="27" xfId="16" applyNumberFormat="1" applyFill="1" applyBorder="1" applyAlignment="1" applyProtection="1">
      <alignment horizontal="center" vertical="center"/>
    </xf>
    <xf numFmtId="167" fontId="5" fillId="10" borderId="4" xfId="16" applyNumberFormat="1" applyFill="1" applyBorder="1" applyAlignment="1" applyProtection="1">
      <alignment horizontal="center" vertical="center"/>
    </xf>
    <xf numFmtId="167" fontId="5" fillId="10" borderId="28" xfId="16" applyNumberFormat="1" applyFill="1" applyBorder="1" applyAlignment="1" applyProtection="1">
      <alignment horizontal="center" vertical="center"/>
    </xf>
    <xf numFmtId="0" fontId="0" fillId="0" borderId="0" xfId="0" applyProtection="1"/>
    <xf numFmtId="167" fontId="5" fillId="10" borderId="29" xfId="16" applyNumberFormat="1" applyFill="1" applyBorder="1" applyAlignment="1" applyProtection="1">
      <alignment horizontal="center" vertical="center"/>
    </xf>
    <xf numFmtId="167" fontId="5" fillId="10" borderId="30" xfId="16" applyNumberFormat="1" applyFill="1" applyBorder="1" applyAlignment="1" applyProtection="1">
      <alignment horizontal="center" vertical="center"/>
    </xf>
    <xf numFmtId="167" fontId="5" fillId="10" borderId="31" xfId="16" applyNumberFormat="1" applyFill="1" applyBorder="1" applyAlignment="1" applyProtection="1">
      <alignment horizontal="center" vertical="center"/>
    </xf>
    <xf numFmtId="1" fontId="15" fillId="0" borderId="32" xfId="25" applyNumberFormat="1" applyFont="1" applyBorder="1" applyAlignment="1" applyProtection="1">
      <alignment horizontal="center" vertical="center" wrapText="1"/>
    </xf>
    <xf numFmtId="1" fontId="15" fillId="0" borderId="22" xfId="25" applyNumberFormat="1" applyFont="1" applyBorder="1" applyAlignment="1" applyProtection="1">
      <alignment horizontal="center" vertical="center" wrapText="1"/>
    </xf>
    <xf numFmtId="1" fontId="15" fillId="0" borderId="20" xfId="25" applyNumberFormat="1" applyFont="1" applyBorder="1" applyProtection="1"/>
    <xf numFmtId="1" fontId="15" fillId="0" borderId="21" xfId="25" applyNumberFormat="1" applyFont="1" applyBorder="1" applyProtection="1"/>
    <xf numFmtId="1" fontId="14" fillId="0" borderId="17" xfId="25" applyNumberFormat="1" applyFont="1" applyFill="1" applyBorder="1" applyProtection="1"/>
    <xf numFmtId="0" fontId="15" fillId="0" borderId="0" xfId="25" applyFont="1" applyBorder="1" applyAlignment="1" applyProtection="1"/>
    <xf numFmtId="0" fontId="14" fillId="0" borderId="0" xfId="25" applyFont="1" applyBorder="1" applyProtection="1"/>
    <xf numFmtId="1" fontId="14" fillId="0" borderId="32" xfId="25" applyNumberFormat="1" applyFont="1" applyFill="1" applyBorder="1" applyAlignment="1" applyProtection="1">
      <alignment horizontal="center"/>
    </xf>
    <xf numFmtId="1" fontId="14" fillId="0" borderId="34" xfId="25" applyNumberFormat="1" applyFont="1" applyFill="1" applyBorder="1" applyAlignment="1" applyProtection="1">
      <alignment horizontal="center"/>
    </xf>
    <xf numFmtId="1" fontId="14" fillId="0" borderId="35" xfId="25" applyNumberFormat="1" applyFont="1" applyFill="1" applyBorder="1" applyAlignment="1" applyProtection="1">
      <alignment horizontal="center"/>
    </xf>
    <xf numFmtId="1" fontId="14" fillId="0" borderId="36" xfId="25" applyNumberFormat="1" applyFont="1" applyFill="1" applyBorder="1" applyAlignment="1" applyProtection="1">
      <alignment horizontal="center"/>
    </xf>
    <xf numFmtId="0" fontId="15" fillId="0" borderId="0" xfId="25" applyFont="1" applyBorder="1" applyProtection="1"/>
    <xf numFmtId="1" fontId="14" fillId="0" borderId="33" xfId="25" applyNumberFormat="1" applyFont="1" applyFill="1" applyBorder="1" applyAlignment="1" applyProtection="1">
      <alignment horizontal="center"/>
    </xf>
    <xf numFmtId="1" fontId="14" fillId="0" borderId="37" xfId="25" applyNumberFormat="1" applyFont="1" applyFill="1" applyBorder="1" applyAlignment="1" applyProtection="1">
      <alignment horizontal="center"/>
    </xf>
    <xf numFmtId="1" fontId="14" fillId="0" borderId="2" xfId="25" applyNumberFormat="1" applyFont="1" applyFill="1" applyBorder="1" applyAlignment="1" applyProtection="1">
      <alignment horizontal="center"/>
    </xf>
    <xf numFmtId="1" fontId="14" fillId="0" borderId="9" xfId="25" applyNumberFormat="1" applyFont="1" applyFill="1" applyBorder="1" applyAlignment="1" applyProtection="1">
      <alignment horizontal="center"/>
    </xf>
    <xf numFmtId="167" fontId="14" fillId="0" borderId="33" xfId="25" applyNumberFormat="1" applyFont="1" applyFill="1" applyBorder="1" applyAlignment="1" applyProtection="1">
      <alignment horizontal="center"/>
    </xf>
    <xf numFmtId="0" fontId="14" fillId="0" borderId="17" xfId="25" applyFont="1" applyBorder="1" applyProtection="1"/>
    <xf numFmtId="168" fontId="15" fillId="10" borderId="38" xfId="25" applyNumberFormat="1" applyFont="1" applyFill="1" applyBorder="1" applyAlignment="1" applyProtection="1">
      <alignment horizontal="center"/>
    </xf>
    <xf numFmtId="168" fontId="14" fillId="0" borderId="27" xfId="25" applyNumberFormat="1" applyFont="1" applyFill="1" applyBorder="1" applyAlignment="1" applyProtection="1">
      <alignment horizontal="center"/>
    </xf>
    <xf numFmtId="168" fontId="14" fillId="0" borderId="4" xfId="25" applyNumberFormat="1" applyFont="1" applyFill="1" applyBorder="1" applyAlignment="1" applyProtection="1">
      <alignment horizontal="center"/>
    </xf>
    <xf numFmtId="167" fontId="26" fillId="9" borderId="38" xfId="25" applyNumberFormat="1" applyFont="1" applyFill="1" applyBorder="1" applyAlignment="1" applyProtection="1">
      <alignment horizontal="center"/>
      <protection locked="0"/>
    </xf>
    <xf numFmtId="168" fontId="14" fillId="0" borderId="7" xfId="25" applyNumberFormat="1" applyFont="1" applyFill="1" applyBorder="1" applyAlignment="1" applyProtection="1">
      <alignment horizontal="center"/>
    </xf>
    <xf numFmtId="168" fontId="15" fillId="0" borderId="33" xfId="25" applyNumberFormat="1" applyFont="1" applyFill="1" applyBorder="1" applyAlignment="1" applyProtection="1">
      <alignment horizontal="center"/>
    </xf>
    <xf numFmtId="168" fontId="14" fillId="0" borderId="37" xfId="25" applyNumberFormat="1" applyFont="1" applyFill="1" applyBorder="1" applyAlignment="1" applyProtection="1">
      <alignment horizontal="center"/>
    </xf>
    <xf numFmtId="168" fontId="14" fillId="0" borderId="2" xfId="25" applyNumberFormat="1" applyFont="1" applyFill="1" applyBorder="1" applyAlignment="1" applyProtection="1">
      <alignment horizontal="center"/>
    </xf>
    <xf numFmtId="168" fontId="14" fillId="0" borderId="9" xfId="25" applyNumberFormat="1" applyFont="1" applyFill="1" applyBorder="1" applyAlignment="1" applyProtection="1">
      <alignment horizontal="center"/>
    </xf>
    <xf numFmtId="167" fontId="14" fillId="0" borderId="33" xfId="25" applyNumberFormat="1" applyFont="1" applyFill="1" applyBorder="1" applyAlignment="1" applyProtection="1">
      <alignment horizontal="center"/>
      <protection locked="0"/>
    </xf>
    <xf numFmtId="168" fontId="26" fillId="0" borderId="39" xfId="25" applyNumberFormat="1" applyFont="1" applyFill="1" applyBorder="1" applyAlignment="1" applyProtection="1">
      <alignment horizontal="center"/>
    </xf>
    <xf numFmtId="168" fontId="14" fillId="0" borderId="40" xfId="25" applyNumberFormat="1" applyFont="1" applyFill="1" applyBorder="1" applyAlignment="1" applyProtection="1">
      <alignment horizontal="center"/>
    </xf>
    <xf numFmtId="168" fontId="14" fillId="0" borderId="41" xfId="25" applyNumberFormat="1" applyFont="1" applyFill="1" applyBorder="1" applyAlignment="1" applyProtection="1">
      <alignment horizontal="center"/>
    </xf>
    <xf numFmtId="168" fontId="14" fillId="0" borderId="42" xfId="25" applyNumberFormat="1" applyFont="1" applyFill="1" applyBorder="1" applyAlignment="1" applyProtection="1">
      <alignment horizontal="center"/>
    </xf>
    <xf numFmtId="168" fontId="14" fillId="0" borderId="39" xfId="25" applyNumberFormat="1" applyFont="1" applyFill="1" applyBorder="1" applyAlignment="1" applyProtection="1">
      <alignment horizontal="center"/>
    </xf>
    <xf numFmtId="167" fontId="26" fillId="0" borderId="39" xfId="25" applyNumberFormat="1" applyFont="1" applyFill="1" applyBorder="1" applyAlignment="1" applyProtection="1">
      <alignment horizontal="center"/>
      <protection locked="0"/>
    </xf>
    <xf numFmtId="0" fontId="14" fillId="0" borderId="13" xfId="25" applyFont="1" applyBorder="1" applyProtection="1"/>
    <xf numFmtId="0" fontId="15" fillId="0" borderId="14" xfId="25" applyFont="1" applyBorder="1" applyAlignment="1" applyProtection="1"/>
    <xf numFmtId="0" fontId="14" fillId="0" borderId="0" xfId="22" applyFont="1" applyAlignment="1" applyProtection="1"/>
    <xf numFmtId="168" fontId="15" fillId="0" borderId="32" xfId="25" applyNumberFormat="1" applyFont="1" applyFill="1" applyBorder="1" applyAlignment="1" applyProtection="1">
      <alignment horizontal="center"/>
    </xf>
    <xf numFmtId="168" fontId="14" fillId="0" borderId="34" xfId="25" applyNumberFormat="1" applyFont="1" applyFill="1" applyBorder="1" applyAlignment="1" applyProtection="1">
      <alignment horizontal="center"/>
    </xf>
    <xf numFmtId="168" fontId="14" fillId="0" borderId="35" xfId="25" applyNumberFormat="1" applyFont="1" applyFill="1" applyBorder="1" applyAlignment="1" applyProtection="1">
      <alignment horizontal="center"/>
    </xf>
    <xf numFmtId="168" fontId="14" fillId="0" borderId="36" xfId="25" applyNumberFormat="1" applyFont="1" applyFill="1" applyBorder="1" applyAlignment="1" applyProtection="1">
      <alignment horizontal="center"/>
    </xf>
    <xf numFmtId="167" fontId="14" fillId="0" borderId="32" xfId="25" applyNumberFormat="1" applyFont="1" applyFill="1" applyBorder="1" applyAlignment="1" applyProtection="1">
      <alignment horizontal="center"/>
      <protection locked="0"/>
    </xf>
    <xf numFmtId="167" fontId="26" fillId="0" borderId="39" xfId="25" applyNumberFormat="1" applyFont="1" applyFill="1" applyBorder="1" applyAlignment="1" applyProtection="1">
      <alignment horizontal="center"/>
    </xf>
    <xf numFmtId="167" fontId="27" fillId="9" borderId="27" xfId="16" applyNumberFormat="1" applyFont="1" applyFill="1" applyBorder="1" applyAlignment="1" applyProtection="1">
      <alignment horizontal="center" vertical="center"/>
      <protection locked="0"/>
    </xf>
    <xf numFmtId="167" fontId="27" fillId="9" borderId="5" xfId="16" applyNumberFormat="1" applyFont="1" applyFill="1" applyBorder="1" applyAlignment="1" applyProtection="1">
      <alignment horizontal="center" vertical="center"/>
      <protection locked="0"/>
    </xf>
    <xf numFmtId="167" fontId="27" fillId="9" borderId="28" xfId="16" applyNumberFormat="1" applyFont="1" applyFill="1" applyBorder="1" applyAlignment="1" applyProtection="1">
      <alignment horizontal="center" vertical="center"/>
      <protection locked="0"/>
    </xf>
    <xf numFmtId="167" fontId="27" fillId="9" borderId="4" xfId="16" applyNumberFormat="1" applyFont="1" applyFill="1" applyBorder="1" applyAlignment="1" applyProtection="1">
      <alignment horizontal="center" vertical="center"/>
      <protection locked="0"/>
    </xf>
    <xf numFmtId="167" fontId="27" fillId="11" borderId="27" xfId="16" applyNumberFormat="1" applyFont="1" applyFill="1" applyBorder="1" applyAlignment="1" applyProtection="1">
      <alignment horizontal="center" vertical="center"/>
    </xf>
    <xf numFmtId="167" fontId="27" fillId="11" borderId="5" xfId="16" applyNumberFormat="1" applyFont="1" applyFill="1" applyBorder="1" applyAlignment="1" applyProtection="1">
      <alignment horizontal="center" vertical="center"/>
    </xf>
    <xf numFmtId="167" fontId="27" fillId="11" borderId="29" xfId="16" applyNumberFormat="1" applyFont="1" applyFill="1" applyBorder="1" applyAlignment="1" applyProtection="1">
      <alignment horizontal="center" vertical="center"/>
    </xf>
    <xf numFmtId="167" fontId="27" fillId="11" borderId="45" xfId="16" applyNumberFormat="1" applyFont="1" applyFill="1" applyBorder="1" applyAlignment="1" applyProtection="1">
      <alignment horizontal="center" vertical="center"/>
    </xf>
    <xf numFmtId="167" fontId="27" fillId="9" borderId="45" xfId="16" applyNumberFormat="1" applyFont="1" applyFill="1" applyBorder="1" applyAlignment="1" applyProtection="1">
      <alignment horizontal="center" vertical="center"/>
      <protection locked="0"/>
    </xf>
    <xf numFmtId="167" fontId="27" fillId="9" borderId="31" xfId="16" applyNumberFormat="1" applyFont="1" applyFill="1" applyBorder="1" applyAlignment="1" applyProtection="1">
      <alignment horizontal="center" vertical="center"/>
      <protection locked="0"/>
    </xf>
    <xf numFmtId="167" fontId="27" fillId="9" borderId="30" xfId="16" applyNumberFormat="1" applyFont="1" applyFill="1" applyBorder="1" applyAlignment="1" applyProtection="1">
      <alignment horizontal="center" vertical="center"/>
      <protection locked="0"/>
    </xf>
    <xf numFmtId="0" fontId="5" fillId="0" borderId="0" xfId="16" applyAlignment="1" applyProtection="1">
      <alignment horizontal="center"/>
    </xf>
    <xf numFmtId="0" fontId="5" fillId="0" borderId="47" xfId="16" applyBorder="1" applyAlignment="1" applyProtection="1">
      <alignment horizontal="centerContinuous" vertical="center"/>
    </xf>
    <xf numFmtId="0" fontId="5" fillId="0" borderId="48" xfId="16" applyBorder="1" applyAlignment="1" applyProtection="1">
      <alignment horizontal="centerContinuous" vertical="center"/>
    </xf>
    <xf numFmtId="0" fontId="5" fillId="0" borderId="17" xfId="16" applyBorder="1" applyProtection="1"/>
    <xf numFmtId="0" fontId="5" fillId="0" borderId="0" xfId="16" applyAlignment="1" applyProtection="1">
      <alignment horizontal="center" vertical="center"/>
    </xf>
    <xf numFmtId="0" fontId="5" fillId="0" borderId="50" xfId="16" applyFill="1" applyBorder="1" applyAlignment="1" applyProtection="1">
      <alignment horizontal="center"/>
    </xf>
    <xf numFmtId="0" fontId="5" fillId="0" borderId="50" xfId="16" applyNumberFormat="1" applyBorder="1" applyAlignment="1" applyProtection="1">
      <alignment horizontal="center"/>
    </xf>
    <xf numFmtId="0" fontId="5" fillId="0" borderId="0" xfId="16" applyBorder="1" applyAlignment="1" applyProtection="1">
      <alignment horizontal="center" vertical="center"/>
    </xf>
    <xf numFmtId="0" fontId="5" fillId="0" borderId="22" xfId="16" applyBorder="1" applyAlignment="1" applyProtection="1">
      <alignment horizontal="center" vertical="center"/>
    </xf>
    <xf numFmtId="0" fontId="5" fillId="0" borderId="51" xfId="16" applyBorder="1" applyProtection="1"/>
    <xf numFmtId="0" fontId="0" fillId="0" borderId="0" xfId="0" applyBorder="1" applyProtection="1"/>
    <xf numFmtId="0" fontId="0" fillId="0" borderId="0" xfId="0" applyAlignment="1" applyProtection="1">
      <alignment horizontal="center"/>
    </xf>
    <xf numFmtId="0" fontId="5" fillId="0" borderId="13" xfId="16" applyBorder="1" applyProtection="1"/>
    <xf numFmtId="0" fontId="5" fillId="0" borderId="9" xfId="16" applyFill="1" applyBorder="1" applyAlignment="1" applyProtection="1">
      <alignment horizontal="center"/>
    </xf>
    <xf numFmtId="0" fontId="5" fillId="0" borderId="9" xfId="16" applyNumberFormat="1" applyBorder="1" applyAlignment="1" applyProtection="1">
      <alignment horizontal="center"/>
    </xf>
    <xf numFmtId="0" fontId="5" fillId="0" borderId="0" xfId="16" applyBorder="1" applyProtection="1"/>
    <xf numFmtId="0" fontId="5" fillId="0" borderId="0" xfId="16" applyBorder="1" applyAlignment="1" applyProtection="1">
      <alignment horizontal="center"/>
    </xf>
    <xf numFmtId="0" fontId="13" fillId="0" borderId="0" xfId="0" applyFont="1"/>
    <xf numFmtId="0" fontId="28" fillId="0" borderId="0" xfId="0" applyFont="1" applyFill="1" applyBorder="1"/>
    <xf numFmtId="0" fontId="9" fillId="0" borderId="0" xfId="0" applyFont="1"/>
    <xf numFmtId="0" fontId="29" fillId="0" borderId="0" xfId="0" applyFont="1" applyBorder="1" applyAlignment="1">
      <alignment horizontal="center"/>
    </xf>
    <xf numFmtId="0" fontId="5" fillId="0" borderId="17" xfId="16" applyFill="1" applyBorder="1" applyAlignment="1" applyProtection="1">
      <alignment horizontal="center" vertical="center"/>
    </xf>
    <xf numFmtId="0" fontId="5" fillId="0" borderId="0" xfId="16" applyFill="1" applyBorder="1" applyAlignment="1" applyProtection="1">
      <alignment horizontal="center" vertical="center"/>
    </xf>
    <xf numFmtId="0" fontId="5" fillId="0" borderId="22" xfId="16" applyFill="1" applyBorder="1" applyAlignment="1" applyProtection="1">
      <alignment horizontal="center" vertical="center"/>
    </xf>
    <xf numFmtId="167" fontId="0" fillId="0" borderId="0" xfId="0" applyNumberFormat="1" applyBorder="1" applyProtection="1"/>
    <xf numFmtId="167" fontId="0" fillId="0" borderId="0" xfId="0" applyNumberFormat="1" applyProtection="1"/>
    <xf numFmtId="167" fontId="21" fillId="0" borderId="0" xfId="0" applyNumberFormat="1" applyFont="1" applyProtection="1"/>
    <xf numFmtId="167" fontId="5" fillId="0" borderId="17" xfId="16" applyNumberFormat="1" applyFill="1" applyBorder="1" applyAlignment="1" applyProtection="1">
      <alignment horizontal="center" vertical="center"/>
    </xf>
    <xf numFmtId="167" fontId="5" fillId="0" borderId="0" xfId="16" applyNumberFormat="1" applyFill="1" applyBorder="1" applyAlignment="1" applyProtection="1">
      <alignment horizontal="center" vertical="center"/>
    </xf>
    <xf numFmtId="167" fontId="5" fillId="0" borderId="22" xfId="16" applyNumberFormat="1" applyFill="1" applyBorder="1" applyAlignment="1" applyProtection="1">
      <alignment horizontal="center" vertical="center"/>
    </xf>
    <xf numFmtId="167" fontId="5" fillId="0" borderId="0" xfId="16" applyNumberFormat="1" applyBorder="1" applyAlignment="1" applyProtection="1">
      <alignment horizontal="center" vertical="center"/>
    </xf>
    <xf numFmtId="167" fontId="5" fillId="0" borderId="22" xfId="16" applyNumberFormat="1" applyBorder="1" applyAlignment="1" applyProtection="1">
      <alignment horizontal="center" vertical="center"/>
    </xf>
    <xf numFmtId="0" fontId="5" fillId="0" borderId="0" xfId="16" applyProtection="1">
      <protection locked="0"/>
    </xf>
    <xf numFmtId="0" fontId="27" fillId="9" borderId="4" xfId="16" applyFont="1" applyFill="1" applyBorder="1" applyAlignment="1" applyProtection="1">
      <alignment horizontal="center" vertical="center"/>
      <protection locked="0"/>
    </xf>
    <xf numFmtId="0" fontId="27" fillId="9" borderId="7" xfId="16" applyFont="1" applyFill="1" applyBorder="1" applyAlignment="1" applyProtection="1">
      <alignment horizontal="center" vertical="center"/>
      <protection locked="0"/>
    </xf>
    <xf numFmtId="166" fontId="27" fillId="9" borderId="27" xfId="16" applyNumberFormat="1" applyFont="1" applyFill="1" applyBorder="1" applyAlignment="1" applyProtection="1">
      <alignment horizontal="center" vertical="center"/>
      <protection locked="0"/>
    </xf>
    <xf numFmtId="166" fontId="27" fillId="9" borderId="5" xfId="16" applyNumberFormat="1" applyFont="1" applyFill="1" applyBorder="1" applyAlignment="1" applyProtection="1">
      <alignment horizontal="center" vertical="center"/>
      <protection locked="0"/>
    </xf>
    <xf numFmtId="166" fontId="27" fillId="9" borderId="28" xfId="16" applyNumberFormat="1" applyFont="1" applyFill="1" applyBorder="1" applyAlignment="1" applyProtection="1">
      <alignment horizontal="center" vertical="center"/>
      <protection locked="0"/>
    </xf>
    <xf numFmtId="166" fontId="27" fillId="9" borderId="4" xfId="16" applyNumberFormat="1" applyFont="1" applyFill="1" applyBorder="1" applyAlignment="1" applyProtection="1">
      <alignment horizontal="center" vertical="center"/>
      <protection locked="0"/>
    </xf>
    <xf numFmtId="0" fontId="27" fillId="9" borderId="1" xfId="16" applyFont="1" applyFill="1" applyBorder="1" applyAlignment="1" applyProtection="1">
      <alignment horizontal="center" vertical="center"/>
      <protection locked="0"/>
    </xf>
    <xf numFmtId="0" fontId="27" fillId="9" borderId="6" xfId="16" applyFont="1" applyFill="1" applyBorder="1" applyAlignment="1" applyProtection="1">
      <alignment horizontal="center" vertical="center"/>
      <protection locked="0"/>
    </xf>
    <xf numFmtId="166" fontId="27" fillId="9" borderId="8" xfId="16" applyNumberFormat="1" applyFont="1" applyFill="1" applyBorder="1" applyAlignment="1" applyProtection="1">
      <alignment horizontal="center" vertical="center"/>
      <protection locked="0"/>
    </xf>
    <xf numFmtId="166" fontId="27" fillId="9" borderId="56" xfId="16" applyNumberFormat="1" applyFont="1" applyFill="1" applyBorder="1" applyAlignment="1" applyProtection="1">
      <alignment horizontal="center" vertical="center"/>
      <protection locked="0"/>
    </xf>
    <xf numFmtId="166" fontId="27" fillId="9" borderId="1" xfId="16" applyNumberFormat="1" applyFont="1" applyFill="1" applyBorder="1" applyAlignment="1" applyProtection="1">
      <alignment horizontal="center" vertical="center"/>
      <protection locked="0"/>
    </xf>
    <xf numFmtId="0" fontId="5" fillId="10" borderId="59" xfId="16" applyFill="1" applyBorder="1" applyProtection="1">
      <protection locked="0"/>
    </xf>
    <xf numFmtId="0" fontId="5" fillId="11" borderId="30" xfId="16" applyFill="1" applyBorder="1" applyAlignment="1" applyProtection="1">
      <alignment horizontal="center" vertical="center"/>
      <protection locked="0"/>
    </xf>
    <xf numFmtId="167" fontId="5" fillId="10" borderId="30" xfId="16" applyNumberFormat="1" applyFill="1" applyBorder="1" applyAlignment="1" applyProtection="1">
      <alignment horizontal="center" vertical="center"/>
      <protection locked="0"/>
    </xf>
    <xf numFmtId="2" fontId="5" fillId="10" borderId="30" xfId="16" applyNumberFormat="1" applyFill="1" applyBorder="1" applyAlignment="1" applyProtection="1">
      <alignment horizontal="center" vertical="center"/>
      <protection locked="0"/>
    </xf>
    <xf numFmtId="2" fontId="5" fillId="10" borderId="60" xfId="16" applyNumberFormat="1" applyFill="1" applyBorder="1" applyAlignment="1" applyProtection="1">
      <alignment horizontal="center" vertical="center"/>
      <protection locked="0"/>
    </xf>
    <xf numFmtId="2" fontId="5" fillId="10" borderId="59" xfId="16" applyNumberFormat="1" applyFill="1" applyBorder="1" applyAlignment="1" applyProtection="1">
      <alignment horizontal="center" vertical="center"/>
      <protection locked="0"/>
    </xf>
    <xf numFmtId="1" fontId="27" fillId="9" borderId="49" xfId="13" applyNumberFormat="1" applyFont="1" applyFill="1" applyBorder="1" applyAlignment="1" applyProtection="1">
      <alignment horizontal="center"/>
      <protection locked="0"/>
    </xf>
    <xf numFmtId="1" fontId="27" fillId="9" borderId="12" xfId="13" applyNumberFormat="1" applyFont="1" applyFill="1" applyBorder="1" applyAlignment="1" applyProtection="1">
      <alignment horizontal="center"/>
      <protection locked="0"/>
    </xf>
    <xf numFmtId="1" fontId="27" fillId="9" borderId="57" xfId="13" applyNumberFormat="1" applyFont="1" applyFill="1" applyBorder="1" applyAlignment="1" applyProtection="1">
      <alignment horizontal="center"/>
      <protection locked="0"/>
    </xf>
    <xf numFmtId="1" fontId="27" fillId="9" borderId="27" xfId="13" applyNumberFormat="1" applyFont="1" applyFill="1" applyBorder="1" applyAlignment="1" applyProtection="1">
      <alignment horizontal="center"/>
      <protection locked="0"/>
    </xf>
    <xf numFmtId="1" fontId="27" fillId="9" borderId="5" xfId="13" applyNumberFormat="1" applyFont="1" applyFill="1" applyBorder="1" applyAlignment="1" applyProtection="1">
      <alignment horizontal="center"/>
      <protection locked="0"/>
    </xf>
    <xf numFmtId="1" fontId="27" fillId="9" borderId="44" xfId="13" applyNumberFormat="1" applyFont="1" applyFill="1" applyBorder="1" applyAlignment="1" applyProtection="1">
      <alignment horizontal="center"/>
      <protection locked="0"/>
    </xf>
    <xf numFmtId="1" fontId="27" fillId="9" borderId="29" xfId="13" applyNumberFormat="1" applyFont="1" applyFill="1" applyBorder="1" applyAlignment="1" applyProtection="1">
      <alignment horizontal="center"/>
      <protection locked="0"/>
    </xf>
    <xf numFmtId="1" fontId="27" fillId="9" borderId="31" xfId="13" applyNumberFormat="1" applyFont="1" applyFill="1" applyBorder="1" applyAlignment="1" applyProtection="1">
      <alignment horizontal="center"/>
      <protection locked="0"/>
    </xf>
    <xf numFmtId="1" fontId="27" fillId="9" borderId="28" xfId="13" applyNumberFormat="1" applyFont="1" applyFill="1" applyBorder="1" applyAlignment="1" applyProtection="1">
      <alignment horizontal="center"/>
      <protection locked="0"/>
    </xf>
    <xf numFmtId="1" fontId="27" fillId="9" borderId="45" xfId="13" applyNumberFormat="1" applyFont="1" applyFill="1" applyBorder="1" applyAlignment="1" applyProtection="1">
      <alignment horizontal="center"/>
      <protection locked="0"/>
    </xf>
    <xf numFmtId="0" fontId="30" fillId="0" borderId="0" xfId="0" applyFont="1" applyProtection="1"/>
    <xf numFmtId="0" fontId="30" fillId="0" borderId="0" xfId="0" applyFont="1" applyBorder="1" applyProtection="1"/>
    <xf numFmtId="0" fontId="31" fillId="0" borderId="0" xfId="0" applyFont="1" applyProtection="1"/>
    <xf numFmtId="0" fontId="8" fillId="0" borderId="0" xfId="28" applyFont="1" applyFill="1" applyBorder="1" applyAlignment="1" applyProtection="1">
      <alignment horizontal="left" vertical="center"/>
    </xf>
    <xf numFmtId="0" fontId="30" fillId="0" borderId="47" xfId="0" applyFont="1" applyBorder="1" applyAlignment="1" applyProtection="1">
      <alignment horizontal="centerContinuous"/>
    </xf>
    <xf numFmtId="2" fontId="27" fillId="9" borderId="37" xfId="0" applyNumberFormat="1" applyFont="1" applyFill="1" applyBorder="1" applyAlignment="1" applyProtection="1">
      <alignment horizontal="center" vertical="center"/>
      <protection locked="0"/>
    </xf>
    <xf numFmtId="2" fontId="27" fillId="9" borderId="50" xfId="0" applyNumberFormat="1" applyFont="1" applyFill="1" applyBorder="1" applyAlignment="1" applyProtection="1">
      <alignment horizontal="center" vertical="center"/>
      <protection locked="0"/>
    </xf>
    <xf numFmtId="168" fontId="27" fillId="0" borderId="58" xfId="26" applyNumberFormat="1" applyFont="1" applyFill="1" applyBorder="1" applyProtection="1"/>
    <xf numFmtId="2" fontId="27" fillId="0" borderId="37" xfId="0" applyNumberFormat="1" applyFont="1" applyFill="1" applyBorder="1" applyAlignment="1" applyProtection="1">
      <alignment horizontal="center" vertical="center"/>
    </xf>
    <xf numFmtId="2" fontId="27" fillId="0" borderId="50" xfId="0" applyNumberFormat="1" applyFont="1" applyFill="1" applyBorder="1" applyAlignment="1" applyProtection="1">
      <alignment horizontal="center" vertical="center"/>
    </xf>
    <xf numFmtId="2" fontId="27" fillId="9" borderId="40" xfId="0" applyNumberFormat="1" applyFont="1" applyFill="1" applyBorder="1" applyAlignment="1" applyProtection="1">
      <alignment horizontal="center" vertical="center"/>
      <protection locked="0"/>
    </xf>
    <xf numFmtId="2" fontId="27" fillId="9" borderId="58" xfId="0" applyNumberFormat="1" applyFont="1" applyFill="1" applyBorder="1" applyAlignment="1" applyProtection="1">
      <alignment horizontal="center" vertical="center"/>
      <protection locked="0"/>
    </xf>
    <xf numFmtId="0" fontId="15" fillId="0" borderId="15" xfId="32" applyFont="1" applyBorder="1"/>
    <xf numFmtId="0" fontId="14" fillId="0" borderId="15" xfId="32" applyFont="1" applyBorder="1"/>
    <xf numFmtId="0" fontId="14" fillId="0" borderId="8" xfId="32" applyFont="1" applyBorder="1"/>
    <xf numFmtId="0" fontId="15" fillId="0" borderId="0" xfId="32" applyFont="1" applyBorder="1"/>
    <xf numFmtId="0" fontId="14" fillId="0" borderId="0" xfId="32" applyFont="1" applyBorder="1"/>
    <xf numFmtId="0" fontId="14" fillId="0" borderId="10" xfId="32" applyFont="1" applyBorder="1"/>
    <xf numFmtId="0" fontId="15" fillId="0" borderId="10" xfId="32" applyFont="1" applyBorder="1" applyAlignment="1">
      <alignment horizontal="center" textRotation="90" wrapText="1"/>
    </xf>
    <xf numFmtId="0" fontId="14" fillId="0" borderId="4" xfId="32" applyFont="1" applyBorder="1"/>
    <xf numFmtId="0" fontId="14" fillId="0" borderId="4" xfId="32" applyFont="1" applyBorder="1" applyAlignment="1">
      <alignment horizontal="center"/>
    </xf>
    <xf numFmtId="0" fontId="14" fillId="0" borderId="1" xfId="32" applyFont="1" applyBorder="1"/>
    <xf numFmtId="0" fontId="14" fillId="0" borderId="1" xfId="32" applyFont="1" applyBorder="1" applyAlignment="1">
      <alignment horizontal="center"/>
    </xf>
    <xf numFmtId="0" fontId="14" fillId="0" borderId="2" xfId="32" applyFont="1" applyBorder="1"/>
    <xf numFmtId="176" fontId="14" fillId="0" borderId="2" xfId="32" applyNumberFormat="1" applyFont="1" applyBorder="1"/>
    <xf numFmtId="37" fontId="14" fillId="0" borderId="10" xfId="32" applyNumberFormat="1" applyFont="1" applyBorder="1"/>
    <xf numFmtId="177" fontId="14" fillId="12" borderId="3" xfId="32" applyNumberFormat="1" applyFont="1" applyFill="1" applyBorder="1"/>
    <xf numFmtId="177" fontId="14" fillId="0" borderId="3" xfId="32" applyNumberFormat="1" applyFont="1" applyBorder="1"/>
    <xf numFmtId="176" fontId="14" fillId="0" borderId="10" xfId="32" applyNumberFormat="1" applyFont="1" applyBorder="1"/>
    <xf numFmtId="0" fontId="14" fillId="0" borderId="3" xfId="32" applyFont="1" applyBorder="1"/>
    <xf numFmtId="176" fontId="14" fillId="0" borderId="3" xfId="32" applyNumberFormat="1" applyFont="1" applyBorder="1"/>
    <xf numFmtId="176" fontId="14" fillId="0" borderId="0" xfId="32" applyNumberFormat="1" applyFont="1" applyBorder="1"/>
    <xf numFmtId="0" fontId="14" fillId="0" borderId="0" xfId="0" applyFont="1" applyBorder="1" applyAlignment="1" applyProtection="1"/>
    <xf numFmtId="0" fontId="15" fillId="0" borderId="0" xfId="0" applyFont="1" applyBorder="1" applyAlignment="1">
      <alignment horizontal="right"/>
    </xf>
    <xf numFmtId="37" fontId="15" fillId="0" borderId="0" xfId="0" applyNumberFormat="1" applyFont="1" applyFill="1" applyBorder="1" applyAlignment="1"/>
    <xf numFmtId="0" fontId="23" fillId="0" borderId="0" xfId="0" applyFont="1" applyBorder="1" applyAlignment="1" applyProtection="1">
      <alignment horizontal="center"/>
    </xf>
    <xf numFmtId="0" fontId="14" fillId="0" borderId="18" xfId="32" applyFont="1" applyBorder="1"/>
    <xf numFmtId="176" fontId="14" fillId="0" borderId="18" xfId="32" applyNumberFormat="1" applyFont="1" applyBorder="1"/>
    <xf numFmtId="37" fontId="14" fillId="0" borderId="12" xfId="32" applyNumberFormat="1" applyFont="1" applyBorder="1"/>
    <xf numFmtId="0" fontId="33" fillId="0" borderId="0" xfId="0" applyFont="1"/>
    <xf numFmtId="0" fontId="34" fillId="0" borderId="4" xfId="32" applyFont="1" applyBorder="1" applyAlignment="1">
      <alignment wrapText="1"/>
    </xf>
    <xf numFmtId="167" fontId="34" fillId="0" borderId="4" xfId="32" applyNumberFormat="1" applyFont="1" applyBorder="1" applyAlignment="1" applyProtection="1">
      <alignment horizontal="center" textRotation="90" wrapText="1"/>
    </xf>
    <xf numFmtId="167" fontId="34" fillId="0" borderId="3" xfId="32" applyNumberFormat="1" applyFont="1" applyBorder="1" applyAlignment="1" applyProtection="1">
      <alignment horizontal="center" textRotation="90" wrapText="1"/>
    </xf>
    <xf numFmtId="0" fontId="35" fillId="0" borderId="10" xfId="32" applyFont="1" applyBorder="1" applyAlignment="1">
      <alignment horizontal="center" textRotation="90" wrapText="1"/>
    </xf>
    <xf numFmtId="0" fontId="37" fillId="0" borderId="0" xfId="0" applyFont="1" applyAlignment="1" applyProtection="1"/>
    <xf numFmtId="0" fontId="0" fillId="0" borderId="0" xfId="0" applyAlignment="1" applyProtection="1"/>
    <xf numFmtId="0" fontId="0" fillId="0" borderId="0" xfId="0" applyBorder="1" applyAlignment="1" applyProtection="1"/>
    <xf numFmtId="0" fontId="8" fillId="0" borderId="0" xfId="0" applyFont="1" applyAlignment="1" applyProtection="1"/>
    <xf numFmtId="0" fontId="38" fillId="0" borderId="0" xfId="0" applyFont="1" applyBorder="1" applyAlignment="1">
      <alignment horizontal="left" vertical="center"/>
    </xf>
    <xf numFmtId="0" fontId="13" fillId="0" borderId="61" xfId="0" applyFont="1" applyBorder="1" applyAlignment="1">
      <alignment horizontal="center"/>
    </xf>
    <xf numFmtId="0" fontId="8" fillId="0" borderId="28"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xf>
    <xf numFmtId="0" fontId="13" fillId="0" borderId="0" xfId="0" applyFont="1" applyBorder="1" applyAlignment="1" applyProtection="1">
      <alignment horizontal="left" vertical="center" wrapText="1"/>
    </xf>
    <xf numFmtId="0" fontId="13" fillId="0" borderId="0" xfId="0" applyFont="1" applyAlignment="1" applyProtection="1"/>
    <xf numFmtId="0" fontId="8" fillId="0" borderId="0" xfId="0" applyFont="1" applyFill="1" applyBorder="1" applyAlignment="1"/>
    <xf numFmtId="0" fontId="0" fillId="0" borderId="0" xfId="0" applyFill="1" applyBorder="1" applyAlignment="1" applyProtection="1"/>
    <xf numFmtId="0" fontId="8" fillId="5" borderId="25" xfId="0" applyFont="1" applyFill="1" applyBorder="1" applyAlignment="1">
      <alignment horizontal="centerContinuous" vertical="center"/>
    </xf>
    <xf numFmtId="0" fontId="8" fillId="5" borderId="26" xfId="0" applyFont="1" applyFill="1" applyBorder="1" applyAlignment="1">
      <alignment horizontal="centerContinuous" vertical="center"/>
    </xf>
    <xf numFmtId="0" fontId="8" fillId="5" borderId="71" xfId="0" applyFont="1" applyFill="1" applyBorder="1" applyAlignment="1" applyProtection="1">
      <alignment horizontal="center" textRotation="90" wrapText="1"/>
    </xf>
    <xf numFmtId="0" fontId="13" fillId="5" borderId="61" xfId="0" applyFont="1" applyFill="1" applyBorder="1" applyAlignment="1" applyProtection="1">
      <alignment horizontal="center" textRotation="90"/>
    </xf>
    <xf numFmtId="0" fontId="13" fillId="0" borderId="71" xfId="0" applyFont="1" applyBorder="1" applyAlignment="1">
      <alignment horizontal="center"/>
    </xf>
    <xf numFmtId="0" fontId="13" fillId="0" borderId="35" xfId="0" applyFont="1" applyBorder="1" applyAlignment="1">
      <alignment horizontal="center"/>
    </xf>
    <xf numFmtId="0" fontId="13" fillId="0" borderId="14" xfId="0" applyFont="1" applyBorder="1" applyAlignment="1">
      <alignment horizontal="center"/>
    </xf>
    <xf numFmtId="0" fontId="13" fillId="0" borderId="32" xfId="0" applyFont="1" applyBorder="1" applyAlignment="1">
      <alignment horizontal="center"/>
    </xf>
    <xf numFmtId="0" fontId="13" fillId="11" borderId="10" xfId="0" applyFont="1" applyFill="1" applyBorder="1" applyAlignment="1">
      <alignment horizontal="center"/>
    </xf>
    <xf numFmtId="0" fontId="13" fillId="11" borderId="2" xfId="0" applyFont="1" applyFill="1" applyBorder="1" applyAlignment="1">
      <alignment horizontal="center"/>
    </xf>
    <xf numFmtId="0" fontId="13" fillId="11" borderId="0" xfId="0" applyFont="1" applyFill="1" applyBorder="1" applyAlignment="1">
      <alignment horizontal="center"/>
    </xf>
    <xf numFmtId="0" fontId="8" fillId="11" borderId="38" xfId="0" applyFont="1" applyFill="1" applyBorder="1" applyAlignment="1"/>
    <xf numFmtId="174" fontId="19" fillId="11" borderId="4" xfId="0" applyNumberFormat="1" applyFont="1" applyFill="1" applyBorder="1" applyAlignment="1" applyProtection="1"/>
    <xf numFmtId="174" fontId="19" fillId="11" borderId="7" xfId="0" applyNumberFormat="1" applyFont="1" applyFill="1" applyBorder="1" applyAlignment="1" applyProtection="1"/>
    <xf numFmtId="174" fontId="19" fillId="11" borderId="7" xfId="0" applyNumberFormat="1" applyFont="1" applyFill="1" applyBorder="1" applyAlignment="1"/>
    <xf numFmtId="174" fontId="8" fillId="2" borderId="38" xfId="0" applyNumberFormat="1" applyFont="1" applyFill="1" applyBorder="1" applyAlignment="1"/>
    <xf numFmtId="174" fontId="13" fillId="11" borderId="10" xfId="0" applyNumberFormat="1" applyFont="1" applyFill="1" applyBorder="1" applyAlignment="1">
      <alignment horizontal="center"/>
    </xf>
    <xf numFmtId="174" fontId="13" fillId="11" borderId="2" xfId="0" applyNumberFormat="1" applyFont="1" applyFill="1" applyBorder="1" applyAlignment="1">
      <alignment horizontal="center"/>
    </xf>
    <xf numFmtId="174" fontId="8" fillId="11" borderId="38" xfId="0" applyNumberFormat="1" applyFont="1" applyFill="1" applyBorder="1" applyAlignment="1"/>
    <xf numFmtId="174" fontId="19" fillId="11" borderId="5" xfId="0" applyNumberFormat="1" applyFont="1" applyFill="1" applyBorder="1" applyAlignment="1" applyProtection="1"/>
    <xf numFmtId="174" fontId="19" fillId="11" borderId="5" xfId="0" applyNumberFormat="1" applyFont="1" applyFill="1" applyBorder="1" applyAlignment="1"/>
    <xf numFmtId="174" fontId="19" fillId="11" borderId="4" xfId="0" applyNumberFormat="1" applyFont="1" applyFill="1" applyBorder="1" applyAlignment="1"/>
    <xf numFmtId="174" fontId="13" fillId="2" borderId="5" xfId="0" applyNumberFormat="1" applyFont="1" applyFill="1" applyBorder="1" applyAlignment="1"/>
    <xf numFmtId="174" fontId="13" fillId="2" borderId="16" xfId="0" applyNumberFormat="1" applyFont="1" applyFill="1" applyBorder="1" applyAlignment="1"/>
    <xf numFmtId="174" fontId="13" fillId="2" borderId="38" xfId="0" applyNumberFormat="1" applyFont="1" applyFill="1" applyBorder="1" applyAlignment="1"/>
    <xf numFmtId="0" fontId="39" fillId="0" borderId="0" xfId="0" quotePrefix="1" applyFont="1" applyAlignment="1" applyProtection="1"/>
    <xf numFmtId="174" fontId="13" fillId="2" borderId="4" xfId="0" applyNumberFormat="1" applyFont="1" applyFill="1" applyBorder="1" applyAlignment="1"/>
    <xf numFmtId="174" fontId="13" fillId="2" borderId="7" xfId="0" applyNumberFormat="1" applyFont="1" applyFill="1" applyBorder="1" applyAlignment="1"/>
    <xf numFmtId="0" fontId="8" fillId="0" borderId="0" xfId="0" quotePrefix="1" applyFont="1" applyAlignment="1" applyProtection="1"/>
    <xf numFmtId="174" fontId="19" fillId="11" borderId="1" xfId="0" applyNumberFormat="1" applyFont="1" applyFill="1" applyBorder="1" applyAlignment="1"/>
    <xf numFmtId="174" fontId="8" fillId="11" borderId="1" xfId="0" applyNumberFormat="1" applyFont="1" applyFill="1" applyBorder="1" applyAlignment="1"/>
    <xf numFmtId="174" fontId="13" fillId="2" borderId="66" xfId="0" applyNumberFormat="1" applyFont="1" applyFill="1" applyBorder="1" applyAlignment="1"/>
    <xf numFmtId="0" fontId="39" fillId="0" borderId="0" xfId="0" applyFont="1" applyAlignment="1" applyProtection="1"/>
    <xf numFmtId="174" fontId="13" fillId="2" borderId="74" xfId="0" applyNumberFormat="1" applyFont="1" applyFill="1" applyBorder="1" applyAlignment="1"/>
    <xf numFmtId="174" fontId="13" fillId="2" borderId="72" xfId="0" applyNumberFormat="1" applyFont="1" applyFill="1" applyBorder="1" applyAlignment="1"/>
    <xf numFmtId="174" fontId="13" fillId="2" borderId="75" xfId="0" applyNumberFormat="1" applyFont="1" applyFill="1" applyBorder="1" applyAlignment="1"/>
    <xf numFmtId="174" fontId="13" fillId="2" borderId="61" xfId="0" applyNumberFormat="1" applyFont="1" applyFill="1" applyBorder="1" applyAlignment="1"/>
    <xf numFmtId="0" fontId="13" fillId="0" borderId="0" xfId="0" applyFont="1" applyBorder="1" applyAlignment="1">
      <alignment horizontal="center" vertical="center"/>
    </xf>
    <xf numFmtId="0" fontId="19" fillId="0" borderId="0" xfId="0" applyFont="1" applyFill="1" applyBorder="1" applyAlignment="1"/>
    <xf numFmtId="0" fontId="39" fillId="0" borderId="0" xfId="0" applyFont="1" applyBorder="1" applyAlignment="1">
      <alignment horizontal="center"/>
    </xf>
    <xf numFmtId="0" fontId="13" fillId="8" borderId="25" xfId="0" applyFont="1" applyFill="1" applyBorder="1" applyAlignment="1" applyProtection="1">
      <alignment vertical="center" wrapText="1"/>
    </xf>
    <xf numFmtId="0" fontId="13" fillId="8" borderId="26" xfId="0" applyFont="1" applyFill="1" applyBorder="1" applyAlignment="1" applyProtection="1">
      <alignment horizontal="center" vertical="center" wrapText="1"/>
    </xf>
    <xf numFmtId="0" fontId="13" fillId="8" borderId="33" xfId="0" applyFont="1" applyFill="1" applyBorder="1" applyAlignment="1" applyProtection="1">
      <alignment horizontal="center" vertical="center" wrapText="1"/>
    </xf>
    <xf numFmtId="0" fontId="13" fillId="0" borderId="0" xfId="0" applyFont="1" applyFill="1" applyBorder="1" applyAlignment="1">
      <alignment vertical="center"/>
    </xf>
    <xf numFmtId="0" fontId="8" fillId="0" borderId="65" xfId="0" applyFont="1" applyBorder="1" applyAlignment="1" applyProtection="1">
      <alignment vertical="center"/>
    </xf>
    <xf numFmtId="0" fontId="8" fillId="0" borderId="76" xfId="0" applyFont="1" applyFill="1" applyBorder="1" applyAlignment="1" applyProtection="1">
      <alignment vertical="center"/>
    </xf>
    <xf numFmtId="0" fontId="8" fillId="0" borderId="7" xfId="0" applyFont="1" applyBorder="1" applyAlignment="1" applyProtection="1">
      <alignment vertical="center"/>
    </xf>
    <xf numFmtId="0" fontId="32" fillId="6" borderId="13" xfId="0" applyFont="1" applyFill="1" applyBorder="1" applyAlignment="1">
      <alignment vertical="center"/>
    </xf>
    <xf numFmtId="0" fontId="13" fillId="6" borderId="14" xfId="0" applyFont="1" applyFill="1" applyBorder="1" applyAlignment="1">
      <alignment vertical="center"/>
    </xf>
    <xf numFmtId="1" fontId="8" fillId="0" borderId="0" xfId="12" applyNumberFormat="1" applyFont="1" applyProtection="1"/>
    <xf numFmtId="1" fontId="8" fillId="0" borderId="0" xfId="12" applyNumberFormat="1" applyFont="1" applyAlignment="1" applyProtection="1">
      <alignment horizontal="center"/>
    </xf>
    <xf numFmtId="0" fontId="8" fillId="0" borderId="0" xfId="25" applyFont="1" applyProtection="1"/>
    <xf numFmtId="0" fontId="8" fillId="0" borderId="0" xfId="28" applyFont="1" applyFill="1" applyBorder="1" applyAlignment="1" applyProtection="1">
      <alignment horizontal="center" vertical="center"/>
    </xf>
    <xf numFmtId="0" fontId="8" fillId="0" borderId="13" xfId="28" applyFont="1" applyFill="1" applyBorder="1" applyAlignment="1" applyProtection="1">
      <alignment horizontal="left" vertical="center"/>
    </xf>
    <xf numFmtId="0" fontId="13" fillId="0" borderId="13" xfId="28" applyFont="1" applyFill="1" applyBorder="1" applyAlignment="1" applyProtection="1">
      <alignment horizontal="center" vertical="center"/>
    </xf>
    <xf numFmtId="0" fontId="13" fillId="0" borderId="13" xfId="28" applyFont="1" applyFill="1" applyBorder="1" applyAlignment="1" applyProtection="1">
      <alignment horizontal="left" vertical="center"/>
    </xf>
    <xf numFmtId="1" fontId="8" fillId="0" borderId="32" xfId="25" applyNumberFormat="1" applyFont="1" applyFill="1" applyBorder="1" applyAlignment="1" applyProtection="1">
      <alignment horizontal="center"/>
    </xf>
    <xf numFmtId="0" fontId="8" fillId="0" borderId="33" xfId="28" applyFont="1" applyFill="1" applyBorder="1" applyAlignment="1" applyProtection="1">
      <alignment horizontal="left" vertical="center" indent="1"/>
    </xf>
    <xf numFmtId="0" fontId="0" fillId="0" borderId="33" xfId="0" applyBorder="1" applyAlignment="1">
      <alignment horizontal="center"/>
    </xf>
    <xf numFmtId="0" fontId="8" fillId="7" borderId="27" xfId="28" applyFont="1" applyFill="1" applyBorder="1" applyAlignment="1" applyProtection="1">
      <alignment horizontal="center" vertical="center"/>
    </xf>
    <xf numFmtId="0" fontId="8" fillId="7" borderId="4" xfId="28" applyFont="1" applyFill="1" applyBorder="1" applyAlignment="1" applyProtection="1">
      <alignment horizontal="center" vertical="center"/>
    </xf>
    <xf numFmtId="0" fontId="19" fillId="9" borderId="4" xfId="28" applyFont="1" applyFill="1" applyBorder="1" applyAlignment="1" applyProtection="1">
      <alignment horizontal="center" vertical="center"/>
      <protection locked="0"/>
    </xf>
    <xf numFmtId="168" fontId="19" fillId="0" borderId="39" xfId="25" applyNumberFormat="1" applyFont="1" applyFill="1" applyBorder="1" applyProtection="1"/>
    <xf numFmtId="1" fontId="13" fillId="0" borderId="20" xfId="25" applyNumberFormat="1" applyFont="1" applyBorder="1" applyProtection="1"/>
    <xf numFmtId="1" fontId="13" fillId="0" borderId="21" xfId="25" applyNumberFormat="1" applyFont="1" applyBorder="1" applyProtection="1"/>
    <xf numFmtId="0" fontId="13" fillId="0" borderId="32" xfId="28" applyFont="1" applyFill="1" applyBorder="1" applyAlignment="1" applyProtection="1">
      <alignment horizontal="left" vertical="center"/>
    </xf>
    <xf numFmtId="0" fontId="8" fillId="0" borderId="17" xfId="28" applyFont="1" applyFill="1" applyBorder="1" applyAlignment="1" applyProtection="1">
      <alignment horizontal="center" vertical="center"/>
    </xf>
    <xf numFmtId="0" fontId="0" fillId="0" borderId="33" xfId="0" applyBorder="1" applyAlignment="1"/>
    <xf numFmtId="0" fontId="15" fillId="0" borderId="17" xfId="0" applyFont="1" applyFill="1" applyBorder="1" applyAlignment="1" applyProtection="1"/>
    <xf numFmtId="168" fontId="14" fillId="2" borderId="74" xfId="0" applyNumberFormat="1" applyFont="1" applyFill="1" applyBorder="1" applyAlignment="1" applyProtection="1">
      <alignment horizontal="right"/>
    </xf>
    <xf numFmtId="164" fontId="8" fillId="0" borderId="4" xfId="28" applyNumberFormat="1" applyFont="1" applyFill="1" applyBorder="1" applyAlignment="1" applyProtection="1">
      <alignment horizontal="right" vertical="center"/>
    </xf>
    <xf numFmtId="0" fontId="0" fillId="0" borderId="4" xfId="0" applyBorder="1" applyAlignment="1"/>
    <xf numFmtId="0" fontId="42" fillId="0" borderId="0" xfId="0" applyFont="1" applyBorder="1"/>
    <xf numFmtId="0" fontId="43" fillId="0" borderId="0" xfId="0" applyFont="1" applyBorder="1"/>
    <xf numFmtId="0" fontId="42" fillId="0" borderId="0" xfId="0" applyFont="1" applyFill="1" applyBorder="1" applyAlignment="1">
      <alignment vertical="top" wrapText="1"/>
    </xf>
    <xf numFmtId="0" fontId="43" fillId="0" borderId="0" xfId="0" applyFont="1" applyFill="1" applyBorder="1" applyAlignment="1">
      <alignment vertical="top" wrapText="1"/>
    </xf>
    <xf numFmtId="164" fontId="4" fillId="0" borderId="1" xfId="0" applyNumberFormat="1" applyFont="1" applyBorder="1" applyAlignment="1">
      <alignment horizontal="center"/>
    </xf>
    <xf numFmtId="0" fontId="44" fillId="0" borderId="0" xfId="0" applyFont="1"/>
    <xf numFmtId="0" fontId="46" fillId="0" borderId="0" xfId="0" applyFont="1" applyFill="1" applyBorder="1"/>
    <xf numFmtId="0" fontId="46" fillId="0" borderId="0" xfId="0" applyFont="1"/>
    <xf numFmtId="166" fontId="46" fillId="4" borderId="0" xfId="7" applyNumberFormat="1" applyFont="1" applyFill="1"/>
    <xf numFmtId="166" fontId="46" fillId="0" borderId="18" xfId="7" applyNumberFormat="1" applyFont="1" applyBorder="1"/>
    <xf numFmtId="166" fontId="46" fillId="5" borderId="0" xfId="7" applyNumberFormat="1" applyFont="1" applyFill="1" applyBorder="1"/>
    <xf numFmtId="166" fontId="46" fillId="0" borderId="0" xfId="7" applyNumberFormat="1" applyFont="1"/>
    <xf numFmtId="166" fontId="46" fillId="5" borderId="16" xfId="7" applyNumberFormat="1" applyFont="1" applyFill="1" applyBorder="1"/>
    <xf numFmtId="0" fontId="1" fillId="0" borderId="0" xfId="0" applyFont="1"/>
    <xf numFmtId="166" fontId="46" fillId="0" borderId="0" xfId="0" applyNumberFormat="1" applyFont="1"/>
    <xf numFmtId="166" fontId="46" fillId="14" borderId="0" xfId="7" applyNumberFormat="1" applyFont="1" applyFill="1"/>
    <xf numFmtId="166" fontId="46" fillId="5" borderId="16" xfId="0" applyNumberFormat="1" applyFont="1" applyFill="1" applyBorder="1"/>
    <xf numFmtId="166" fontId="46" fillId="4" borderId="0" xfId="0" applyNumberFormat="1" applyFont="1" applyFill="1"/>
    <xf numFmtId="0" fontId="46" fillId="0" borderId="0" xfId="0" applyFont="1" applyBorder="1"/>
    <xf numFmtId="0" fontId="45" fillId="0" borderId="0" xfId="11" applyFont="1" applyAlignment="1" applyProtection="1"/>
    <xf numFmtId="0" fontId="44" fillId="0" borderId="45" xfId="16" applyFont="1" applyBorder="1" applyAlignment="1" applyProtection="1">
      <alignment horizontal="center" vertical="center" wrapText="1"/>
    </xf>
    <xf numFmtId="0" fontId="44" fillId="0" borderId="30" xfId="16" applyFont="1" applyBorder="1" applyAlignment="1" applyProtection="1">
      <alignment horizontal="center" vertical="center" wrapText="1"/>
    </xf>
    <xf numFmtId="0" fontId="44" fillId="0" borderId="29" xfId="16" applyFont="1" applyBorder="1" applyAlignment="1" applyProtection="1">
      <alignment horizontal="center" vertical="center" wrapText="1"/>
    </xf>
    <xf numFmtId="0" fontId="44" fillId="0" borderId="65" xfId="16" applyFont="1" applyBorder="1" applyAlignment="1" applyProtection="1">
      <alignment horizontal="center" vertical="center" wrapText="1"/>
    </xf>
    <xf numFmtId="0" fontId="44" fillId="0" borderId="38" xfId="16" applyFont="1" applyBorder="1" applyAlignment="1" applyProtection="1">
      <alignment horizontal="center" vertical="center" wrapText="1"/>
    </xf>
    <xf numFmtId="0" fontId="44" fillId="0" borderId="31" xfId="16" applyFont="1" applyBorder="1" applyAlignment="1" applyProtection="1">
      <alignment horizontal="center" vertical="center" wrapText="1"/>
    </xf>
    <xf numFmtId="0" fontId="44" fillId="0" borderId="44" xfId="16" applyFont="1" applyBorder="1" applyAlignment="1" applyProtection="1">
      <alignment horizontal="center" vertical="center" wrapText="1"/>
    </xf>
    <xf numFmtId="0" fontId="44" fillId="0" borderId="0" xfId="16" applyFont="1" applyProtection="1"/>
    <xf numFmtId="0" fontId="44" fillId="0" borderId="69" xfId="16" applyFont="1" applyBorder="1" applyAlignment="1" applyProtection="1">
      <alignment horizontal="centerContinuous" vertical="center"/>
    </xf>
    <xf numFmtId="0" fontId="44" fillId="0" borderId="48" xfId="16" applyFont="1" applyBorder="1" applyAlignment="1" applyProtection="1">
      <alignment horizontal="centerContinuous" vertical="center"/>
    </xf>
    <xf numFmtId="0" fontId="44" fillId="0" borderId="67" xfId="16" applyFont="1" applyBorder="1" applyAlignment="1" applyProtection="1">
      <alignment horizontal="centerContinuous" vertical="center"/>
    </xf>
    <xf numFmtId="0" fontId="44" fillId="0" borderId="81" xfId="16" applyFont="1" applyBorder="1" applyAlignment="1" applyProtection="1">
      <alignment horizontal="centerContinuous" vertical="center"/>
    </xf>
    <xf numFmtId="0" fontId="44" fillId="0" borderId="82" xfId="16" applyFont="1" applyBorder="1" applyAlignment="1" applyProtection="1">
      <alignment horizontal="centerContinuous" vertical="center"/>
    </xf>
    <xf numFmtId="0" fontId="44" fillId="0" borderId="49" xfId="16" applyFont="1" applyBorder="1" applyAlignment="1" applyProtection="1">
      <alignment horizontal="center" vertical="center" wrapText="1"/>
    </xf>
    <xf numFmtId="0" fontId="44" fillId="0" borderId="3" xfId="16" applyFont="1" applyBorder="1" applyAlignment="1" applyProtection="1">
      <alignment horizontal="center" vertical="center" wrapText="1"/>
    </xf>
    <xf numFmtId="0" fontId="44" fillId="0" borderId="57" xfId="16" applyFont="1" applyBorder="1" applyAlignment="1" applyProtection="1">
      <alignment horizontal="center" vertical="center" wrapText="1"/>
    </xf>
    <xf numFmtId="0" fontId="44" fillId="0" borderId="12" xfId="16" applyFont="1" applyBorder="1" applyAlignment="1" applyProtection="1">
      <alignment horizontal="center" vertical="center" wrapText="1"/>
    </xf>
    <xf numFmtId="0" fontId="44" fillId="0" borderId="27" xfId="16" applyFont="1" applyBorder="1" applyAlignment="1" applyProtection="1">
      <alignment horizontal="center" vertical="center" wrapText="1"/>
    </xf>
    <xf numFmtId="0" fontId="44" fillId="0" borderId="4" xfId="16" applyFont="1" applyBorder="1" applyAlignment="1" applyProtection="1">
      <alignment horizontal="center" vertical="center" wrapText="1"/>
    </xf>
    <xf numFmtId="0" fontId="44" fillId="0" borderId="28" xfId="16" applyFont="1" applyBorder="1" applyAlignment="1" applyProtection="1">
      <alignment horizontal="center" vertical="center" wrapText="1"/>
    </xf>
    <xf numFmtId="0" fontId="1" fillId="0" borderId="50" xfId="16" applyNumberFormat="1" applyFont="1" applyBorder="1" applyAlignment="1" applyProtection="1">
      <alignment horizontal="center" wrapText="1"/>
    </xf>
    <xf numFmtId="167" fontId="44" fillId="10" borderId="27" xfId="16" applyNumberFormat="1" applyFont="1" applyFill="1" applyBorder="1" applyAlignment="1" applyProtection="1">
      <alignment horizontal="center" vertical="center"/>
    </xf>
    <xf numFmtId="167" fontId="44" fillId="10" borderId="4" xfId="16" applyNumberFormat="1" applyFont="1" applyFill="1" applyBorder="1" applyAlignment="1" applyProtection="1">
      <alignment horizontal="center" vertical="center"/>
    </xf>
    <xf numFmtId="167" fontId="44" fillId="10" borderId="28" xfId="16" applyNumberFormat="1" applyFont="1" applyFill="1" applyBorder="1" applyAlignment="1" applyProtection="1">
      <alignment horizontal="center" vertical="center"/>
    </xf>
    <xf numFmtId="167" fontId="44" fillId="10" borderId="5" xfId="16" applyNumberFormat="1" applyFont="1" applyFill="1" applyBorder="1" applyAlignment="1" applyProtection="1">
      <alignment horizontal="center" vertical="center"/>
    </xf>
    <xf numFmtId="0" fontId="1" fillId="0" borderId="58" xfId="16" applyNumberFormat="1" applyFont="1" applyBorder="1" applyAlignment="1" applyProtection="1">
      <alignment horizontal="center" wrapText="1"/>
    </xf>
    <xf numFmtId="0" fontId="44" fillId="0" borderId="37" xfId="16" applyFont="1" applyBorder="1" applyAlignment="1" applyProtection="1">
      <alignment horizontal="left" indent="1"/>
    </xf>
    <xf numFmtId="0" fontId="44" fillId="0" borderId="9" xfId="16" applyFont="1" applyBorder="1" applyAlignment="1" applyProtection="1">
      <alignment horizontal="center"/>
    </xf>
    <xf numFmtId="0" fontId="1" fillId="0" borderId="9" xfId="16" applyNumberFormat="1" applyFont="1" applyBorder="1" applyAlignment="1" applyProtection="1">
      <alignment horizontal="center" wrapText="1"/>
    </xf>
    <xf numFmtId="0" fontId="1" fillId="0" borderId="42" xfId="16" applyNumberFormat="1" applyFont="1" applyBorder="1" applyAlignment="1" applyProtection="1">
      <alignment horizontal="center" wrapText="1"/>
    </xf>
    <xf numFmtId="0" fontId="44" fillId="0" borderId="0" xfId="16" applyFont="1" applyBorder="1" applyAlignment="1" applyProtection="1">
      <alignment horizontal="left" wrapText="1" indent="1"/>
    </xf>
    <xf numFmtId="0" fontId="44" fillId="0" borderId="0" xfId="16" applyFont="1" applyAlignment="1" applyProtection="1">
      <alignment horizontal="left" wrapText="1" indent="1"/>
    </xf>
    <xf numFmtId="0" fontId="1" fillId="0" borderId="0" xfId="16" applyNumberFormat="1" applyFont="1" applyAlignment="1" applyProtection="1">
      <alignment horizontal="center" wrapText="1"/>
    </xf>
    <xf numFmtId="0" fontId="44" fillId="0" borderId="6" xfId="16" applyFont="1" applyBorder="1" applyAlignment="1" applyProtection="1">
      <alignment horizontal="center"/>
    </xf>
    <xf numFmtId="0" fontId="44" fillId="0" borderId="17" xfId="16" applyFont="1" applyBorder="1" applyAlignment="1" applyProtection="1">
      <alignment horizontal="left" indent="1"/>
    </xf>
    <xf numFmtId="0" fontId="1" fillId="0" borderId="0" xfId="16" applyFont="1" applyBorder="1" applyProtection="1"/>
    <xf numFmtId="0" fontId="44" fillId="0" borderId="5" xfId="16" applyFont="1" applyBorder="1" applyAlignment="1" applyProtection="1">
      <alignment horizontal="center" vertical="center" wrapText="1"/>
    </xf>
    <xf numFmtId="0" fontId="44" fillId="0" borderId="49" xfId="16" applyFont="1" applyFill="1" applyBorder="1" applyAlignment="1" applyProtection="1">
      <alignment horizontal="center" vertical="center"/>
    </xf>
    <xf numFmtId="0" fontId="44" fillId="0" borderId="3" xfId="16" applyFont="1" applyFill="1" applyBorder="1" applyAlignment="1" applyProtection="1">
      <alignment horizontal="center" vertical="center"/>
    </xf>
    <xf numFmtId="0" fontId="44" fillId="0" borderId="57" xfId="16" applyFont="1" applyFill="1" applyBorder="1" applyAlignment="1" applyProtection="1">
      <alignment horizontal="center" vertical="center"/>
    </xf>
    <xf numFmtId="0" fontId="44" fillId="0" borderId="12" xfId="16" applyFont="1" applyFill="1" applyBorder="1" applyAlignment="1" applyProtection="1">
      <alignment horizontal="center" vertical="center"/>
    </xf>
    <xf numFmtId="9" fontId="1" fillId="0" borderId="22" xfId="33" applyFont="1" applyBorder="1" applyAlignment="1" applyProtection="1">
      <alignment horizontal="center" vertical="center"/>
    </xf>
    <xf numFmtId="164" fontId="44" fillId="10" borderId="28" xfId="16" applyNumberFormat="1" applyFont="1" applyFill="1" applyBorder="1" applyAlignment="1" applyProtection="1">
      <alignment horizontal="center" vertical="center"/>
    </xf>
    <xf numFmtId="0" fontId="44" fillId="0" borderId="4" xfId="16" applyFont="1" applyBorder="1" applyAlignment="1" applyProtection="1">
      <alignment horizontal="center" vertical="center"/>
    </xf>
    <xf numFmtId="0" fontId="44" fillId="0" borderId="7" xfId="16" applyFont="1" applyBorder="1" applyAlignment="1" applyProtection="1">
      <alignment horizontal="center" vertical="center"/>
    </xf>
    <xf numFmtId="0" fontId="44" fillId="0" borderId="27" xfId="16" applyFont="1" applyBorder="1" applyAlignment="1" applyProtection="1">
      <alignment horizontal="center" vertical="center"/>
    </xf>
    <xf numFmtId="0" fontId="44" fillId="0" borderId="28" xfId="16" applyFont="1" applyBorder="1" applyAlignment="1" applyProtection="1">
      <alignment horizontal="center" vertical="center"/>
    </xf>
    <xf numFmtId="0" fontId="1" fillId="0" borderId="0" xfId="16" applyFont="1" applyProtection="1"/>
    <xf numFmtId="0" fontId="1" fillId="0" borderId="67" xfId="13" applyFont="1" applyBorder="1" applyAlignment="1" applyProtection="1">
      <alignment horizontal="centerContinuous" vertical="center"/>
    </xf>
    <xf numFmtId="0" fontId="1" fillId="0" borderId="81" xfId="13" applyFont="1" applyBorder="1" applyAlignment="1" applyProtection="1">
      <alignment horizontal="centerContinuous" vertical="center"/>
    </xf>
    <xf numFmtId="0" fontId="1" fillId="0" borderId="82" xfId="13" applyFont="1" applyBorder="1" applyAlignment="1" applyProtection="1">
      <alignment horizontal="centerContinuous" vertical="center"/>
    </xf>
    <xf numFmtId="0" fontId="1" fillId="0" borderId="27" xfId="13" applyFont="1" applyBorder="1" applyAlignment="1" applyProtection="1">
      <alignment horizontal="center"/>
    </xf>
    <xf numFmtId="0" fontId="1" fillId="0" borderId="4" xfId="13" applyFont="1" applyBorder="1" applyAlignment="1" applyProtection="1">
      <alignment horizontal="center"/>
    </xf>
    <xf numFmtId="0" fontId="1" fillId="0" borderId="28" xfId="13" applyFont="1" applyBorder="1" applyAlignment="1" applyProtection="1">
      <alignment horizontal="center"/>
    </xf>
    <xf numFmtId="0" fontId="1" fillId="0" borderId="47" xfId="16" applyFont="1" applyBorder="1" applyAlignment="1" applyProtection="1">
      <alignment horizontal="centerContinuous" vertical="center"/>
    </xf>
    <xf numFmtId="0" fontId="1" fillId="0" borderId="48" xfId="16" applyFont="1" applyBorder="1" applyAlignment="1" applyProtection="1">
      <alignment horizontal="centerContinuous" vertical="center"/>
    </xf>
    <xf numFmtId="0" fontId="1" fillId="0" borderId="17" xfId="16" applyFont="1" applyFill="1" applyBorder="1" applyAlignment="1" applyProtection="1">
      <alignment horizontal="center" vertical="center"/>
    </xf>
    <xf numFmtId="0" fontId="1" fillId="0" borderId="0" xfId="16" applyFont="1" applyFill="1" applyBorder="1" applyAlignment="1" applyProtection="1">
      <alignment horizontal="center" vertical="center"/>
    </xf>
    <xf numFmtId="0" fontId="1" fillId="0" borderId="22" xfId="16" applyFont="1" applyFill="1" applyBorder="1" applyAlignment="1" applyProtection="1">
      <alignment horizontal="center" vertical="center"/>
    </xf>
    <xf numFmtId="0" fontId="1" fillId="0" borderId="0" xfId="16" applyFont="1" applyBorder="1" applyAlignment="1" applyProtection="1">
      <alignment horizontal="center" vertical="center"/>
    </xf>
    <xf numFmtId="0" fontId="1" fillId="0" borderId="22" xfId="16" applyFont="1" applyBorder="1" applyAlignment="1" applyProtection="1">
      <alignment horizontal="center" vertical="center"/>
    </xf>
    <xf numFmtId="167" fontId="1" fillId="10" borderId="27" xfId="16" applyNumberFormat="1" applyFont="1" applyFill="1" applyBorder="1" applyAlignment="1" applyProtection="1">
      <alignment horizontal="center" vertical="center"/>
    </xf>
    <xf numFmtId="167" fontId="1" fillId="10" borderId="4" xfId="16" applyNumberFormat="1" applyFont="1" applyFill="1" applyBorder="1" applyAlignment="1" applyProtection="1">
      <alignment horizontal="center" vertical="center"/>
    </xf>
    <xf numFmtId="167" fontId="1" fillId="10" borderId="28" xfId="16" applyNumberFormat="1" applyFont="1" applyFill="1" applyBorder="1" applyAlignment="1" applyProtection="1">
      <alignment horizontal="center" vertical="center"/>
    </xf>
    <xf numFmtId="1" fontId="44" fillId="0" borderId="69" xfId="25" applyNumberFormat="1" applyFont="1" applyBorder="1" applyAlignment="1" applyProtection="1">
      <alignment horizontal="centerContinuous" wrapText="1"/>
    </xf>
    <xf numFmtId="1" fontId="44" fillId="0" borderId="55" xfId="25" applyNumberFormat="1" applyFont="1" applyBorder="1" applyAlignment="1" applyProtection="1">
      <alignment horizontal="center" vertical="center" wrapText="1"/>
    </xf>
    <xf numFmtId="1" fontId="44" fillId="0" borderId="56" xfId="25" applyNumberFormat="1" applyFont="1" applyBorder="1" applyAlignment="1" applyProtection="1">
      <alignment horizontal="center" vertical="center" wrapText="1"/>
    </xf>
    <xf numFmtId="1" fontId="44" fillId="0" borderId="20" xfId="25" applyNumberFormat="1" applyFont="1" applyBorder="1" applyProtection="1"/>
    <xf numFmtId="1" fontId="44" fillId="0" borderId="21" xfId="25" applyNumberFormat="1" applyFont="1" applyBorder="1" applyProtection="1"/>
    <xf numFmtId="1" fontId="44" fillId="0" borderId="40" xfId="25" applyNumberFormat="1" applyFont="1" applyBorder="1" applyAlignment="1" applyProtection="1">
      <alignment horizontal="center"/>
    </xf>
    <xf numFmtId="1" fontId="44" fillId="0" borderId="58" xfId="25" applyNumberFormat="1" applyFont="1" applyBorder="1" applyAlignment="1" applyProtection="1">
      <alignment horizontal="center"/>
    </xf>
    <xf numFmtId="1" fontId="1" fillId="0" borderId="17" xfId="25" applyNumberFormat="1" applyFont="1" applyFill="1" applyBorder="1" applyProtection="1"/>
    <xf numFmtId="0" fontId="44" fillId="0" borderId="0" xfId="25" applyFont="1" applyBorder="1" applyAlignment="1" applyProtection="1"/>
    <xf numFmtId="0" fontId="1" fillId="0" borderId="0" xfId="25" applyFont="1" applyBorder="1" applyProtection="1"/>
    <xf numFmtId="1" fontId="1" fillId="0" borderId="46" xfId="26" applyNumberFormat="1" applyFont="1" applyFill="1" applyBorder="1" applyAlignment="1" applyProtection="1">
      <alignment horizontal="center"/>
    </xf>
    <xf numFmtId="0" fontId="1" fillId="0" borderId="34" xfId="0" applyFont="1" applyBorder="1" applyAlignment="1" applyProtection="1"/>
    <xf numFmtId="0" fontId="1" fillId="0" borderId="46" xfId="0" applyFont="1" applyBorder="1" applyAlignment="1" applyProtection="1"/>
    <xf numFmtId="0" fontId="44" fillId="0" borderId="0" xfId="25" applyFont="1" applyBorder="1" applyProtection="1"/>
    <xf numFmtId="1" fontId="1" fillId="0" borderId="50" xfId="26" applyNumberFormat="1" applyFont="1" applyBorder="1" applyProtection="1"/>
    <xf numFmtId="0" fontId="1" fillId="0" borderId="37" xfId="0" applyFont="1" applyBorder="1" applyAlignment="1" applyProtection="1"/>
    <xf numFmtId="0" fontId="1" fillId="0" borderId="50" xfId="0" applyFont="1" applyBorder="1" applyAlignment="1" applyProtection="1"/>
    <xf numFmtId="0" fontId="1" fillId="0" borderId="17" xfId="25" applyFont="1" applyBorder="1" applyProtection="1"/>
    <xf numFmtId="0" fontId="1" fillId="0" borderId="50" xfId="26" applyFont="1" applyBorder="1" applyAlignment="1" applyProtection="1">
      <alignment horizontal="center"/>
    </xf>
    <xf numFmtId="2" fontId="1" fillId="0" borderId="37" xfId="0" applyNumberFormat="1" applyFont="1" applyBorder="1" applyAlignment="1" applyProtection="1">
      <alignment horizontal="center" vertical="center"/>
    </xf>
    <xf numFmtId="2" fontId="1" fillId="0" borderId="50" xfId="0" applyNumberFormat="1" applyFont="1" applyBorder="1" applyAlignment="1" applyProtection="1">
      <alignment horizontal="center" vertical="center"/>
    </xf>
    <xf numFmtId="2" fontId="1" fillId="11" borderId="27" xfId="27" applyNumberFormat="1" applyFont="1" applyFill="1" applyBorder="1" applyAlignment="1" applyProtection="1">
      <alignment horizontal="center" vertical="center"/>
    </xf>
    <xf numFmtId="2" fontId="1" fillId="11" borderId="28" xfId="27" applyNumberFormat="1" applyFont="1" applyFill="1" applyBorder="1" applyAlignment="1" applyProtection="1">
      <alignment horizontal="center" vertical="center"/>
    </xf>
    <xf numFmtId="2" fontId="1" fillId="0" borderId="40" xfId="0" applyNumberFormat="1" applyFont="1" applyBorder="1" applyAlignment="1" applyProtection="1">
      <alignment horizontal="center" vertical="center"/>
    </xf>
    <xf numFmtId="2" fontId="1" fillId="0" borderId="58" xfId="0" applyNumberFormat="1" applyFont="1" applyBorder="1" applyAlignment="1" applyProtection="1">
      <alignment horizontal="center" vertical="center"/>
    </xf>
    <xf numFmtId="0" fontId="1" fillId="0" borderId="13" xfId="25" applyFont="1" applyBorder="1" applyProtection="1"/>
    <xf numFmtId="0" fontId="44" fillId="0" borderId="14" xfId="25" applyFont="1" applyBorder="1" applyAlignment="1" applyProtection="1"/>
    <xf numFmtId="0" fontId="1" fillId="0" borderId="0" xfId="22" applyFont="1" applyAlignment="1" applyProtection="1"/>
    <xf numFmtId="0" fontId="1" fillId="0" borderId="50" xfId="26" applyFont="1" applyFill="1" applyBorder="1" applyAlignment="1" applyProtection="1">
      <alignment horizontal="center"/>
    </xf>
    <xf numFmtId="2" fontId="1" fillId="0" borderId="29" xfId="0" applyNumberFormat="1" applyFont="1" applyBorder="1" applyAlignment="1" applyProtection="1">
      <alignment horizontal="center" vertical="center"/>
    </xf>
    <xf numFmtId="2" fontId="1" fillId="0" borderId="31" xfId="0" applyNumberFormat="1" applyFont="1" applyBorder="1" applyAlignment="1" applyProtection="1">
      <alignment horizontal="center" vertical="center"/>
    </xf>
    <xf numFmtId="0" fontId="1" fillId="0" borderId="29" xfId="0" applyFont="1" applyBorder="1" applyAlignment="1" applyProtection="1"/>
    <xf numFmtId="0" fontId="1" fillId="0" borderId="31" xfId="0" applyFont="1" applyBorder="1" applyAlignment="1" applyProtection="1"/>
    <xf numFmtId="1" fontId="1" fillId="0" borderId="13" xfId="25" applyNumberFormat="1" applyFont="1" applyFill="1" applyBorder="1" applyProtection="1"/>
    <xf numFmtId="0" fontId="44" fillId="0" borderId="14" xfId="25" applyFont="1" applyBorder="1" applyProtection="1"/>
    <xf numFmtId="0" fontId="1" fillId="0" borderId="14" xfId="25" applyFont="1" applyBorder="1" applyProtection="1"/>
    <xf numFmtId="0" fontId="1" fillId="0" borderId="46" xfId="26" applyFont="1" applyBorder="1" applyAlignment="1" applyProtection="1">
      <alignment horizontal="center"/>
    </xf>
    <xf numFmtId="2" fontId="1" fillId="0" borderId="34" xfId="0" applyNumberFormat="1" applyFont="1" applyBorder="1" applyAlignment="1" applyProtection="1">
      <alignment horizontal="center" vertical="center"/>
    </xf>
    <xf numFmtId="2" fontId="1" fillId="0" borderId="46" xfId="0" applyNumberFormat="1" applyFont="1" applyBorder="1" applyAlignment="1" applyProtection="1">
      <alignment horizontal="center" vertical="center"/>
    </xf>
    <xf numFmtId="0" fontId="1" fillId="0" borderId="0" xfId="25" applyFont="1" applyBorder="1" applyAlignment="1" applyProtection="1">
      <alignment horizontal="left" indent="1"/>
    </xf>
    <xf numFmtId="0" fontId="1" fillId="0" borderId="20" xfId="25" applyFont="1" applyBorder="1" applyProtection="1"/>
    <xf numFmtId="0" fontId="1" fillId="0" borderId="21" xfId="25" applyFont="1" applyBorder="1" applyProtection="1"/>
    <xf numFmtId="0" fontId="44" fillId="0" borderId="21" xfId="25" applyFont="1" applyBorder="1" applyProtection="1"/>
    <xf numFmtId="0" fontId="1" fillId="0" borderId="21" xfId="25" applyFont="1" applyBorder="1" applyAlignment="1" applyProtection="1">
      <alignment horizontal="left" indent="1"/>
    </xf>
    <xf numFmtId="0" fontId="1" fillId="0" borderId="58" xfId="26" applyFont="1" applyBorder="1" applyAlignment="1" applyProtection="1">
      <alignment horizontal="center"/>
    </xf>
    <xf numFmtId="0" fontId="47" fillId="0" borderId="0" xfId="0" applyFont="1" applyBorder="1"/>
    <xf numFmtId="0" fontId="47" fillId="0" borderId="0" xfId="0" applyFont="1" applyFill="1" applyBorder="1" applyAlignment="1">
      <alignment vertical="top" wrapText="1"/>
    </xf>
    <xf numFmtId="0" fontId="50" fillId="12" borderId="0" xfId="31" applyFont="1" applyFill="1" applyBorder="1" applyAlignment="1" applyProtection="1"/>
    <xf numFmtId="0" fontId="8" fillId="12" borderId="0" xfId="19" applyFont="1" applyFill="1" applyBorder="1" applyAlignment="1" applyProtection="1"/>
    <xf numFmtId="0" fontId="8" fillId="12" borderId="0" xfId="19" applyFont="1" applyFill="1" applyBorder="1" applyAlignment="1" applyProtection="1">
      <alignment horizontal="center"/>
    </xf>
    <xf numFmtId="0" fontId="8" fillId="12" borderId="0" xfId="19" applyFont="1" applyFill="1" applyBorder="1" applyAlignment="1" applyProtection="1">
      <alignment horizontal="center" vertical="center"/>
    </xf>
    <xf numFmtId="0" fontId="48" fillId="12" borderId="0" xfId="19" applyFill="1" applyBorder="1" applyAlignment="1" applyProtection="1">
      <alignment horizontal="center" vertical="center"/>
    </xf>
    <xf numFmtId="0" fontId="51" fillId="12" borderId="0" xfId="19" applyFont="1" applyFill="1" applyBorder="1" applyAlignment="1" applyProtection="1">
      <alignment horizontal="center" vertical="center"/>
    </xf>
    <xf numFmtId="0" fontId="48" fillId="12" borderId="0" xfId="19" applyFill="1" applyBorder="1" applyAlignment="1" applyProtection="1"/>
    <xf numFmtId="0" fontId="6" fillId="12" borderId="0" xfId="31" applyFill="1" applyBorder="1" applyProtection="1"/>
    <xf numFmtId="0" fontId="52" fillId="12" borderId="0" xfId="19" applyFont="1" applyFill="1" applyBorder="1" applyAlignment="1" applyProtection="1">
      <alignment horizontal="left"/>
    </xf>
    <xf numFmtId="0" fontId="48" fillId="12" borderId="0" xfId="19" applyFill="1" applyBorder="1" applyAlignment="1" applyProtection="1">
      <alignment horizontal="center"/>
    </xf>
    <xf numFmtId="0" fontId="52" fillId="12" borderId="21" xfId="19" applyFont="1" applyFill="1" applyBorder="1" applyAlignment="1" applyProtection="1">
      <alignment horizontal="left"/>
    </xf>
    <xf numFmtId="0" fontId="48" fillId="12" borderId="21" xfId="19" applyFill="1" applyBorder="1" applyAlignment="1" applyProtection="1"/>
    <xf numFmtId="0" fontId="48" fillId="12" borderId="21" xfId="19" applyFill="1" applyBorder="1" applyAlignment="1" applyProtection="1">
      <alignment horizontal="center"/>
    </xf>
    <xf numFmtId="0" fontId="48" fillId="12" borderId="21" xfId="19" applyFill="1" applyBorder="1" applyAlignment="1" applyProtection="1">
      <alignment horizontal="center" vertical="center"/>
    </xf>
    <xf numFmtId="0" fontId="6" fillId="12" borderId="21" xfId="31" applyFill="1" applyBorder="1" applyProtection="1"/>
    <xf numFmtId="0" fontId="48" fillId="0" borderId="0" xfId="19" applyProtection="1"/>
    <xf numFmtId="0" fontId="48" fillId="0" borderId="0" xfId="19" applyAlignment="1" applyProtection="1">
      <alignment horizontal="center"/>
    </xf>
    <xf numFmtId="0" fontId="48" fillId="0" borderId="0" xfId="19" applyAlignment="1" applyProtection="1">
      <alignment horizontal="center" vertical="center"/>
    </xf>
    <xf numFmtId="0" fontId="6" fillId="0" borderId="0" xfId="31" applyProtection="1"/>
    <xf numFmtId="0" fontId="44" fillId="0" borderId="0" xfId="19" applyFont="1" applyProtection="1"/>
    <xf numFmtId="0" fontId="44" fillId="0" borderId="34" xfId="19" applyFont="1" applyBorder="1" applyProtection="1"/>
    <xf numFmtId="0" fontId="44" fillId="0" borderId="69" xfId="19" applyFont="1" applyBorder="1" applyAlignment="1" applyProtection="1">
      <alignment horizontal="centerContinuous" vertical="center"/>
    </xf>
    <xf numFmtId="0" fontId="44" fillId="0" borderId="48" xfId="19" applyFont="1" applyBorder="1" applyAlignment="1" applyProtection="1">
      <alignment horizontal="centerContinuous" vertical="center"/>
    </xf>
    <xf numFmtId="0" fontId="48" fillId="0" borderId="47" xfId="19" applyBorder="1" applyAlignment="1" applyProtection="1">
      <alignment horizontal="centerContinuous" vertical="center"/>
    </xf>
    <xf numFmtId="0" fontId="48" fillId="0" borderId="48" xfId="19" applyBorder="1" applyAlignment="1" applyProtection="1">
      <alignment horizontal="centerContinuous" vertical="center"/>
    </xf>
    <xf numFmtId="0" fontId="44" fillId="0" borderId="67" xfId="19" applyFont="1" applyBorder="1" applyAlignment="1" applyProtection="1">
      <alignment horizontal="centerContinuous" vertical="center"/>
    </xf>
    <xf numFmtId="0" fontId="44" fillId="0" borderId="81" xfId="19" applyFont="1" applyBorder="1" applyAlignment="1" applyProtection="1">
      <alignment horizontal="centerContinuous" vertical="center"/>
    </xf>
    <xf numFmtId="0" fontId="44" fillId="0" borderId="82" xfId="19" applyFont="1" applyBorder="1" applyAlignment="1" applyProtection="1">
      <alignment horizontal="centerContinuous" vertical="center"/>
    </xf>
    <xf numFmtId="0" fontId="48" fillId="0" borderId="49" xfId="19" applyBorder="1" applyProtection="1"/>
    <xf numFmtId="0" fontId="44" fillId="0" borderId="49" xfId="19" applyFont="1" applyBorder="1" applyAlignment="1" applyProtection="1">
      <alignment horizontal="center" vertical="center" wrapText="1"/>
    </xf>
    <xf numFmtId="0" fontId="44" fillId="0" borderId="3" xfId="19" applyFont="1" applyBorder="1" applyAlignment="1" applyProtection="1">
      <alignment horizontal="center" vertical="center" wrapText="1"/>
    </xf>
    <xf numFmtId="0" fontId="44" fillId="0" borderId="57" xfId="19" applyFont="1" applyBorder="1" applyAlignment="1" applyProtection="1">
      <alignment horizontal="center" vertical="center" wrapText="1"/>
    </xf>
    <xf numFmtId="0" fontId="44" fillId="0" borderId="12" xfId="19" applyFont="1" applyBorder="1" applyAlignment="1" applyProtection="1">
      <alignment horizontal="center" vertical="center" wrapText="1"/>
    </xf>
    <xf numFmtId="0" fontId="44" fillId="0" borderId="27" xfId="19" applyFont="1" applyBorder="1" applyAlignment="1" applyProtection="1">
      <alignment horizontal="center" vertical="center" wrapText="1"/>
    </xf>
    <xf numFmtId="0" fontId="44" fillId="0" borderId="4" xfId="19" applyFont="1" applyBorder="1" applyAlignment="1" applyProtection="1">
      <alignment horizontal="center" vertical="center" wrapText="1"/>
    </xf>
    <xf numFmtId="0" fontId="44" fillId="0" borderId="28" xfId="19" applyFont="1" applyBorder="1" applyAlignment="1" applyProtection="1">
      <alignment horizontal="center" vertical="center" wrapText="1"/>
    </xf>
    <xf numFmtId="0" fontId="48" fillId="0" borderId="17" xfId="19" applyBorder="1" applyProtection="1"/>
    <xf numFmtId="0" fontId="48" fillId="0" borderId="50" xfId="19" applyNumberFormat="1" applyFont="1" applyBorder="1" applyAlignment="1" applyProtection="1">
      <alignment horizontal="center" wrapText="1"/>
    </xf>
    <xf numFmtId="167" fontId="48" fillId="15" borderId="12" xfId="19" applyNumberFormat="1" applyFont="1" applyFill="1" applyBorder="1" applyAlignment="1" applyProtection="1">
      <alignment horizontal="center" vertical="center"/>
    </xf>
    <xf numFmtId="167" fontId="48" fillId="15" borderId="57" xfId="19" applyNumberFormat="1" applyFont="1" applyFill="1" applyBorder="1" applyAlignment="1" applyProtection="1">
      <alignment horizontal="center" vertical="center"/>
    </xf>
    <xf numFmtId="167" fontId="48" fillId="15" borderId="3" xfId="19" applyNumberFormat="1" applyFont="1" applyFill="1" applyBorder="1" applyAlignment="1" applyProtection="1">
      <alignment horizontal="center" vertical="center"/>
    </xf>
    <xf numFmtId="167" fontId="48" fillId="10" borderId="27" xfId="19" applyNumberFormat="1" applyFill="1" applyBorder="1" applyAlignment="1" applyProtection="1">
      <alignment horizontal="center" vertical="center"/>
    </xf>
    <xf numFmtId="167" fontId="48" fillId="10" borderId="4" xfId="19" applyNumberFormat="1" applyFill="1" applyBorder="1" applyAlignment="1" applyProtection="1">
      <alignment horizontal="center" vertical="center"/>
    </xf>
    <xf numFmtId="167" fontId="48" fillId="10" borderId="28" xfId="19" applyNumberFormat="1" applyFill="1" applyBorder="1" applyAlignment="1" applyProtection="1">
      <alignment horizontal="center" vertical="center"/>
    </xf>
    <xf numFmtId="164" fontId="48" fillId="10" borderId="28" xfId="33" applyNumberFormat="1" applyFont="1" applyFill="1" applyBorder="1" applyAlignment="1" applyProtection="1">
      <alignment horizontal="center" vertical="center"/>
    </xf>
    <xf numFmtId="167" fontId="48" fillId="15" borderId="49" xfId="19" applyNumberFormat="1" applyFont="1" applyFill="1" applyBorder="1" applyAlignment="1" applyProtection="1">
      <alignment horizontal="center" vertical="center"/>
    </xf>
    <xf numFmtId="0" fontId="48" fillId="0" borderId="17" xfId="19" applyFill="1" applyBorder="1" applyProtection="1"/>
    <xf numFmtId="167" fontId="44" fillId="10" borderId="27" xfId="19" applyNumberFormat="1" applyFont="1" applyFill="1" applyBorder="1" applyAlignment="1" applyProtection="1">
      <alignment horizontal="center" vertical="center"/>
    </xf>
    <xf numFmtId="167" fontId="44" fillId="10" borderId="4" xfId="19" applyNumberFormat="1" applyFont="1" applyFill="1" applyBorder="1" applyAlignment="1" applyProtection="1">
      <alignment horizontal="center" vertical="center"/>
    </xf>
    <xf numFmtId="167" fontId="44" fillId="10" borderId="28" xfId="19" applyNumberFormat="1" applyFont="1" applyFill="1" applyBorder="1" applyAlignment="1" applyProtection="1">
      <alignment horizontal="center" vertical="center"/>
    </xf>
    <xf numFmtId="167" fontId="44" fillId="10" borderId="5" xfId="19" applyNumberFormat="1" applyFont="1" applyFill="1" applyBorder="1" applyAlignment="1" applyProtection="1">
      <alignment horizontal="center" vertical="center"/>
    </xf>
    <xf numFmtId="167" fontId="27" fillId="9" borderId="27" xfId="19" applyNumberFormat="1" applyFont="1" applyFill="1" applyBorder="1" applyAlignment="1" applyProtection="1">
      <alignment horizontal="center" vertical="center"/>
      <protection locked="0"/>
    </xf>
    <xf numFmtId="167" fontId="44" fillId="10" borderId="55" xfId="19" applyNumberFormat="1" applyFont="1" applyFill="1" applyBorder="1" applyAlignment="1" applyProtection="1">
      <alignment horizontal="center" vertical="center"/>
    </xf>
    <xf numFmtId="167" fontId="44" fillId="10" borderId="8" xfId="19" applyNumberFormat="1" applyFont="1" applyFill="1" applyBorder="1" applyAlignment="1" applyProtection="1">
      <alignment horizontal="center" vertical="center"/>
    </xf>
    <xf numFmtId="167" fontId="44" fillId="10" borderId="56" xfId="19" applyNumberFormat="1" applyFont="1" applyFill="1" applyBorder="1" applyAlignment="1" applyProtection="1">
      <alignment horizontal="center" vertical="center"/>
    </xf>
    <xf numFmtId="167" fontId="44" fillId="10" borderId="1" xfId="19" applyNumberFormat="1" applyFont="1" applyFill="1" applyBorder="1" applyAlignment="1" applyProtection="1">
      <alignment horizontal="center" vertical="center"/>
    </xf>
    <xf numFmtId="0" fontId="48" fillId="0" borderId="20" xfId="19" applyBorder="1" applyProtection="1"/>
    <xf numFmtId="0" fontId="48" fillId="0" borderId="58" xfId="19" applyNumberFormat="1" applyFont="1" applyBorder="1" applyAlignment="1" applyProtection="1">
      <alignment horizontal="center" wrapText="1"/>
    </xf>
    <xf numFmtId="167" fontId="48" fillId="0" borderId="29" xfId="19" applyNumberFormat="1" applyFont="1" applyFill="1" applyBorder="1" applyAlignment="1" applyProtection="1">
      <alignment horizontal="center" vertical="center"/>
    </xf>
    <xf numFmtId="167" fontId="48" fillId="0" borderId="45" xfId="19" applyNumberFormat="1" applyFont="1" applyFill="1" applyBorder="1" applyAlignment="1" applyProtection="1">
      <alignment horizontal="center" vertical="center"/>
    </xf>
    <xf numFmtId="167" fontId="48" fillId="0" borderId="31" xfId="19" applyNumberFormat="1" applyFont="1" applyFill="1" applyBorder="1" applyAlignment="1" applyProtection="1">
      <alignment horizontal="center" vertical="center"/>
    </xf>
    <xf numFmtId="167" fontId="48" fillId="0" borderId="30" xfId="19" applyNumberFormat="1" applyFont="1" applyFill="1" applyBorder="1" applyAlignment="1" applyProtection="1">
      <alignment horizontal="center" vertical="center"/>
    </xf>
    <xf numFmtId="167" fontId="48" fillId="11" borderId="27" xfId="19" applyNumberFormat="1" applyFill="1" applyBorder="1" applyAlignment="1" applyProtection="1">
      <alignment horizontal="center" vertical="center"/>
    </xf>
    <xf numFmtId="167" fontId="48" fillId="11" borderId="4" xfId="19" applyNumberFormat="1" applyFill="1" applyBorder="1" applyAlignment="1" applyProtection="1">
      <alignment horizontal="center" vertical="center"/>
    </xf>
    <xf numFmtId="167" fontId="48" fillId="11" borderId="28" xfId="19" applyNumberFormat="1" applyFill="1" applyBorder="1" applyAlignment="1" applyProtection="1">
      <alignment horizontal="center" vertical="center"/>
    </xf>
    <xf numFmtId="164" fontId="48" fillId="11" borderId="28" xfId="33" applyNumberFormat="1" applyFont="1" applyFill="1" applyBorder="1" applyAlignment="1" applyProtection="1">
      <alignment horizontal="center" vertical="center"/>
    </xf>
    <xf numFmtId="167" fontId="27" fillId="9" borderId="5" xfId="19" applyNumberFormat="1" applyFont="1" applyFill="1" applyBorder="1" applyAlignment="1" applyProtection="1">
      <alignment horizontal="center" vertical="center"/>
      <protection locked="0"/>
    </xf>
    <xf numFmtId="167" fontId="27" fillId="9" borderId="28" xfId="19" applyNumberFormat="1" applyFont="1" applyFill="1" applyBorder="1" applyAlignment="1" applyProtection="1">
      <alignment horizontal="center" vertical="center"/>
      <protection locked="0"/>
    </xf>
    <xf numFmtId="167" fontId="27" fillId="9" borderId="4" xfId="19" applyNumberFormat="1" applyFont="1" applyFill="1" applyBorder="1" applyAlignment="1" applyProtection="1">
      <alignment horizontal="center" vertical="center"/>
      <protection locked="0"/>
    </xf>
    <xf numFmtId="167" fontId="44" fillId="10" borderId="29" xfId="19" applyNumberFormat="1" applyFont="1" applyFill="1" applyBorder="1" applyAlignment="1" applyProtection="1">
      <alignment horizontal="center" vertical="center"/>
    </xf>
    <xf numFmtId="167" fontId="44" fillId="10" borderId="45" xfId="19" applyNumberFormat="1" applyFont="1" applyFill="1" applyBorder="1" applyAlignment="1" applyProtection="1">
      <alignment horizontal="center" vertical="center"/>
    </xf>
    <xf numFmtId="167" fontId="44" fillId="10" borderId="31" xfId="19" applyNumberFormat="1" applyFont="1" applyFill="1" applyBorder="1" applyAlignment="1" applyProtection="1">
      <alignment horizontal="center" vertical="center"/>
    </xf>
    <xf numFmtId="167" fontId="44" fillId="10" borderId="30" xfId="19" applyNumberFormat="1" applyFont="1" applyFill="1" applyBorder="1" applyAlignment="1" applyProtection="1">
      <alignment horizontal="center" vertical="center"/>
    </xf>
    <xf numFmtId="167" fontId="48" fillId="10" borderId="29" xfId="19" applyNumberFormat="1" applyFill="1" applyBorder="1" applyAlignment="1" applyProtection="1">
      <alignment horizontal="center" vertical="center"/>
    </xf>
    <xf numFmtId="167" fontId="48" fillId="10" borderId="30" xfId="19" applyNumberFormat="1" applyFill="1" applyBorder="1" applyAlignment="1" applyProtection="1">
      <alignment horizontal="center" vertical="center"/>
    </xf>
    <xf numFmtId="167" fontId="48" fillId="10" borderId="31" xfId="19" applyNumberFormat="1" applyFill="1" applyBorder="1" applyAlignment="1" applyProtection="1">
      <alignment horizontal="center" vertical="center"/>
    </xf>
    <xf numFmtId="164" fontId="48" fillId="10" borderId="31" xfId="33" applyNumberFormat="1" applyFont="1" applyFill="1" applyBorder="1" applyAlignment="1" applyProtection="1">
      <alignment horizontal="center" vertical="center"/>
    </xf>
    <xf numFmtId="0" fontId="44" fillId="0" borderId="0" xfId="19" applyFont="1" applyFill="1" applyProtection="1"/>
    <xf numFmtId="0" fontId="48" fillId="0" borderId="0" xfId="19" applyNumberFormat="1" applyFont="1" applyAlignment="1" applyProtection="1">
      <alignment horizontal="center" wrapText="1"/>
    </xf>
    <xf numFmtId="0" fontId="48" fillId="0" borderId="0" xfId="19" applyFill="1" applyAlignment="1" applyProtection="1">
      <alignment horizontal="center" vertical="center"/>
    </xf>
    <xf numFmtId="0" fontId="44" fillId="0" borderId="17" xfId="19" applyFont="1" applyFill="1" applyBorder="1" applyAlignment="1" applyProtection="1">
      <alignment horizontal="left" indent="1"/>
    </xf>
    <xf numFmtId="0" fontId="48" fillId="0" borderId="9" xfId="19" applyFill="1" applyBorder="1" applyAlignment="1" applyProtection="1">
      <alignment horizontal="center"/>
    </xf>
    <xf numFmtId="0" fontId="48" fillId="0" borderId="51" xfId="19" applyFill="1" applyBorder="1" applyAlignment="1" applyProtection="1">
      <alignment horizontal="center" vertical="center"/>
    </xf>
    <xf numFmtId="0" fontId="48" fillId="0" borderId="18" xfId="19" applyFill="1" applyBorder="1" applyAlignment="1" applyProtection="1">
      <alignment horizontal="center" vertical="center"/>
    </xf>
    <xf numFmtId="0" fontId="48" fillId="0" borderId="52" xfId="19" applyFill="1" applyBorder="1" applyAlignment="1" applyProtection="1">
      <alignment horizontal="center" vertical="center"/>
    </xf>
    <xf numFmtId="0" fontId="48" fillId="0" borderId="51" xfId="19" applyBorder="1" applyAlignment="1" applyProtection="1">
      <alignment horizontal="center" vertical="center"/>
    </xf>
    <xf numFmtId="0" fontId="48" fillId="0" borderId="18" xfId="19" applyBorder="1" applyAlignment="1" applyProtection="1">
      <alignment horizontal="center" vertical="center"/>
    </xf>
    <xf numFmtId="0" fontId="48" fillId="0" borderId="52" xfId="19" applyBorder="1" applyAlignment="1" applyProtection="1">
      <alignment horizontal="center" vertical="center"/>
    </xf>
    <xf numFmtId="0" fontId="48" fillId="0" borderId="17" xfId="19" applyFill="1" applyBorder="1" applyAlignment="1" applyProtection="1">
      <alignment horizontal="left" wrapText="1" indent="2"/>
    </xf>
    <xf numFmtId="0" fontId="48" fillId="0" borderId="9" xfId="19" applyNumberFormat="1" applyFont="1" applyBorder="1" applyAlignment="1" applyProtection="1">
      <alignment horizontal="center" wrapText="1"/>
    </xf>
    <xf numFmtId="167" fontId="48" fillId="11" borderId="27" xfId="19" applyNumberFormat="1" applyFont="1" applyFill="1" applyBorder="1" applyAlignment="1" applyProtection="1">
      <alignment horizontal="center" vertical="center"/>
      <protection locked="0"/>
    </xf>
    <xf numFmtId="167" fontId="48" fillId="11" borderId="5" xfId="19" applyNumberFormat="1" applyFont="1" applyFill="1" applyBorder="1" applyAlignment="1" applyProtection="1">
      <alignment horizontal="center" vertical="center"/>
      <protection locked="0"/>
    </xf>
    <xf numFmtId="167" fontId="48" fillId="11" borderId="28" xfId="19" applyNumberFormat="1" applyFont="1" applyFill="1" applyBorder="1" applyAlignment="1" applyProtection="1">
      <alignment horizontal="center" vertical="center"/>
      <protection locked="0"/>
    </xf>
    <xf numFmtId="167" fontId="48" fillId="15" borderId="5" xfId="19" applyNumberFormat="1" applyFont="1" applyFill="1" applyBorder="1" applyAlignment="1" applyProtection="1">
      <alignment horizontal="center" vertical="center"/>
      <protection locked="0"/>
    </xf>
    <xf numFmtId="167" fontId="48" fillId="15" borderId="4" xfId="19" applyNumberFormat="1" applyFont="1" applyFill="1" applyBorder="1" applyAlignment="1" applyProtection="1">
      <alignment horizontal="center" vertical="center"/>
      <protection locked="0"/>
    </xf>
    <xf numFmtId="167" fontId="48" fillId="15" borderId="28" xfId="19" applyNumberFormat="1" applyFont="1" applyFill="1" applyBorder="1" applyAlignment="1" applyProtection="1">
      <alignment horizontal="center" vertical="center"/>
      <protection locked="0"/>
    </xf>
    <xf numFmtId="0" fontId="44" fillId="0" borderId="17" xfId="19" applyFont="1" applyFill="1" applyBorder="1" applyAlignment="1" applyProtection="1">
      <alignment horizontal="left" wrapText="1" indent="2"/>
    </xf>
    <xf numFmtId="167" fontId="48" fillId="10" borderId="5" xfId="19" applyNumberFormat="1" applyFill="1" applyBorder="1" applyAlignment="1" applyProtection="1">
      <alignment horizontal="center" vertical="center"/>
    </xf>
    <xf numFmtId="0" fontId="48" fillId="0" borderId="9" xfId="19" applyNumberFormat="1" applyBorder="1" applyAlignment="1" applyProtection="1">
      <alignment horizontal="center"/>
    </xf>
    <xf numFmtId="0" fontId="48" fillId="0" borderId="43" xfId="19" applyBorder="1" applyAlignment="1" applyProtection="1">
      <alignment horizontal="center" vertical="center"/>
    </xf>
    <xf numFmtId="0" fontId="48" fillId="0" borderId="16" xfId="19" applyBorder="1" applyAlignment="1" applyProtection="1">
      <alignment horizontal="center" vertical="center"/>
    </xf>
    <xf numFmtId="0" fontId="48" fillId="0" borderId="44" xfId="19" applyBorder="1" applyAlignment="1" applyProtection="1">
      <alignment horizontal="center" vertical="center"/>
    </xf>
    <xf numFmtId="0" fontId="48" fillId="0" borderId="43" xfId="19" applyFill="1" applyBorder="1" applyAlignment="1" applyProtection="1">
      <alignment horizontal="center" vertical="center"/>
    </xf>
    <xf numFmtId="0" fontId="44" fillId="0" borderId="20" xfId="19" applyFont="1" applyBorder="1" applyAlignment="1" applyProtection="1">
      <alignment horizontal="left" wrapText="1" indent="2"/>
    </xf>
    <xf numFmtId="0" fontId="48" fillId="0" borderId="42" xfId="19" applyNumberFormat="1" applyFont="1" applyBorder="1" applyAlignment="1" applyProtection="1">
      <alignment horizontal="center" wrapText="1"/>
    </xf>
    <xf numFmtId="167" fontId="48" fillId="10" borderId="45" xfId="19" applyNumberFormat="1" applyFill="1" applyBorder="1" applyAlignment="1" applyProtection="1">
      <alignment horizontal="center" vertical="center"/>
    </xf>
    <xf numFmtId="0" fontId="44" fillId="0" borderId="37" xfId="19" applyFont="1" applyBorder="1" applyProtection="1"/>
    <xf numFmtId="0" fontId="44" fillId="0" borderId="9" xfId="19" applyFont="1" applyBorder="1" applyAlignment="1" applyProtection="1">
      <alignment horizontal="center"/>
    </xf>
    <xf numFmtId="0" fontId="44" fillId="0" borderId="53" xfId="19" applyFont="1" applyBorder="1" applyAlignment="1" applyProtection="1">
      <alignment horizontal="center" vertical="center"/>
    </xf>
    <xf numFmtId="0" fontId="44" fillId="0" borderId="15" xfId="19" applyFont="1" applyBorder="1" applyAlignment="1" applyProtection="1">
      <alignment horizontal="center" vertical="center"/>
    </xf>
    <xf numFmtId="0" fontId="44" fillId="0" borderId="54" xfId="19" applyFont="1" applyBorder="1" applyAlignment="1" applyProtection="1">
      <alignment horizontal="center" vertical="center"/>
    </xf>
    <xf numFmtId="0" fontId="48" fillId="0" borderId="53" xfId="19" applyBorder="1" applyAlignment="1" applyProtection="1">
      <alignment horizontal="center" vertical="center"/>
    </xf>
    <xf numFmtId="0" fontId="48" fillId="0" borderId="15" xfId="19" applyBorder="1" applyAlignment="1" applyProtection="1">
      <alignment horizontal="center" vertical="center"/>
    </xf>
    <xf numFmtId="0" fontId="48" fillId="0" borderId="54" xfId="19" applyBorder="1" applyAlignment="1" applyProtection="1">
      <alignment horizontal="center" vertical="center"/>
    </xf>
    <xf numFmtId="0" fontId="6" fillId="0" borderId="0" xfId="31" applyBorder="1" applyProtection="1"/>
    <xf numFmtId="0" fontId="44" fillId="0" borderId="37" xfId="19" applyFont="1" applyBorder="1" applyAlignment="1" applyProtection="1">
      <alignment horizontal="left" indent="1"/>
    </xf>
    <xf numFmtId="0" fontId="44" fillId="0" borderId="17" xfId="19" applyFont="1" applyBorder="1" applyAlignment="1" applyProtection="1">
      <alignment horizontal="center" vertical="center"/>
    </xf>
    <xf numFmtId="0" fontId="44" fillId="0" borderId="0" xfId="19" applyFont="1" applyBorder="1" applyAlignment="1" applyProtection="1">
      <alignment horizontal="center" vertical="center"/>
    </xf>
    <xf numFmtId="0" fontId="44" fillId="0" borderId="22" xfId="19" applyFont="1" applyBorder="1" applyAlignment="1" applyProtection="1">
      <alignment horizontal="center" vertical="center"/>
    </xf>
    <xf numFmtId="0" fontId="48" fillId="0" borderId="17" xfId="19" applyBorder="1" applyAlignment="1" applyProtection="1">
      <alignment horizontal="center" vertical="center"/>
    </xf>
    <xf numFmtId="0" fontId="48" fillId="0" borderId="0" xfId="19" applyBorder="1" applyAlignment="1" applyProtection="1">
      <alignment horizontal="center" vertical="center"/>
    </xf>
    <xf numFmtId="0" fontId="48" fillId="0" borderId="22" xfId="19" applyBorder="1" applyAlignment="1" applyProtection="1">
      <alignment horizontal="center" vertical="center"/>
    </xf>
    <xf numFmtId="0" fontId="48" fillId="0" borderId="37" xfId="19" applyFont="1" applyBorder="1" applyAlignment="1" applyProtection="1">
      <alignment horizontal="left" indent="2"/>
    </xf>
    <xf numFmtId="1" fontId="48" fillId="10" borderId="27" xfId="19" applyNumberFormat="1" applyFont="1" applyFill="1" applyBorder="1" applyAlignment="1" applyProtection="1">
      <alignment horizontal="center" vertical="center"/>
      <protection locked="0"/>
    </xf>
    <xf numFmtId="1" fontId="48" fillId="10" borderId="5" xfId="19" applyNumberFormat="1" applyFont="1" applyFill="1" applyBorder="1" applyAlignment="1" applyProtection="1">
      <alignment horizontal="center" vertical="center"/>
      <protection locked="0"/>
    </xf>
    <xf numFmtId="1" fontId="48" fillId="10" borderId="28" xfId="19" applyNumberFormat="1" applyFont="1" applyFill="1" applyBorder="1" applyAlignment="1" applyProtection="1">
      <alignment horizontal="center" vertical="center"/>
      <protection locked="0"/>
    </xf>
    <xf numFmtId="1" fontId="48" fillId="10" borderId="4" xfId="19" applyNumberFormat="1" applyFont="1" applyFill="1" applyBorder="1" applyAlignment="1" applyProtection="1">
      <alignment horizontal="center" vertical="center"/>
      <protection locked="0"/>
    </xf>
    <xf numFmtId="0" fontId="48" fillId="0" borderId="17" xfId="19" applyFont="1" applyBorder="1" applyAlignment="1" applyProtection="1">
      <alignment horizontal="left" indent="2"/>
    </xf>
    <xf numFmtId="1" fontId="27" fillId="11" borderId="27" xfId="19" applyNumberFormat="1" applyFont="1" applyFill="1" applyBorder="1" applyAlignment="1" applyProtection="1">
      <alignment horizontal="center" vertical="center"/>
      <protection locked="0"/>
    </xf>
    <xf numFmtId="1" fontId="27" fillId="11" borderId="5" xfId="19" applyNumberFormat="1" applyFont="1" applyFill="1" applyBorder="1" applyAlignment="1" applyProtection="1">
      <alignment horizontal="center" vertical="center"/>
      <protection locked="0"/>
    </xf>
    <xf numFmtId="1" fontId="27" fillId="11" borderId="28" xfId="19" applyNumberFormat="1" applyFont="1" applyFill="1" applyBorder="1" applyAlignment="1" applyProtection="1">
      <alignment horizontal="center" vertical="center"/>
      <protection locked="0"/>
    </xf>
    <xf numFmtId="0" fontId="44" fillId="0" borderId="37" xfId="19" applyFont="1" applyFill="1" applyBorder="1" applyAlignment="1" applyProtection="1">
      <alignment horizontal="left" indent="1"/>
    </xf>
    <xf numFmtId="1" fontId="44" fillId="0" borderId="17" xfId="19" applyNumberFormat="1" applyFont="1" applyBorder="1" applyAlignment="1" applyProtection="1">
      <alignment horizontal="center" vertical="center"/>
    </xf>
    <xf numFmtId="1" fontId="44" fillId="0" borderId="0" xfId="19" applyNumberFormat="1" applyFont="1" applyBorder="1" applyAlignment="1" applyProtection="1">
      <alignment horizontal="center" vertical="center"/>
    </xf>
    <xf numFmtId="1" fontId="44" fillId="0" borderId="22" xfId="19" applyNumberFormat="1" applyFont="1" applyBorder="1" applyAlignment="1" applyProtection="1">
      <alignment horizontal="center" vertical="center"/>
    </xf>
    <xf numFmtId="1" fontId="48" fillId="0" borderId="17" xfId="19" applyNumberFormat="1" applyBorder="1" applyAlignment="1" applyProtection="1">
      <alignment horizontal="center" vertical="center"/>
    </xf>
    <xf numFmtId="1" fontId="48" fillId="0" borderId="0" xfId="19" applyNumberFormat="1" applyBorder="1" applyAlignment="1" applyProtection="1">
      <alignment horizontal="center" vertical="center"/>
    </xf>
    <xf numFmtId="1" fontId="48" fillId="0" borderId="22" xfId="19" applyNumberFormat="1" applyBorder="1" applyAlignment="1" applyProtection="1">
      <alignment horizontal="center" vertical="center"/>
    </xf>
    <xf numFmtId="0" fontId="48" fillId="0" borderId="37" xfId="19" applyFont="1" applyFill="1" applyBorder="1" applyAlignment="1" applyProtection="1">
      <alignment horizontal="left" indent="2"/>
    </xf>
    <xf numFmtId="0" fontId="48" fillId="0" borderId="17" xfId="19" applyFont="1" applyFill="1" applyBorder="1" applyAlignment="1" applyProtection="1">
      <alignment horizontal="left" indent="2"/>
    </xf>
    <xf numFmtId="1" fontId="48" fillId="11" borderId="27" xfId="19" applyNumberFormat="1" applyFont="1" applyFill="1" applyBorder="1" applyAlignment="1" applyProtection="1">
      <alignment horizontal="center" vertical="center"/>
      <protection locked="0"/>
    </xf>
    <xf numFmtId="1" fontId="48" fillId="11" borderId="5" xfId="19" applyNumberFormat="1" applyFont="1" applyFill="1" applyBorder="1" applyAlignment="1" applyProtection="1">
      <alignment horizontal="center" vertical="center"/>
      <protection locked="0"/>
    </xf>
    <xf numFmtId="1" fontId="48" fillId="11" borderId="28" xfId="19" applyNumberFormat="1" applyFont="1" applyFill="1" applyBorder="1" applyAlignment="1" applyProtection="1">
      <alignment horizontal="center" vertical="center"/>
      <protection locked="0"/>
    </xf>
    <xf numFmtId="1" fontId="48" fillId="0" borderId="17" xfId="19" applyNumberFormat="1" applyFont="1" applyBorder="1" applyAlignment="1" applyProtection="1">
      <alignment horizontal="center" vertical="center"/>
    </xf>
    <xf numFmtId="1" fontId="48" fillId="0" borderId="0" xfId="19" applyNumberFormat="1" applyFont="1" applyBorder="1" applyAlignment="1" applyProtection="1">
      <alignment horizontal="center" vertical="center"/>
    </xf>
    <xf numFmtId="1" fontId="48" fillId="0" borderId="22" xfId="19" applyNumberFormat="1" applyFont="1" applyBorder="1" applyAlignment="1" applyProtection="1">
      <alignment horizontal="center" vertical="center"/>
    </xf>
    <xf numFmtId="1" fontId="48" fillId="10" borderId="55" xfId="19" applyNumberFormat="1" applyFont="1" applyFill="1" applyBorder="1" applyAlignment="1" applyProtection="1">
      <alignment horizontal="center" vertical="center"/>
      <protection locked="0"/>
    </xf>
    <xf numFmtId="1" fontId="48" fillId="10" borderId="8" xfId="19" applyNumberFormat="1" applyFont="1" applyFill="1" applyBorder="1" applyAlignment="1" applyProtection="1">
      <alignment horizontal="center" vertical="center"/>
      <protection locked="0"/>
    </xf>
    <xf numFmtId="1" fontId="48" fillId="10" borderId="56" xfId="19" applyNumberFormat="1" applyFont="1" applyFill="1" applyBorder="1" applyAlignment="1" applyProtection="1">
      <alignment horizontal="center" vertical="center"/>
      <protection locked="0"/>
    </xf>
    <xf numFmtId="1" fontId="48" fillId="10" borderId="1" xfId="19" applyNumberFormat="1" applyFont="1" applyFill="1" applyBorder="1" applyAlignment="1" applyProtection="1">
      <alignment horizontal="center" vertical="center"/>
      <protection locked="0"/>
    </xf>
    <xf numFmtId="1" fontId="48" fillId="11" borderId="55" xfId="19" applyNumberFormat="1" applyFont="1" applyFill="1" applyBorder="1" applyAlignment="1" applyProtection="1">
      <alignment horizontal="center" vertical="center"/>
      <protection locked="0"/>
    </xf>
    <xf numFmtId="1" fontId="48" fillId="11" borderId="8" xfId="19" applyNumberFormat="1" applyFont="1" applyFill="1" applyBorder="1" applyAlignment="1" applyProtection="1">
      <alignment horizontal="center" vertical="center"/>
      <protection locked="0"/>
    </xf>
    <xf numFmtId="1" fontId="48" fillId="11" borderId="56" xfId="19" applyNumberFormat="1" applyFont="1" applyFill="1" applyBorder="1" applyAlignment="1" applyProtection="1">
      <alignment horizontal="center" vertical="center"/>
      <protection locked="0"/>
    </xf>
    <xf numFmtId="0" fontId="44" fillId="0" borderId="40" xfId="19" applyFont="1" applyBorder="1" applyAlignment="1" applyProtection="1">
      <alignment horizontal="left" wrapText="1" indent="1"/>
    </xf>
    <xf numFmtId="1" fontId="44" fillId="10" borderId="29" xfId="19" applyNumberFormat="1" applyFont="1" applyFill="1" applyBorder="1" applyAlignment="1" applyProtection="1">
      <alignment horizontal="center" vertical="center"/>
    </xf>
    <xf numFmtId="1" fontId="44" fillId="10" borderId="30" xfId="19" applyNumberFormat="1" applyFont="1" applyFill="1" applyBorder="1" applyAlignment="1" applyProtection="1">
      <alignment horizontal="center" vertical="center"/>
    </xf>
    <xf numFmtId="1" fontId="44" fillId="10" borderId="31" xfId="19" applyNumberFormat="1" applyFont="1" applyFill="1" applyBorder="1" applyAlignment="1" applyProtection="1">
      <alignment horizontal="center" vertical="center"/>
    </xf>
    <xf numFmtId="0" fontId="21" fillId="0" borderId="0" xfId="31" applyFont="1" applyBorder="1" applyProtection="1"/>
    <xf numFmtId="0" fontId="44" fillId="0" borderId="0" xfId="19" applyFont="1" applyBorder="1" applyAlignment="1" applyProtection="1">
      <alignment horizontal="left" wrapText="1" indent="1"/>
    </xf>
    <xf numFmtId="0" fontId="6" fillId="0" borderId="0" xfId="31" applyAlignment="1" applyProtection="1">
      <alignment horizontal="center"/>
    </xf>
    <xf numFmtId="0" fontId="48" fillId="0" borderId="0" xfId="19" applyFill="1" applyProtection="1"/>
    <xf numFmtId="0" fontId="44" fillId="0" borderId="52" xfId="19" applyFont="1" applyBorder="1" applyAlignment="1" applyProtection="1">
      <alignment horizontal="center" vertical="center" wrapText="1"/>
    </xf>
    <xf numFmtId="0" fontId="48" fillId="0" borderId="8" xfId="19" applyBorder="1" applyAlignment="1" applyProtection="1">
      <alignment horizontal="center" vertical="center"/>
    </xf>
    <xf numFmtId="0" fontId="48" fillId="0" borderId="0" xfId="19" applyNumberFormat="1" applyFont="1" applyBorder="1" applyAlignment="1" applyProtection="1">
      <alignment horizontal="center" wrapText="1"/>
    </xf>
    <xf numFmtId="0" fontId="48" fillId="0" borderId="10" xfId="19" applyBorder="1" applyAlignment="1" applyProtection="1">
      <alignment horizontal="center" vertical="center"/>
    </xf>
    <xf numFmtId="1" fontId="27" fillId="9" borderId="27" xfId="19" applyNumberFormat="1" applyFont="1" applyFill="1" applyBorder="1" applyAlignment="1" applyProtection="1">
      <alignment horizontal="center" vertical="center"/>
      <protection locked="0"/>
    </xf>
    <xf numFmtId="1" fontId="27" fillId="9" borderId="5" xfId="19" applyNumberFormat="1" applyFont="1" applyFill="1" applyBorder="1" applyAlignment="1" applyProtection="1">
      <alignment horizontal="center" vertical="center"/>
      <protection locked="0"/>
    </xf>
    <xf numFmtId="1" fontId="27" fillId="9" borderId="28" xfId="19" applyNumberFormat="1" applyFont="1" applyFill="1" applyBorder="1" applyAlignment="1" applyProtection="1">
      <alignment horizontal="center" vertical="center"/>
      <protection locked="0"/>
    </xf>
    <xf numFmtId="1" fontId="27" fillId="9" borderId="4" xfId="19" applyNumberFormat="1" applyFont="1" applyFill="1" applyBorder="1" applyAlignment="1" applyProtection="1">
      <alignment horizontal="center" vertical="center"/>
      <protection locked="0"/>
    </xf>
    <xf numFmtId="1" fontId="27" fillId="9" borderId="44" xfId="19" applyNumberFormat="1" applyFont="1" applyFill="1" applyBorder="1" applyAlignment="1" applyProtection="1">
      <alignment horizontal="center" vertical="center"/>
      <protection locked="0"/>
    </xf>
    <xf numFmtId="1" fontId="48" fillId="15" borderId="27" xfId="19" applyNumberFormat="1" applyFont="1" applyFill="1" applyBorder="1" applyAlignment="1" applyProtection="1">
      <alignment horizontal="center" vertical="center"/>
      <protection locked="0"/>
    </xf>
    <xf numFmtId="1" fontId="48" fillId="15" borderId="4" xfId="19" applyNumberFormat="1" applyFont="1" applyFill="1" applyBorder="1" applyAlignment="1" applyProtection="1">
      <alignment horizontal="center" vertical="center"/>
      <protection locked="0"/>
    </xf>
    <xf numFmtId="1" fontId="48" fillId="15" borderId="44" xfId="19" applyNumberFormat="1" applyFont="1" applyFill="1" applyBorder="1" applyAlignment="1" applyProtection="1">
      <alignment horizontal="center" vertical="center"/>
      <protection locked="0"/>
    </xf>
    <xf numFmtId="1" fontId="48" fillId="0" borderId="10" xfId="19" applyNumberFormat="1" applyBorder="1" applyAlignment="1" applyProtection="1">
      <alignment horizontal="center" vertical="center"/>
    </xf>
    <xf numFmtId="1" fontId="27" fillId="9" borderId="55" xfId="19" applyNumberFormat="1" applyFont="1" applyFill="1" applyBorder="1" applyAlignment="1" applyProtection="1">
      <alignment horizontal="center" vertical="center"/>
      <protection locked="0"/>
    </xf>
    <xf numFmtId="1" fontId="27" fillId="9" borderId="8" xfId="19" applyNumberFormat="1" applyFont="1" applyFill="1" applyBorder="1" applyAlignment="1" applyProtection="1">
      <alignment horizontal="center" vertical="center"/>
      <protection locked="0"/>
    </xf>
    <xf numFmtId="1" fontId="27" fillId="9" borderId="56" xfId="19" applyNumberFormat="1" applyFont="1" applyFill="1" applyBorder="1" applyAlignment="1" applyProtection="1">
      <alignment horizontal="center" vertical="center"/>
      <protection locked="0"/>
    </xf>
    <xf numFmtId="1" fontId="27" fillId="9" borderId="1" xfId="19" applyNumberFormat="1" applyFont="1" applyFill="1" applyBorder="1" applyAlignment="1" applyProtection="1">
      <alignment horizontal="center" vertical="center"/>
      <protection locked="0"/>
    </xf>
    <xf numFmtId="1" fontId="27" fillId="9" borderId="54" xfId="19" applyNumberFormat="1" applyFont="1" applyFill="1" applyBorder="1" applyAlignment="1" applyProtection="1">
      <alignment horizontal="center" vertical="center"/>
      <protection locked="0"/>
    </xf>
    <xf numFmtId="1" fontId="27" fillId="11" borderId="55" xfId="19" applyNumberFormat="1" applyFont="1" applyFill="1" applyBorder="1" applyAlignment="1" applyProtection="1">
      <alignment horizontal="center" vertical="center"/>
      <protection locked="0"/>
    </xf>
    <xf numFmtId="1" fontId="27" fillId="11" borderId="8" xfId="19" applyNumberFormat="1" applyFont="1" applyFill="1" applyBorder="1" applyAlignment="1" applyProtection="1">
      <alignment horizontal="center" vertical="center"/>
      <protection locked="0"/>
    </xf>
    <xf numFmtId="1" fontId="27" fillId="11" borderId="56" xfId="19" applyNumberFormat="1" applyFont="1" applyFill="1" applyBorder="1" applyAlignment="1" applyProtection="1">
      <alignment horizontal="center" vertical="center"/>
      <protection locked="0"/>
    </xf>
    <xf numFmtId="1" fontId="48" fillId="15" borderId="55" xfId="19" applyNumberFormat="1" applyFont="1" applyFill="1" applyBorder="1" applyAlignment="1" applyProtection="1">
      <alignment horizontal="center" vertical="center"/>
      <protection locked="0"/>
    </xf>
    <xf numFmtId="1" fontId="44" fillId="10" borderId="60" xfId="19" applyNumberFormat="1" applyFont="1" applyFill="1" applyBorder="1" applyAlignment="1" applyProtection="1">
      <alignment horizontal="center" vertical="center"/>
    </xf>
    <xf numFmtId="0" fontId="44" fillId="0" borderId="0" xfId="19" applyFont="1" applyAlignment="1" applyProtection="1">
      <alignment horizontal="left" wrapText="1" indent="1"/>
    </xf>
    <xf numFmtId="1" fontId="48" fillId="15" borderId="38" xfId="19" applyNumberFormat="1" applyFont="1" applyFill="1" applyBorder="1" applyAlignment="1" applyProtection="1">
      <alignment horizontal="center" vertical="center"/>
      <protection locked="0"/>
    </xf>
    <xf numFmtId="1" fontId="48" fillId="15" borderId="66" xfId="19" applyNumberFormat="1" applyFont="1" applyFill="1" applyBorder="1" applyAlignment="1" applyProtection="1">
      <alignment horizontal="center" vertical="center"/>
      <protection locked="0"/>
    </xf>
    <xf numFmtId="0" fontId="44" fillId="0" borderId="17" xfId="19" applyFont="1" applyFill="1" applyBorder="1" applyProtection="1"/>
    <xf numFmtId="0" fontId="44" fillId="0" borderId="6" xfId="19" applyFont="1" applyBorder="1" applyAlignment="1" applyProtection="1">
      <alignment horizontal="center"/>
    </xf>
    <xf numFmtId="167" fontId="27" fillId="11" borderId="27" xfId="19" applyNumberFormat="1" applyFont="1" applyFill="1" applyBorder="1" applyAlignment="1" applyProtection="1">
      <alignment horizontal="center" vertical="center"/>
      <protection locked="0"/>
    </xf>
    <xf numFmtId="167" fontId="27" fillId="11" borderId="5" xfId="19" applyNumberFormat="1" applyFont="1" applyFill="1" applyBorder="1" applyAlignment="1" applyProtection="1">
      <alignment horizontal="center" vertical="center"/>
      <protection locked="0"/>
    </xf>
    <xf numFmtId="167" fontId="27" fillId="11" borderId="28" xfId="19" applyNumberFormat="1" applyFont="1" applyFill="1" applyBorder="1" applyAlignment="1" applyProtection="1">
      <alignment horizontal="center" vertical="center"/>
      <protection locked="0"/>
    </xf>
    <xf numFmtId="9" fontId="27" fillId="11" borderId="27" xfId="33" applyFont="1" applyFill="1" applyBorder="1" applyAlignment="1" applyProtection="1">
      <alignment horizontal="center" vertical="center"/>
      <protection locked="0"/>
    </xf>
    <xf numFmtId="9" fontId="27" fillId="11" borderId="5" xfId="33" applyFont="1" applyFill="1" applyBorder="1" applyAlignment="1" applyProtection="1">
      <alignment horizontal="center" vertical="center"/>
      <protection locked="0"/>
    </xf>
    <xf numFmtId="9" fontId="27" fillId="11" borderId="28" xfId="33" applyFont="1" applyFill="1" applyBorder="1" applyAlignment="1" applyProtection="1">
      <alignment horizontal="center" vertical="center"/>
      <protection locked="0"/>
    </xf>
    <xf numFmtId="9" fontId="27" fillId="9" borderId="5" xfId="33" applyFont="1" applyFill="1" applyBorder="1" applyAlignment="1" applyProtection="1">
      <alignment horizontal="center" vertical="center"/>
      <protection locked="0"/>
    </xf>
    <xf numFmtId="9" fontId="27" fillId="9" borderId="4" xfId="33" applyFont="1" applyFill="1" applyBorder="1" applyAlignment="1" applyProtection="1">
      <alignment horizontal="center" vertical="center"/>
      <protection locked="0"/>
    </xf>
    <xf numFmtId="9" fontId="27" fillId="9" borderId="28" xfId="33" applyFont="1" applyFill="1" applyBorder="1" applyAlignment="1" applyProtection="1">
      <alignment horizontal="center" vertical="center"/>
      <protection locked="0"/>
    </xf>
    <xf numFmtId="9" fontId="27" fillId="15" borderId="5" xfId="33" applyFont="1" applyFill="1" applyBorder="1" applyAlignment="1" applyProtection="1">
      <alignment horizontal="center" vertical="center"/>
      <protection locked="0"/>
    </xf>
    <xf numFmtId="9" fontId="27" fillId="15" borderId="4" xfId="33" applyFont="1" applyFill="1" applyBorder="1" applyAlignment="1" applyProtection="1">
      <alignment horizontal="center" vertical="center"/>
      <protection locked="0"/>
    </xf>
    <xf numFmtId="9" fontId="27" fillId="15" borderId="28" xfId="33" applyFont="1" applyFill="1" applyBorder="1" applyAlignment="1" applyProtection="1">
      <alignment horizontal="center" vertical="center"/>
      <protection locked="0"/>
    </xf>
    <xf numFmtId="167" fontId="27" fillId="11" borderId="27" xfId="33" applyNumberFormat="1" applyFont="1" applyFill="1" applyBorder="1" applyAlignment="1" applyProtection="1">
      <alignment horizontal="center" vertical="center"/>
      <protection locked="0"/>
    </xf>
    <xf numFmtId="167" fontId="27" fillId="11" borderId="5" xfId="33" applyNumberFormat="1" applyFont="1" applyFill="1" applyBorder="1" applyAlignment="1" applyProtection="1">
      <alignment horizontal="center" vertical="center"/>
      <protection locked="0"/>
    </xf>
    <xf numFmtId="167" fontId="27" fillId="11" borderId="28" xfId="33" applyNumberFormat="1" applyFont="1" applyFill="1" applyBorder="1" applyAlignment="1" applyProtection="1">
      <alignment horizontal="center" vertical="center"/>
      <protection locked="0"/>
    </xf>
    <xf numFmtId="167" fontId="27" fillId="9" borderId="5" xfId="33" applyNumberFormat="1" applyFont="1" applyFill="1" applyBorder="1" applyAlignment="1" applyProtection="1">
      <alignment horizontal="center" vertical="center"/>
      <protection locked="0"/>
    </xf>
    <xf numFmtId="167" fontId="27" fillId="9" borderId="4" xfId="33" applyNumberFormat="1" applyFont="1" applyFill="1" applyBorder="1" applyAlignment="1" applyProtection="1">
      <alignment horizontal="center" vertical="center"/>
      <protection locked="0"/>
    </xf>
    <xf numFmtId="167" fontId="27" fillId="9" borderId="28" xfId="33" applyNumberFormat="1" applyFont="1" applyFill="1" applyBorder="1" applyAlignment="1" applyProtection="1">
      <alignment horizontal="center" vertical="center"/>
      <protection locked="0"/>
    </xf>
    <xf numFmtId="0" fontId="44" fillId="0" borderId="17" xfId="19" applyFont="1" applyBorder="1" applyAlignment="1" applyProtection="1">
      <alignment horizontal="left" wrapText="1" indent="2"/>
    </xf>
    <xf numFmtId="167" fontId="27" fillId="9" borderId="55" xfId="19" applyNumberFormat="1" applyFont="1" applyFill="1" applyBorder="1" applyAlignment="1" applyProtection="1">
      <alignment horizontal="center" vertical="center"/>
      <protection locked="0"/>
    </xf>
    <xf numFmtId="167" fontId="27" fillId="9" borderId="8" xfId="19" applyNumberFormat="1" applyFont="1" applyFill="1" applyBorder="1" applyAlignment="1" applyProtection="1">
      <alignment horizontal="center" vertical="center"/>
      <protection locked="0"/>
    </xf>
    <xf numFmtId="167" fontId="27" fillId="9" borderId="56" xfId="19" applyNumberFormat="1" applyFont="1" applyFill="1" applyBorder="1" applyAlignment="1" applyProtection="1">
      <alignment horizontal="center" vertical="center"/>
      <protection locked="0"/>
    </xf>
    <xf numFmtId="167" fontId="48" fillId="10" borderId="8" xfId="19" applyNumberFormat="1" applyFill="1" applyBorder="1" applyAlignment="1" applyProtection="1">
      <alignment horizontal="center" vertical="center"/>
    </xf>
    <xf numFmtId="167" fontId="48" fillId="10" borderId="1" xfId="19" applyNumberFormat="1" applyFill="1" applyBorder="1" applyAlignment="1" applyProtection="1">
      <alignment horizontal="center" vertical="center"/>
    </xf>
    <xf numFmtId="167" fontId="48" fillId="10" borderId="56" xfId="19" applyNumberFormat="1" applyFill="1" applyBorder="1" applyAlignment="1" applyProtection="1">
      <alignment horizontal="center" vertical="center"/>
    </xf>
    <xf numFmtId="0" fontId="44" fillId="0" borderId="29" xfId="19" applyFont="1" applyFill="1" applyBorder="1" applyAlignment="1" applyProtection="1">
      <alignment horizontal="left" wrapText="1" indent="2"/>
    </xf>
    <xf numFmtId="0" fontId="48" fillId="0" borderId="30" xfId="19" applyNumberFormat="1" applyFont="1" applyBorder="1" applyAlignment="1" applyProtection="1">
      <alignment horizontal="center" wrapText="1"/>
    </xf>
    <xf numFmtId="167" fontId="48" fillId="15" borderId="30" xfId="19" applyNumberFormat="1" applyFont="1" applyFill="1" applyBorder="1" applyAlignment="1" applyProtection="1">
      <alignment horizontal="center" vertical="center"/>
      <protection locked="0"/>
    </xf>
    <xf numFmtId="167" fontId="48" fillId="15" borderId="30" xfId="19" applyNumberFormat="1" applyFont="1" applyFill="1" applyBorder="1" applyAlignment="1" applyProtection="1">
      <alignment horizontal="center" vertical="center"/>
    </xf>
    <xf numFmtId="167" fontId="48" fillId="15" borderId="31" xfId="19" applyNumberFormat="1" applyFont="1" applyFill="1" applyBorder="1" applyAlignment="1" applyProtection="1">
      <alignment horizontal="center" vertical="center"/>
    </xf>
    <xf numFmtId="167" fontId="48" fillId="10" borderId="30" xfId="19" applyNumberFormat="1" applyFont="1" applyFill="1" applyBorder="1" applyAlignment="1" applyProtection="1">
      <alignment horizontal="center" vertical="center"/>
    </xf>
    <xf numFmtId="167" fontId="48" fillId="10" borderId="31" xfId="19" applyNumberFormat="1" applyFont="1" applyFill="1" applyBorder="1" applyAlignment="1" applyProtection="1">
      <alignment horizontal="center" vertical="center"/>
    </xf>
    <xf numFmtId="167" fontId="48" fillId="10" borderId="20" xfId="19" applyNumberFormat="1" applyFill="1" applyBorder="1" applyAlignment="1" applyProtection="1">
      <alignment horizontal="center" vertical="center"/>
    </xf>
    <xf numFmtId="0" fontId="48" fillId="0" borderId="27" xfId="19" applyBorder="1" applyAlignment="1" applyProtection="1">
      <alignment horizontal="center" vertical="center"/>
    </xf>
    <xf numFmtId="0" fontId="48" fillId="0" borderId="4" xfId="19" applyBorder="1" applyAlignment="1" applyProtection="1">
      <alignment horizontal="center" vertical="center"/>
    </xf>
    <xf numFmtId="0" fontId="48" fillId="0" borderId="28" xfId="19" applyBorder="1" applyAlignment="1" applyProtection="1">
      <alignment horizontal="center" vertical="center"/>
    </xf>
    <xf numFmtId="0" fontId="48" fillId="0" borderId="27" xfId="19" applyFill="1" applyBorder="1" applyAlignment="1" applyProtection="1">
      <alignment horizontal="center" vertical="center"/>
    </xf>
    <xf numFmtId="0" fontId="48" fillId="0" borderId="28" xfId="19" applyFill="1" applyBorder="1" applyAlignment="1" applyProtection="1">
      <alignment horizontal="center" vertical="center"/>
    </xf>
    <xf numFmtId="0" fontId="44" fillId="0" borderId="29" xfId="19" applyFont="1" applyBorder="1" applyAlignment="1" applyProtection="1">
      <alignment horizontal="left" wrapText="1" indent="2"/>
    </xf>
    <xf numFmtId="0" fontId="48" fillId="0" borderId="0" xfId="19" applyBorder="1" applyProtection="1"/>
    <xf numFmtId="0" fontId="48" fillId="0" borderId="0" xfId="19" applyFont="1" applyBorder="1" applyProtection="1"/>
    <xf numFmtId="0" fontId="48" fillId="0" borderId="0" xfId="19" applyBorder="1" applyAlignment="1" applyProtection="1">
      <alignment horizontal="center"/>
    </xf>
    <xf numFmtId="167" fontId="48" fillId="0" borderId="0" xfId="18" applyNumberFormat="1" applyAlignment="1" applyProtection="1">
      <alignment horizontal="center" vertical="center"/>
    </xf>
    <xf numFmtId="0" fontId="50" fillId="12" borderId="0" xfId="0" applyFont="1" applyFill="1" applyBorder="1" applyAlignment="1" applyProtection="1"/>
    <xf numFmtId="0" fontId="53" fillId="12" borderId="0" xfId="0" applyFont="1" applyFill="1" applyBorder="1" applyAlignment="1" applyProtection="1"/>
    <xf numFmtId="0" fontId="52" fillId="12" borderId="0" xfId="0" applyFont="1" applyFill="1" applyBorder="1" applyAlignment="1" applyProtection="1"/>
    <xf numFmtId="0" fontId="52" fillId="12" borderId="21" xfId="0" applyFont="1" applyFill="1" applyBorder="1" applyAlignment="1" applyProtection="1">
      <alignment horizontal="left"/>
    </xf>
    <xf numFmtId="0" fontId="53" fillId="12" borderId="21" xfId="0" applyFont="1" applyFill="1" applyBorder="1" applyAlignment="1" applyProtection="1"/>
    <xf numFmtId="0" fontId="44" fillId="0" borderId="0" xfId="0" applyFont="1" applyFill="1" applyBorder="1" applyAlignment="1" applyProtection="1">
      <alignment horizontal="left"/>
    </xf>
    <xf numFmtId="0" fontId="30" fillId="0" borderId="0" xfId="0" applyFont="1" applyFill="1" applyBorder="1" applyAlignment="1" applyProtection="1"/>
    <xf numFmtId="0" fontId="44" fillId="0" borderId="0" xfId="28" applyFont="1" applyFill="1" applyBorder="1" applyAlignment="1" applyProtection="1">
      <alignment horizontal="left" vertical="center"/>
    </xf>
    <xf numFmtId="0" fontId="48" fillId="0" borderId="0" xfId="26" applyFont="1" applyProtection="1"/>
    <xf numFmtId="0" fontId="48" fillId="0" borderId="0" xfId="28" applyFont="1" applyFill="1" applyBorder="1" applyAlignment="1" applyProtection="1">
      <alignment horizontal="left" vertical="center"/>
    </xf>
    <xf numFmtId="0" fontId="48" fillId="0" borderId="0" xfId="13" applyFont="1" applyProtection="1"/>
    <xf numFmtId="1" fontId="48" fillId="0" borderId="0" xfId="13" applyNumberFormat="1" applyFont="1" applyProtection="1"/>
    <xf numFmtId="0" fontId="44" fillId="0" borderId="27" xfId="28" applyFont="1" applyFill="1" applyBorder="1" applyAlignment="1" applyProtection="1">
      <alignment horizontal="center" vertical="center"/>
    </xf>
    <xf numFmtId="0" fontId="44" fillId="0" borderId="4" xfId="28" applyFont="1" applyFill="1" applyBorder="1" applyAlignment="1" applyProtection="1">
      <alignment horizontal="center" vertical="center"/>
    </xf>
    <xf numFmtId="0" fontId="44" fillId="0" borderId="28" xfId="28" applyFont="1" applyFill="1" applyBorder="1" applyAlignment="1" applyProtection="1">
      <alignment horizontal="center" vertical="center"/>
    </xf>
    <xf numFmtId="0" fontId="44" fillId="0" borderId="5" xfId="28" applyFont="1" applyFill="1" applyBorder="1" applyAlignment="1" applyProtection="1">
      <alignment horizontal="center" vertical="center"/>
    </xf>
    <xf numFmtId="0" fontId="48" fillId="0" borderId="51" xfId="16" applyFont="1" applyBorder="1" applyAlignment="1" applyProtection="1">
      <alignment horizontal="center" vertical="center"/>
    </xf>
    <xf numFmtId="0" fontId="48" fillId="0" borderId="18" xfId="16" applyFont="1" applyBorder="1" applyAlignment="1" applyProtection="1">
      <alignment horizontal="center" vertical="center"/>
    </xf>
    <xf numFmtId="0" fontId="48" fillId="0" borderId="52" xfId="16" applyFont="1" applyBorder="1" applyAlignment="1" applyProtection="1">
      <alignment horizontal="center" vertical="center"/>
    </xf>
    <xf numFmtId="0" fontId="48" fillId="0" borderId="51" xfId="16" applyFont="1" applyFill="1" applyBorder="1" applyAlignment="1" applyProtection="1">
      <alignment horizontal="center" vertical="center"/>
    </xf>
    <xf numFmtId="0" fontId="48" fillId="0" borderId="52" xfId="16" applyFont="1" applyFill="1" applyBorder="1" applyAlignment="1" applyProtection="1">
      <alignment horizontal="center" vertical="center"/>
    </xf>
    <xf numFmtId="167" fontId="48" fillId="10" borderId="27" xfId="16" applyNumberFormat="1" applyFont="1" applyFill="1" applyBorder="1" applyAlignment="1" applyProtection="1">
      <alignment horizontal="center" vertical="center"/>
    </xf>
    <xf numFmtId="167" fontId="48" fillId="10" borderId="4" xfId="16" applyNumberFormat="1" applyFont="1" applyFill="1" applyBorder="1" applyAlignment="1" applyProtection="1">
      <alignment horizontal="center" vertical="center"/>
    </xf>
    <xf numFmtId="167" fontId="48" fillId="10" borderId="28" xfId="16" applyNumberFormat="1" applyFont="1" applyFill="1" applyBorder="1" applyAlignment="1" applyProtection="1">
      <alignment horizontal="center" vertical="center"/>
    </xf>
    <xf numFmtId="0" fontId="48" fillId="0" borderId="28" xfId="23" applyFont="1" applyBorder="1" applyAlignment="1" applyProtection="1">
      <alignment vertical="center"/>
    </xf>
    <xf numFmtId="0" fontId="48" fillId="0" borderId="28" xfId="23" applyFont="1" applyFill="1" applyBorder="1" applyAlignment="1" applyProtection="1">
      <alignment vertical="center"/>
    </xf>
    <xf numFmtId="167" fontId="31" fillId="10" borderId="29" xfId="28" applyNumberFormat="1" applyFont="1" applyFill="1" applyBorder="1" applyAlignment="1" applyProtection="1">
      <alignment horizontal="center" vertical="center"/>
    </xf>
    <xf numFmtId="167" fontId="31" fillId="10" borderId="30" xfId="28" applyNumberFormat="1" applyFont="1" applyFill="1" applyBorder="1" applyAlignment="1" applyProtection="1">
      <alignment horizontal="center" vertical="center"/>
    </xf>
    <xf numFmtId="167" fontId="31" fillId="10" borderId="31" xfId="28" applyNumberFormat="1" applyFont="1" applyFill="1" applyBorder="1" applyAlignment="1" applyProtection="1">
      <alignment horizontal="center" vertical="center"/>
    </xf>
    <xf numFmtId="167" fontId="48" fillId="10" borderId="29" xfId="16" applyNumberFormat="1" applyFont="1" applyFill="1" applyBorder="1" applyAlignment="1" applyProtection="1">
      <alignment horizontal="center" vertical="center"/>
    </xf>
    <xf numFmtId="167" fontId="48" fillId="10" borderId="30" xfId="16" applyNumberFormat="1" applyFont="1" applyFill="1" applyBorder="1" applyAlignment="1" applyProtection="1">
      <alignment horizontal="center" vertical="center"/>
    </xf>
    <xf numFmtId="167" fontId="48" fillId="10" borderId="31" xfId="16" applyNumberFormat="1" applyFont="1" applyFill="1" applyBorder="1" applyAlignment="1" applyProtection="1">
      <alignment horizontal="center" vertical="center"/>
    </xf>
    <xf numFmtId="0" fontId="30" fillId="0" borderId="0" xfId="28" applyFont="1" applyFill="1" applyBorder="1" applyAlignment="1" applyProtection="1">
      <alignment horizontal="center" vertical="center"/>
    </xf>
    <xf numFmtId="167" fontId="27" fillId="9" borderId="27" xfId="28" applyNumberFormat="1" applyFont="1" applyFill="1" applyBorder="1" applyAlignment="1" applyProtection="1">
      <alignment horizontal="center" vertical="center"/>
      <protection locked="0"/>
    </xf>
    <xf numFmtId="167" fontId="27" fillId="9" borderId="4" xfId="28" applyNumberFormat="1" applyFont="1" applyFill="1" applyBorder="1" applyAlignment="1" applyProtection="1">
      <alignment horizontal="center" vertical="center"/>
      <protection locked="0"/>
    </xf>
    <xf numFmtId="167" fontId="27" fillId="9" borderId="28" xfId="28" applyNumberFormat="1" applyFont="1" applyFill="1" applyBorder="1" applyAlignment="1" applyProtection="1">
      <alignment horizontal="center" vertical="center"/>
      <protection locked="0"/>
    </xf>
    <xf numFmtId="0" fontId="48" fillId="0" borderId="0" xfId="28" applyFont="1" applyFill="1" applyBorder="1" applyAlignment="1" applyProtection="1">
      <alignment horizontal="left" vertical="center"/>
      <protection locked="0"/>
    </xf>
    <xf numFmtId="0" fontId="48" fillId="0" borderId="56" xfId="23" applyFont="1" applyBorder="1" applyAlignment="1" applyProtection="1">
      <alignment vertical="center"/>
    </xf>
    <xf numFmtId="167" fontId="44" fillId="10" borderId="74" xfId="28" applyNumberFormat="1" applyFont="1" applyFill="1" applyBorder="1" applyAlignment="1" applyProtection="1">
      <alignment horizontal="center" vertical="center"/>
    </xf>
    <xf numFmtId="167" fontId="44" fillId="10" borderId="72" xfId="28" applyNumberFormat="1" applyFont="1" applyFill="1" applyBorder="1" applyAlignment="1" applyProtection="1">
      <alignment horizontal="center" vertical="center"/>
    </xf>
    <xf numFmtId="167" fontId="44" fillId="10" borderId="73" xfId="28" applyNumberFormat="1" applyFont="1" applyFill="1" applyBorder="1" applyAlignment="1" applyProtection="1">
      <alignment horizontal="center" vertical="center"/>
    </xf>
    <xf numFmtId="167" fontId="44" fillId="10" borderId="68" xfId="28" applyNumberFormat="1" applyFont="1" applyFill="1" applyBorder="1" applyAlignment="1" applyProtection="1">
      <alignment horizontal="center" vertical="center"/>
    </xf>
    <xf numFmtId="167" fontId="44" fillId="10" borderId="45" xfId="28" applyNumberFormat="1" applyFont="1" applyFill="1" applyBorder="1" applyAlignment="1" applyProtection="1">
      <alignment horizontal="center" vertical="center"/>
    </xf>
    <xf numFmtId="167" fontId="44" fillId="10" borderId="30" xfId="28" applyNumberFormat="1" applyFont="1" applyFill="1" applyBorder="1" applyAlignment="1" applyProtection="1">
      <alignment horizontal="center" vertical="center"/>
    </xf>
    <xf numFmtId="167" fontId="44" fillId="10" borderId="31" xfId="28" applyNumberFormat="1" applyFont="1" applyFill="1" applyBorder="1" applyAlignment="1" applyProtection="1">
      <alignment horizontal="center" vertical="center"/>
    </xf>
    <xf numFmtId="167" fontId="44" fillId="10" borderId="29" xfId="28" applyNumberFormat="1" applyFont="1" applyFill="1" applyBorder="1" applyAlignment="1" applyProtection="1">
      <alignment horizontal="center" vertical="center"/>
    </xf>
    <xf numFmtId="0" fontId="48" fillId="0" borderId="28" xfId="28" applyFont="1" applyFill="1" applyBorder="1" applyAlignment="1" applyProtection="1">
      <alignment horizontal="left" vertical="center"/>
    </xf>
    <xf numFmtId="164" fontId="48" fillId="10" borderId="28" xfId="40" applyNumberFormat="1" applyFont="1" applyFill="1" applyBorder="1" applyAlignment="1" applyProtection="1">
      <alignment horizontal="center" vertical="center"/>
    </xf>
    <xf numFmtId="167" fontId="48" fillId="10" borderId="27" xfId="28" applyNumberFormat="1" applyFont="1" applyFill="1" applyBorder="1" applyAlignment="1" applyProtection="1">
      <alignment horizontal="center" vertical="center"/>
    </xf>
    <xf numFmtId="0" fontId="44" fillId="0" borderId="27" xfId="28" applyFont="1" applyFill="1" applyBorder="1" applyAlignment="1" applyProtection="1">
      <alignment vertical="center"/>
    </xf>
    <xf numFmtId="0" fontId="31" fillId="0" borderId="29" xfId="0" applyFont="1" applyBorder="1" applyAlignment="1" applyProtection="1">
      <alignment vertical="center"/>
    </xf>
    <xf numFmtId="167" fontId="48" fillId="10" borderId="45" xfId="28" applyNumberFormat="1" applyFont="1" applyFill="1" applyBorder="1" applyAlignment="1" applyProtection="1">
      <alignment horizontal="center" vertical="center"/>
    </xf>
    <xf numFmtId="167" fontId="48" fillId="10" borderId="60" xfId="28" applyNumberFormat="1" applyFont="1" applyFill="1" applyBorder="1" applyAlignment="1" applyProtection="1">
      <alignment horizontal="center" vertical="center"/>
    </xf>
    <xf numFmtId="167" fontId="48" fillId="10" borderId="29" xfId="28" applyNumberFormat="1" applyFont="1" applyFill="1" applyBorder="1" applyAlignment="1" applyProtection="1">
      <alignment horizontal="center" vertical="center"/>
    </xf>
    <xf numFmtId="164" fontId="48" fillId="10" borderId="31" xfId="40" applyNumberFormat="1" applyFont="1" applyFill="1" applyBorder="1" applyAlignment="1" applyProtection="1">
      <alignment horizontal="center" vertical="center"/>
    </xf>
    <xf numFmtId="0" fontId="48" fillId="0" borderId="22" xfId="28" applyFont="1" applyFill="1" applyBorder="1" applyAlignment="1" applyProtection="1">
      <alignment horizontal="left" vertical="center"/>
    </xf>
    <xf numFmtId="0" fontId="48" fillId="0" borderId="17" xfId="28" applyFont="1" applyFill="1" applyBorder="1" applyAlignment="1" applyProtection="1">
      <alignment horizontal="left" vertical="center"/>
    </xf>
    <xf numFmtId="167" fontId="48" fillId="0" borderId="27" xfId="28" applyNumberFormat="1" applyFont="1" applyFill="1" applyBorder="1" applyAlignment="1" applyProtection="1">
      <alignment horizontal="center" vertical="center"/>
      <protection locked="0"/>
    </xf>
    <xf numFmtId="167" fontId="48" fillId="0" borderId="4" xfId="28" applyNumberFormat="1" applyFont="1" applyFill="1" applyBorder="1" applyAlignment="1" applyProtection="1">
      <alignment horizontal="center" vertical="center"/>
      <protection locked="0"/>
    </xf>
    <xf numFmtId="167" fontId="48" fillId="0" borderId="28" xfId="28" applyNumberFormat="1" applyFont="1" applyFill="1" applyBorder="1" applyAlignment="1" applyProtection="1">
      <alignment horizontal="center" vertical="center"/>
      <protection locked="0"/>
    </xf>
    <xf numFmtId="167" fontId="48" fillId="0" borderId="27" xfId="16" applyNumberFormat="1" applyFont="1" applyFill="1" applyBorder="1" applyAlignment="1" applyProtection="1">
      <alignment horizontal="center" vertical="center"/>
    </xf>
    <xf numFmtId="167" fontId="48" fillId="0" borderId="4" xfId="16" applyNumberFormat="1" applyFont="1" applyFill="1" applyBorder="1" applyAlignment="1" applyProtection="1">
      <alignment horizontal="center" vertical="center"/>
    </xf>
    <xf numFmtId="167" fontId="48" fillId="0" borderId="28" xfId="16" applyNumberFormat="1" applyFont="1" applyFill="1" applyBorder="1" applyAlignment="1" applyProtection="1">
      <alignment horizontal="center" vertical="center"/>
    </xf>
    <xf numFmtId="164" fontId="48" fillId="0" borderId="28" xfId="40" applyNumberFormat="1" applyFont="1" applyFill="1" applyBorder="1" applyAlignment="1" applyProtection="1">
      <alignment horizontal="center" vertical="center"/>
    </xf>
    <xf numFmtId="0" fontId="48" fillId="0" borderId="20" xfId="28" applyFont="1" applyFill="1" applyBorder="1" applyAlignment="1" applyProtection="1">
      <alignment horizontal="left" vertical="center"/>
    </xf>
    <xf numFmtId="167" fontId="27" fillId="9" borderId="29" xfId="28" applyNumberFormat="1" applyFont="1" applyFill="1" applyBorder="1" applyAlignment="1" applyProtection="1">
      <alignment horizontal="center" vertical="center"/>
      <protection locked="0"/>
    </xf>
    <xf numFmtId="167" fontId="27" fillId="9" borderId="30" xfId="28" applyNumberFormat="1" applyFont="1" applyFill="1" applyBorder="1" applyAlignment="1" applyProtection="1">
      <alignment horizontal="center" vertical="center"/>
      <protection locked="0"/>
    </xf>
    <xf numFmtId="167" fontId="27" fillId="9" borderId="31" xfId="28" applyNumberFormat="1" applyFont="1" applyFill="1" applyBorder="1" applyAlignment="1" applyProtection="1">
      <alignment horizontal="center" vertical="center"/>
      <protection locked="0"/>
    </xf>
    <xf numFmtId="0" fontId="46" fillId="0" borderId="0" xfId="26" applyFont="1" applyProtection="1"/>
    <xf numFmtId="0" fontId="46" fillId="0" borderId="0" xfId="28" applyFont="1" applyFill="1" applyBorder="1" applyAlignment="1" applyProtection="1">
      <alignment horizontal="left" vertical="center"/>
    </xf>
    <xf numFmtId="1" fontId="46" fillId="0" borderId="0" xfId="13" applyNumberFormat="1" applyFont="1" applyProtection="1"/>
    <xf numFmtId="0" fontId="46" fillId="0" borderId="0" xfId="13" applyFont="1" applyProtection="1"/>
    <xf numFmtId="0" fontId="50" fillId="12" borderId="0" xfId="24" applyFont="1" applyFill="1" applyBorder="1" applyAlignment="1" applyProtection="1"/>
    <xf numFmtId="0" fontId="52" fillId="12" borderId="0" xfId="15" applyFont="1" applyFill="1" applyBorder="1" applyAlignment="1" applyProtection="1"/>
    <xf numFmtId="0" fontId="46" fillId="12" borderId="0" xfId="15" applyFont="1" applyFill="1" applyBorder="1" applyAlignment="1" applyProtection="1"/>
    <xf numFmtId="0" fontId="55" fillId="12" borderId="0" xfId="15" applyFont="1" applyFill="1" applyBorder="1" applyAlignment="1" applyProtection="1"/>
    <xf numFmtId="0" fontId="48" fillId="12" borderId="0" xfId="15" applyFont="1" applyFill="1" applyBorder="1" applyAlignment="1" applyProtection="1"/>
    <xf numFmtId="0" fontId="52" fillId="12" borderId="0" xfId="15" applyFont="1" applyFill="1" applyBorder="1" applyAlignment="1" applyProtection="1">
      <alignment horizontal="left"/>
    </xf>
    <xf numFmtId="0" fontId="52" fillId="12" borderId="21" xfId="15" applyFont="1" applyFill="1" applyBorder="1" applyAlignment="1" applyProtection="1"/>
    <xf numFmtId="0" fontId="55" fillId="12" borderId="21" xfId="15" applyFont="1" applyFill="1" applyBorder="1" applyAlignment="1" applyProtection="1">
      <alignment horizontal="left"/>
    </xf>
    <xf numFmtId="0" fontId="48" fillId="12" borderId="21" xfId="15" applyFont="1" applyFill="1" applyBorder="1" applyAlignment="1" applyProtection="1"/>
    <xf numFmtId="0" fontId="48" fillId="12" borderId="21" xfId="15" applyFont="1" applyFill="1" applyBorder="1" applyProtection="1"/>
    <xf numFmtId="0" fontId="48" fillId="0" borderId="0" xfId="15" applyFont="1" applyProtection="1"/>
    <xf numFmtId="0" fontId="44" fillId="0" borderId="69" xfId="17" applyFont="1" applyBorder="1" applyAlignment="1" applyProtection="1">
      <alignment horizontal="centerContinuous" vertical="center"/>
    </xf>
    <xf numFmtId="0" fontId="44" fillId="0" borderId="48" xfId="17" applyFont="1" applyBorder="1" applyAlignment="1" applyProtection="1">
      <alignment horizontal="centerContinuous" vertical="center"/>
    </xf>
    <xf numFmtId="0" fontId="48" fillId="0" borderId="47" xfId="17" applyFont="1" applyBorder="1" applyAlignment="1" applyProtection="1">
      <alignment horizontal="centerContinuous" vertical="center"/>
    </xf>
    <xf numFmtId="0" fontId="48" fillId="0" borderId="48" xfId="17" applyFont="1" applyBorder="1" applyAlignment="1" applyProtection="1">
      <alignment horizontal="centerContinuous" vertical="center"/>
    </xf>
    <xf numFmtId="0" fontId="44" fillId="0" borderId="27" xfId="17" applyFont="1" applyBorder="1" applyAlignment="1" applyProtection="1">
      <alignment horizontal="center" vertical="center" wrapText="1"/>
    </xf>
    <xf numFmtId="0" fontId="44" fillId="0" borderId="4" xfId="17" applyFont="1" applyBorder="1" applyAlignment="1" applyProtection="1">
      <alignment horizontal="center" vertical="center" wrapText="1"/>
    </xf>
    <xf numFmtId="0" fontId="44" fillId="0" borderId="28" xfId="17" applyFont="1" applyBorder="1" applyAlignment="1" applyProtection="1">
      <alignment horizontal="center" vertical="center" wrapText="1"/>
    </xf>
    <xf numFmtId="167" fontId="30" fillId="0" borderId="43" xfId="29" applyNumberFormat="1" applyFont="1" applyFill="1" applyBorder="1" applyAlignment="1" applyProtection="1">
      <alignment horizontal="center" vertical="center"/>
    </xf>
    <xf numFmtId="167" fontId="30" fillId="0" borderId="16" xfId="29" applyNumberFormat="1" applyFont="1" applyFill="1" applyBorder="1" applyAlignment="1" applyProtection="1">
      <alignment horizontal="center" vertical="center"/>
    </xf>
    <xf numFmtId="167" fontId="30" fillId="0" borderId="44" xfId="29" applyNumberFormat="1" applyFont="1" applyFill="1" applyBorder="1" applyAlignment="1" applyProtection="1">
      <alignment horizontal="center" vertical="center"/>
    </xf>
    <xf numFmtId="167" fontId="30" fillId="0" borderId="27" xfId="29" applyNumberFormat="1" applyFont="1" applyFill="1" applyBorder="1" applyAlignment="1" applyProtection="1">
      <alignment horizontal="center" vertical="center"/>
    </xf>
    <xf numFmtId="167" fontId="30" fillId="0" borderId="5" xfId="29" applyNumberFormat="1" applyFont="1" applyFill="1" applyBorder="1" applyAlignment="1" applyProtection="1">
      <alignment horizontal="center" vertical="center"/>
    </xf>
    <xf numFmtId="167" fontId="30" fillId="0" borderId="4" xfId="29" applyNumberFormat="1" applyFont="1" applyFill="1" applyBorder="1" applyAlignment="1" applyProtection="1">
      <alignment horizontal="center" vertical="center"/>
    </xf>
    <xf numFmtId="167" fontId="30" fillId="0" borderId="28" xfId="29" applyNumberFormat="1" applyFont="1" applyFill="1" applyBorder="1" applyAlignment="1" applyProtection="1">
      <alignment horizontal="center" vertical="center"/>
    </xf>
    <xf numFmtId="167" fontId="27" fillId="9" borderId="5" xfId="29" applyNumberFormat="1" applyFont="1" applyFill="1" applyBorder="1" applyAlignment="1" applyProtection="1">
      <alignment horizontal="center" vertical="center"/>
      <protection locked="0"/>
    </xf>
    <xf numFmtId="167" fontId="27" fillId="9" borderId="44" xfId="29" applyNumberFormat="1" applyFont="1" applyFill="1" applyBorder="1" applyAlignment="1" applyProtection="1">
      <alignment horizontal="center" vertical="center"/>
      <protection locked="0"/>
    </xf>
    <xf numFmtId="167" fontId="27" fillId="9" borderId="27" xfId="29" applyNumberFormat="1" applyFont="1" applyFill="1" applyBorder="1" applyAlignment="1" applyProtection="1">
      <alignment horizontal="center" vertical="center"/>
      <protection locked="0"/>
    </xf>
    <xf numFmtId="167" fontId="27" fillId="9" borderId="4" xfId="29" applyNumberFormat="1" applyFont="1" applyFill="1" applyBorder="1" applyAlignment="1" applyProtection="1">
      <alignment horizontal="center" vertical="center"/>
      <protection locked="0"/>
    </xf>
    <xf numFmtId="167" fontId="27" fillId="9" borderId="28" xfId="29" applyNumberFormat="1" applyFont="1" applyFill="1" applyBorder="1" applyAlignment="1" applyProtection="1">
      <alignment horizontal="center" vertical="center"/>
      <protection locked="0"/>
    </xf>
    <xf numFmtId="167" fontId="27" fillId="9" borderId="8" xfId="29" applyNumberFormat="1" applyFont="1" applyFill="1" applyBorder="1" applyAlignment="1" applyProtection="1">
      <alignment horizontal="center" vertical="center"/>
      <protection locked="0"/>
    </xf>
    <xf numFmtId="167" fontId="27" fillId="9" borderId="15" xfId="29" applyNumberFormat="1" applyFont="1" applyFill="1" applyBorder="1" applyAlignment="1" applyProtection="1">
      <alignment horizontal="center" vertical="center"/>
      <protection locked="0"/>
    </xf>
    <xf numFmtId="167" fontId="27" fillId="9" borderId="55" xfId="29" applyNumberFormat="1" applyFont="1" applyFill="1" applyBorder="1" applyAlignment="1" applyProtection="1">
      <alignment horizontal="center" vertical="center"/>
      <protection locked="0"/>
    </xf>
    <xf numFmtId="167" fontId="27" fillId="9" borderId="1" xfId="29" applyNumberFormat="1" applyFont="1" applyFill="1" applyBorder="1" applyAlignment="1" applyProtection="1">
      <alignment horizontal="center" vertical="center"/>
      <protection locked="0"/>
    </xf>
    <xf numFmtId="167" fontId="27" fillId="9" borderId="56" xfId="29" applyNumberFormat="1" applyFont="1" applyFill="1" applyBorder="1" applyAlignment="1" applyProtection="1">
      <alignment horizontal="center" vertical="center"/>
      <protection locked="0"/>
    </xf>
    <xf numFmtId="0" fontId="44" fillId="0" borderId="5" xfId="17" applyFont="1" applyBorder="1" applyAlignment="1" applyProtection="1">
      <alignment horizontal="center" vertical="center" wrapText="1"/>
    </xf>
    <xf numFmtId="167" fontId="27" fillId="9" borderId="5" xfId="29" applyNumberFormat="1" applyFont="1" applyFill="1" applyBorder="1" applyAlignment="1" applyProtection="1">
      <alignment vertical="center"/>
      <protection locked="0"/>
    </xf>
    <xf numFmtId="167" fontId="27" fillId="9" borderId="4" xfId="29" applyNumberFormat="1" applyFont="1" applyFill="1" applyBorder="1" applyAlignment="1" applyProtection="1">
      <alignment vertical="center"/>
      <protection locked="0"/>
    </xf>
    <xf numFmtId="1" fontId="48" fillId="0" borderId="27" xfId="29" applyNumberFormat="1" applyFont="1" applyFill="1" applyBorder="1" applyAlignment="1" applyProtection="1">
      <alignment horizontal="center" vertical="center"/>
    </xf>
    <xf numFmtId="1" fontId="48" fillId="0" borderId="4" xfId="29" applyNumberFormat="1" applyFont="1" applyFill="1" applyBorder="1" applyAlignment="1" applyProtection="1">
      <alignment horizontal="center" vertical="center"/>
    </xf>
    <xf numFmtId="1" fontId="27" fillId="9" borderId="4" xfId="29" applyNumberFormat="1" applyFont="1" applyFill="1" applyBorder="1" applyAlignment="1" applyProtection="1">
      <alignment horizontal="center" vertical="center"/>
      <protection locked="0"/>
    </xf>
    <xf numFmtId="1" fontId="48" fillId="0" borderId="28" xfId="29" applyNumberFormat="1" applyFont="1" applyFill="1" applyBorder="1" applyAlignment="1" applyProtection="1">
      <alignment horizontal="center" vertical="center"/>
    </xf>
    <xf numFmtId="0" fontId="48" fillId="0" borderId="0" xfId="15" applyFont="1" applyAlignment="1" applyProtection="1">
      <alignment vertical="center"/>
    </xf>
    <xf numFmtId="0" fontId="44" fillId="0" borderId="4" xfId="15" applyFont="1" applyFill="1" applyBorder="1" applyAlignment="1" applyProtection="1">
      <alignment horizontal="left" vertical="center" wrapText="1"/>
    </xf>
    <xf numFmtId="0" fontId="48" fillId="0" borderId="0" xfId="15" applyFont="1" applyFill="1" applyBorder="1" applyAlignment="1" applyProtection="1">
      <alignment vertical="center"/>
    </xf>
    <xf numFmtId="1" fontId="27" fillId="9" borderId="5" xfId="29" applyNumberFormat="1" applyFont="1" applyFill="1" applyBorder="1" applyAlignment="1" applyProtection="1">
      <alignment horizontal="center" vertical="center"/>
      <protection locked="0"/>
    </xf>
    <xf numFmtId="1" fontId="27" fillId="9" borderId="28" xfId="29" applyNumberFormat="1" applyFont="1" applyFill="1" applyBorder="1" applyAlignment="1" applyProtection="1">
      <alignment horizontal="center" vertical="center"/>
      <protection locked="0"/>
    </xf>
    <xf numFmtId="1" fontId="48" fillId="0" borderId="49" xfId="29" applyNumberFormat="1" applyFont="1" applyFill="1" applyBorder="1" applyAlignment="1" applyProtection="1">
      <alignment horizontal="center" vertical="center"/>
    </xf>
    <xf numFmtId="1" fontId="27" fillId="9" borderId="12" xfId="29" applyNumberFormat="1" applyFont="1" applyFill="1" applyBorder="1" applyAlignment="1" applyProtection="1">
      <alignment horizontal="center" vertical="center"/>
      <protection locked="0"/>
    </xf>
    <xf numFmtId="1" fontId="27" fillId="9" borderId="3" xfId="29" applyNumberFormat="1" applyFont="1" applyFill="1" applyBorder="1" applyAlignment="1" applyProtection="1">
      <alignment horizontal="center" vertical="center"/>
      <protection locked="0"/>
    </xf>
    <xf numFmtId="1" fontId="27" fillId="9" borderId="57" xfId="29" applyNumberFormat="1" applyFont="1" applyFill="1" applyBorder="1" applyAlignment="1" applyProtection="1">
      <alignment horizontal="center" vertical="center"/>
      <protection locked="0"/>
    </xf>
    <xf numFmtId="0" fontId="48" fillId="11" borderId="3" xfId="29" applyFont="1" applyFill="1" applyBorder="1" applyAlignment="1" applyProtection="1">
      <alignment horizontal="center" vertical="center"/>
    </xf>
    <xf numFmtId="1" fontId="27" fillId="9" borderId="49" xfId="29" applyNumberFormat="1" applyFont="1" applyFill="1" applyBorder="1" applyAlignment="1" applyProtection="1">
      <alignment horizontal="center" vertical="center"/>
      <protection locked="0"/>
    </xf>
    <xf numFmtId="0" fontId="27" fillId="11" borderId="3" xfId="29" applyFont="1" applyFill="1" applyBorder="1" applyAlignment="1" applyProtection="1">
      <alignment horizontal="center" vertical="center"/>
    </xf>
    <xf numFmtId="0" fontId="48" fillId="11" borderId="4" xfId="29" applyFont="1" applyFill="1" applyBorder="1" applyAlignment="1" applyProtection="1">
      <alignment horizontal="center" vertical="center"/>
    </xf>
    <xf numFmtId="1" fontId="27" fillId="9" borderId="27" xfId="29" applyNumberFormat="1" applyFont="1" applyFill="1" applyBorder="1" applyAlignment="1" applyProtection="1">
      <alignment horizontal="center" vertical="center"/>
      <protection locked="0"/>
    </xf>
    <xf numFmtId="0" fontId="27" fillId="11" borderId="4" xfId="29" applyFont="1" applyFill="1" applyBorder="1" applyAlignment="1" applyProtection="1">
      <alignment horizontal="center" vertical="center"/>
    </xf>
    <xf numFmtId="167" fontId="48" fillId="0" borderId="49" xfId="29" applyNumberFormat="1" applyFont="1" applyFill="1" applyBorder="1" applyAlignment="1" applyProtection="1">
      <alignment horizontal="center" vertical="center"/>
    </xf>
    <xf numFmtId="167" fontId="27" fillId="9" borderId="12" xfId="29" applyNumberFormat="1" applyFont="1" applyFill="1" applyBorder="1" applyAlignment="1" applyProtection="1">
      <alignment horizontal="center" vertical="center"/>
      <protection locked="0"/>
    </xf>
    <xf numFmtId="0" fontId="27" fillId="11" borderId="28" xfId="29" applyFont="1" applyFill="1" applyBorder="1" applyAlignment="1" applyProtection="1">
      <alignment horizontal="center" vertical="center"/>
    </xf>
    <xf numFmtId="167" fontId="27" fillId="9" borderId="3" xfId="29" applyNumberFormat="1" applyFont="1" applyFill="1" applyBorder="1" applyAlignment="1" applyProtection="1">
      <alignment horizontal="center" vertical="center"/>
      <protection locked="0"/>
    </xf>
    <xf numFmtId="0" fontId="27" fillId="11" borderId="57" xfId="29" applyFont="1" applyFill="1" applyBorder="1" applyAlignment="1" applyProtection="1">
      <alignment horizontal="center" vertical="center"/>
    </xf>
    <xf numFmtId="167" fontId="48" fillId="0" borderId="3" xfId="29" applyNumberFormat="1" applyFont="1" applyFill="1" applyBorder="1" applyAlignment="1" applyProtection="1">
      <alignment horizontal="center" vertical="center"/>
    </xf>
    <xf numFmtId="0" fontId="27" fillId="11" borderId="82" xfId="29" applyFont="1" applyFill="1" applyBorder="1" applyAlignment="1" applyProtection="1">
      <alignment horizontal="center" vertical="center"/>
    </xf>
    <xf numFmtId="167" fontId="48" fillId="0" borderId="27" xfId="29" applyNumberFormat="1" applyFont="1" applyFill="1" applyBorder="1" applyAlignment="1" applyProtection="1">
      <alignment horizontal="center" vertical="center"/>
    </xf>
    <xf numFmtId="167" fontId="48" fillId="0" borderId="4" xfId="29" applyNumberFormat="1" applyFont="1" applyFill="1" applyBorder="1" applyAlignment="1" applyProtection="1">
      <alignment horizontal="center" vertical="center"/>
    </xf>
    <xf numFmtId="167" fontId="48" fillId="0" borderId="29" xfId="29" applyNumberFormat="1" applyFont="1" applyFill="1" applyBorder="1" applyAlignment="1" applyProtection="1">
      <alignment horizontal="center" vertical="center"/>
    </xf>
    <xf numFmtId="167" fontId="48" fillId="0" borderId="30" xfId="29" applyNumberFormat="1" applyFont="1" applyFill="1" applyBorder="1" applyAlignment="1" applyProtection="1">
      <alignment horizontal="center" vertical="center"/>
    </xf>
    <xf numFmtId="0" fontId="27" fillId="11" borderId="31" xfId="29" applyFont="1" applyFill="1" applyBorder="1" applyAlignment="1" applyProtection="1">
      <alignment horizontal="center" vertical="center"/>
    </xf>
    <xf numFmtId="1" fontId="48" fillId="0" borderId="3" xfId="29" applyNumberFormat="1" applyFont="1" applyFill="1" applyBorder="1" applyAlignment="1" applyProtection="1">
      <alignment horizontal="center" vertical="center"/>
    </xf>
    <xf numFmtId="1" fontId="48" fillId="0" borderId="57" xfId="29" applyNumberFormat="1" applyFont="1" applyFill="1" applyBorder="1" applyAlignment="1" applyProtection="1">
      <alignment horizontal="center" vertical="center"/>
    </xf>
    <xf numFmtId="0" fontId="44" fillId="0" borderId="7" xfId="15" applyFont="1" applyBorder="1" applyAlignment="1" applyProtection="1">
      <alignment horizontal="centerContinuous" vertical="center"/>
    </xf>
    <xf numFmtId="0" fontId="44" fillId="0" borderId="16" xfId="15" applyFont="1" applyBorder="1" applyAlignment="1" applyProtection="1">
      <alignment horizontal="centerContinuous" vertical="center"/>
    </xf>
    <xf numFmtId="0" fontId="44" fillId="0" borderId="44" xfId="15" applyFont="1" applyBorder="1" applyAlignment="1" applyProtection="1">
      <alignment horizontal="centerContinuous" vertical="center"/>
    </xf>
    <xf numFmtId="0" fontId="44" fillId="0" borderId="11" xfId="15" applyFont="1" applyBorder="1" applyAlignment="1" applyProtection="1">
      <alignment horizontal="centerContinuous" vertical="center"/>
    </xf>
    <xf numFmtId="0" fontId="44" fillId="0" borderId="18" xfId="15" applyFont="1" applyBorder="1" applyAlignment="1" applyProtection="1">
      <alignment horizontal="centerContinuous" vertical="center"/>
    </xf>
    <xf numFmtId="0" fontId="44" fillId="0" borderId="52" xfId="15" applyFont="1" applyBorder="1" applyAlignment="1" applyProtection="1">
      <alignment horizontal="centerContinuous" vertical="center"/>
    </xf>
    <xf numFmtId="0" fontId="48" fillId="11" borderId="30" xfId="29" applyFont="1" applyFill="1" applyBorder="1" applyAlignment="1" applyProtection="1">
      <alignment horizontal="center" vertical="center"/>
    </xf>
    <xf numFmtId="0" fontId="1" fillId="0" borderId="8" xfId="0" applyFont="1" applyBorder="1"/>
    <xf numFmtId="0" fontId="1" fillId="0" borderId="1" xfId="0" applyFont="1" applyBorder="1"/>
    <xf numFmtId="0" fontId="1" fillId="0" borderId="0" xfId="0" applyFont="1" applyBorder="1"/>
    <xf numFmtId="0" fontId="5" fillId="12" borderId="0" xfId="16" applyFill="1" applyBorder="1" applyAlignment="1" applyProtection="1"/>
    <xf numFmtId="0" fontId="37" fillId="12" borderId="0" xfId="0" applyFont="1" applyFill="1" applyBorder="1" applyAlignment="1" applyProtection="1"/>
    <xf numFmtId="0" fontId="8" fillId="12" borderId="0" xfId="16" applyFont="1" applyFill="1" applyBorder="1" applyAlignment="1" applyProtection="1"/>
    <xf numFmtId="0" fontId="51" fillId="12" borderId="0" xfId="16" applyFont="1" applyFill="1" applyBorder="1" applyAlignment="1" applyProtection="1"/>
    <xf numFmtId="0" fontId="52" fillId="12" borderId="0" xfId="16" applyFont="1" applyFill="1" applyBorder="1" applyAlignment="1" applyProtection="1">
      <alignment horizontal="left"/>
    </xf>
    <xf numFmtId="0" fontId="32" fillId="12" borderId="0" xfId="16" applyFont="1" applyFill="1" applyBorder="1" applyAlignment="1" applyProtection="1">
      <alignment horizontal="left"/>
    </xf>
    <xf numFmtId="0" fontId="52" fillId="12" borderId="21" xfId="16" applyFont="1" applyFill="1" applyBorder="1" applyAlignment="1" applyProtection="1"/>
    <xf numFmtId="0" fontId="5" fillId="12" borderId="21" xfId="16" applyFill="1" applyBorder="1" applyAlignment="1" applyProtection="1"/>
    <xf numFmtId="0" fontId="32" fillId="12" borderId="21" xfId="16" applyFont="1" applyFill="1" applyBorder="1" applyAlignment="1" applyProtection="1">
      <alignment horizontal="left"/>
    </xf>
    <xf numFmtId="0" fontId="44" fillId="0" borderId="0" xfId="16" applyFont="1" applyBorder="1" applyAlignment="1" applyProtection="1">
      <alignment horizontal="centerContinuous" vertical="center"/>
    </xf>
    <xf numFmtId="0" fontId="44" fillId="0" borderId="0" xfId="16" applyFont="1" applyBorder="1" applyAlignment="1" applyProtection="1">
      <alignment horizontal="center" vertical="center" wrapText="1"/>
    </xf>
    <xf numFmtId="0" fontId="44" fillId="0" borderId="0" xfId="16" applyFont="1" applyFill="1" applyBorder="1" applyAlignment="1" applyProtection="1">
      <alignment horizontal="center" vertical="center"/>
    </xf>
    <xf numFmtId="9" fontId="48" fillId="0" borderId="22" xfId="33" applyFont="1" applyBorder="1" applyAlignment="1" applyProtection="1">
      <alignment horizontal="center" vertical="center"/>
    </xf>
    <xf numFmtId="9" fontId="48" fillId="0" borderId="0" xfId="33" applyFont="1" applyFill="1" applyBorder="1" applyAlignment="1" applyProtection="1">
      <alignment horizontal="center" vertical="center"/>
    </xf>
    <xf numFmtId="164" fontId="48" fillId="0" borderId="0" xfId="33" applyNumberFormat="1" applyFont="1" applyFill="1" applyBorder="1" applyAlignment="1" applyProtection="1">
      <alignment horizontal="center" vertical="center"/>
    </xf>
    <xf numFmtId="164" fontId="44" fillId="0" borderId="0" xfId="16" applyNumberFormat="1" applyFont="1" applyFill="1" applyBorder="1" applyAlignment="1" applyProtection="1">
      <alignment horizontal="center" vertical="center"/>
    </xf>
    <xf numFmtId="164" fontId="48" fillId="0" borderId="22" xfId="33" applyNumberFormat="1" applyFont="1" applyBorder="1" applyAlignment="1" applyProtection="1">
      <alignment horizontal="center" vertical="center"/>
    </xf>
    <xf numFmtId="0" fontId="5" fillId="0" borderId="0" xfId="16" applyFill="1" applyProtection="1"/>
    <xf numFmtId="0" fontId="48" fillId="0" borderId="0" xfId="16" applyFont="1" applyProtection="1"/>
    <xf numFmtId="0" fontId="44" fillId="0" borderId="47" xfId="16" applyFont="1" applyBorder="1" applyAlignment="1" applyProtection="1">
      <alignment horizontal="centerContinuous" vertical="center"/>
    </xf>
    <xf numFmtId="0" fontId="44" fillId="0" borderId="67" xfId="16" applyFont="1" applyBorder="1" applyAlignment="1" applyProtection="1">
      <alignment horizontal="centerContinuous" vertical="center" wrapText="1"/>
    </xf>
    <xf numFmtId="0" fontId="44" fillId="0" borderId="82" xfId="16" applyFont="1" applyBorder="1" applyAlignment="1" applyProtection="1">
      <alignment horizontal="centerContinuous" vertical="center" wrapText="1"/>
    </xf>
    <xf numFmtId="0" fontId="44" fillId="0" borderId="27" xfId="30" applyFont="1" applyFill="1" applyBorder="1" applyAlignment="1" applyProtection="1">
      <alignment horizontal="center"/>
    </xf>
    <xf numFmtId="0" fontId="44" fillId="0" borderId="4" xfId="28" applyFont="1" applyFill="1" applyBorder="1" applyAlignment="1" applyProtection="1">
      <alignment horizontal="center"/>
    </xf>
    <xf numFmtId="0" fontId="44" fillId="0" borderId="28" xfId="28" applyFont="1" applyBorder="1" applyAlignment="1" applyProtection="1">
      <alignment horizontal="center"/>
    </xf>
    <xf numFmtId="0" fontId="44" fillId="0" borderId="27" xfId="28" applyFont="1" applyBorder="1" applyAlignment="1" applyProtection="1">
      <alignment horizontal="center" vertical="center"/>
    </xf>
    <xf numFmtId="0" fontId="44" fillId="0" borderId="28" xfId="28" applyFont="1" applyBorder="1" applyAlignment="1" applyProtection="1">
      <alignment horizontal="center" vertical="center"/>
    </xf>
    <xf numFmtId="0" fontId="48" fillId="3" borderId="63" xfId="28" applyFont="1" applyFill="1" applyBorder="1" applyAlignment="1" applyProtection="1">
      <alignment horizontal="left" vertical="center"/>
    </xf>
    <xf numFmtId="0" fontId="48" fillId="0" borderId="38" xfId="28" applyFont="1" applyFill="1" applyBorder="1" applyAlignment="1" applyProtection="1">
      <alignment horizontal="left" vertical="center"/>
    </xf>
    <xf numFmtId="167" fontId="48" fillId="10" borderId="28" xfId="28" applyNumberFormat="1" applyFont="1" applyFill="1" applyBorder="1" applyAlignment="1" applyProtection="1">
      <alignment horizontal="center" vertical="center"/>
    </xf>
    <xf numFmtId="0" fontId="48" fillId="0" borderId="64" xfId="28" applyFont="1" applyFill="1" applyBorder="1" applyAlignment="1" applyProtection="1">
      <alignment horizontal="left" vertical="center"/>
    </xf>
    <xf numFmtId="10" fontId="48" fillId="0" borderId="29" xfId="28" applyNumberFormat="1" applyFont="1" applyFill="1" applyBorder="1" applyAlignment="1" applyProtection="1">
      <alignment horizontal="center" vertical="center"/>
    </xf>
    <xf numFmtId="10" fontId="48" fillId="0" borderId="30" xfId="28" applyNumberFormat="1" applyFont="1" applyFill="1" applyBorder="1" applyAlignment="1" applyProtection="1">
      <alignment horizontal="center" vertical="center"/>
    </xf>
    <xf numFmtId="10" fontId="48" fillId="0" borderId="31" xfId="28" applyNumberFormat="1" applyFont="1" applyFill="1" applyBorder="1" applyAlignment="1" applyProtection="1">
      <alignment horizontal="center" vertical="center"/>
    </xf>
    <xf numFmtId="1" fontId="48" fillId="10" borderId="29" xfId="28" applyNumberFormat="1" applyFont="1" applyFill="1" applyBorder="1" applyAlignment="1" applyProtection="1">
      <alignment horizontal="center" vertical="center"/>
    </xf>
    <xf numFmtId="1" fontId="48" fillId="10" borderId="31" xfId="28" applyNumberFormat="1" applyFont="1" applyFill="1" applyBorder="1" applyAlignment="1" applyProtection="1">
      <alignment horizontal="center" vertical="center"/>
    </xf>
    <xf numFmtId="164" fontId="48" fillId="0" borderId="27" xfId="35" applyNumberFormat="1" applyFont="1" applyFill="1" applyBorder="1" applyAlignment="1" applyProtection="1">
      <alignment horizontal="center" vertical="center"/>
    </xf>
    <xf numFmtId="164" fontId="48" fillId="0" borderId="4" xfId="35" applyNumberFormat="1" applyFont="1" applyFill="1" applyBorder="1" applyAlignment="1" applyProtection="1">
      <alignment horizontal="center" vertical="center"/>
    </xf>
    <xf numFmtId="164" fontId="48" fillId="0" borderId="28" xfId="35" applyNumberFormat="1" applyFont="1" applyFill="1" applyBorder="1" applyAlignment="1" applyProtection="1">
      <alignment horizontal="center" vertical="center"/>
    </xf>
    <xf numFmtId="9" fontId="48" fillId="10" borderId="27" xfId="33" applyFont="1" applyFill="1" applyBorder="1" applyAlignment="1" applyProtection="1">
      <alignment horizontal="center" vertical="center"/>
    </xf>
    <xf numFmtId="9" fontId="48" fillId="10" borderId="28" xfId="33" applyFont="1" applyFill="1" applyBorder="1" applyAlignment="1" applyProtection="1">
      <alignment horizontal="center" vertical="center"/>
    </xf>
    <xf numFmtId="167" fontId="48" fillId="10" borderId="31" xfId="28" applyNumberFormat="1" applyFont="1" applyFill="1" applyBorder="1" applyAlignment="1" applyProtection="1">
      <alignment horizontal="center" vertical="center"/>
    </xf>
    <xf numFmtId="0" fontId="44" fillId="0" borderId="61" xfId="16" applyFont="1" applyBorder="1" applyAlignment="1" applyProtection="1">
      <alignment horizontal="center" vertical="center" wrapText="1"/>
    </xf>
    <xf numFmtId="0" fontId="44" fillId="0" borderId="67" xfId="16" applyFont="1" applyBorder="1" applyAlignment="1" applyProtection="1">
      <alignment horizontal="center" vertical="center" wrapText="1"/>
    </xf>
    <xf numFmtId="0" fontId="44" fillId="0" borderId="81" xfId="16" applyFont="1" applyBorder="1" applyAlignment="1" applyProtection="1">
      <alignment horizontal="center" vertical="center" wrapText="1"/>
    </xf>
    <xf numFmtId="0" fontId="44" fillId="0" borderId="82" xfId="16" applyFont="1" applyBorder="1" applyAlignment="1" applyProtection="1">
      <alignment horizontal="center" vertical="center" wrapText="1"/>
    </xf>
    <xf numFmtId="0" fontId="44" fillId="0" borderId="63" xfId="16" applyFont="1" applyFill="1" applyBorder="1" applyAlignment="1" applyProtection="1">
      <alignment horizontal="center" vertical="center" wrapText="1"/>
    </xf>
    <xf numFmtId="0" fontId="44" fillId="0" borderId="4" xfId="16" applyNumberFormat="1" applyFont="1" applyFill="1" applyBorder="1" applyAlignment="1" applyProtection="1">
      <alignment horizontal="center" vertical="center" wrapText="1"/>
    </xf>
    <xf numFmtId="0" fontId="44" fillId="0" borderId="55" xfId="16" applyFont="1" applyFill="1" applyBorder="1" applyAlignment="1" applyProtection="1">
      <alignment horizontal="center" vertical="center" wrapText="1"/>
    </xf>
    <xf numFmtId="0" fontId="44" fillId="0" borderId="1" xfId="16" applyFont="1" applyFill="1" applyBorder="1" applyAlignment="1" applyProtection="1">
      <alignment horizontal="center" vertical="center" wrapText="1"/>
    </xf>
    <xf numFmtId="0" fontId="44" fillId="0" borderId="6" xfId="16" applyFont="1" applyFill="1" applyBorder="1" applyAlignment="1" applyProtection="1">
      <alignment horizontal="center" vertical="center" wrapText="1"/>
    </xf>
    <xf numFmtId="0" fontId="44" fillId="0" borderId="7" xfId="16" applyFont="1" applyFill="1" applyBorder="1" applyAlignment="1" applyProtection="1">
      <alignment horizontal="center" vertical="center"/>
    </xf>
    <xf numFmtId="0" fontId="15" fillId="0" borderId="1" xfId="28" applyFont="1" applyFill="1" applyBorder="1" applyAlignment="1" applyProtection="1">
      <alignment horizontal="center" vertical="center"/>
    </xf>
    <xf numFmtId="0" fontId="44" fillId="0" borderId="38" xfId="16" applyFont="1" applyFill="1" applyBorder="1" applyAlignment="1" applyProtection="1">
      <alignment horizontal="center" vertical="center"/>
    </xf>
    <xf numFmtId="0" fontId="44" fillId="0" borderId="38" xfId="16" applyFont="1" applyFill="1" applyBorder="1" applyAlignment="1" applyProtection="1">
      <alignment horizontal="center" vertical="center" wrapText="1"/>
    </xf>
    <xf numFmtId="0" fontId="5" fillId="0" borderId="53" xfId="16" applyBorder="1" applyProtection="1">
      <protection locked="0"/>
    </xf>
    <xf numFmtId="166" fontId="27" fillId="9" borderId="67" xfId="16" applyNumberFormat="1" applyFont="1" applyFill="1" applyBorder="1" applyAlignment="1" applyProtection="1">
      <alignment horizontal="center" vertical="center"/>
      <protection locked="0"/>
    </xf>
    <xf numFmtId="166" fontId="27" fillId="9" borderId="81" xfId="16" applyNumberFormat="1" applyFont="1" applyFill="1" applyBorder="1" applyAlignment="1" applyProtection="1">
      <alignment horizontal="center" vertical="center"/>
      <protection locked="0"/>
    </xf>
    <xf numFmtId="166" fontId="27" fillId="9" borderId="82" xfId="16" applyNumberFormat="1" applyFont="1" applyFill="1" applyBorder="1" applyAlignment="1" applyProtection="1">
      <alignment horizontal="center" vertical="center"/>
      <protection locked="0"/>
    </xf>
    <xf numFmtId="166" fontId="27" fillId="9" borderId="16" xfId="16" applyNumberFormat="1" applyFont="1" applyFill="1" applyBorder="1" applyAlignment="1" applyProtection="1">
      <alignment horizontal="center" vertical="center"/>
      <protection locked="0"/>
    </xf>
    <xf numFmtId="166" fontId="27" fillId="9" borderId="38" xfId="16" applyNumberFormat="1" applyFont="1" applyFill="1" applyBorder="1" applyAlignment="1" applyProtection="1">
      <alignment horizontal="center" vertical="center"/>
      <protection locked="0"/>
    </xf>
    <xf numFmtId="0" fontId="5" fillId="0" borderId="17" xfId="16" applyBorder="1" applyProtection="1">
      <protection locked="0"/>
    </xf>
    <xf numFmtId="166" fontId="27" fillId="9" borderId="29" xfId="16" applyNumberFormat="1" applyFont="1" applyFill="1" applyBorder="1" applyAlignment="1" applyProtection="1">
      <alignment horizontal="center" vertical="center"/>
      <protection locked="0"/>
    </xf>
    <xf numFmtId="166" fontId="27" fillId="9" borderId="30" xfId="16" applyNumberFormat="1" applyFont="1" applyFill="1" applyBorder="1" applyAlignment="1" applyProtection="1">
      <alignment horizontal="center" vertical="center"/>
      <protection locked="0"/>
    </xf>
    <xf numFmtId="166" fontId="27" fillId="9" borderId="31" xfId="16" applyNumberFormat="1" applyFont="1" applyFill="1" applyBorder="1" applyAlignment="1" applyProtection="1">
      <alignment horizontal="center" vertical="center"/>
      <protection locked="0"/>
    </xf>
    <xf numFmtId="0" fontId="5" fillId="10" borderId="59" xfId="16" applyFill="1" applyBorder="1" applyAlignment="1" applyProtection="1">
      <alignment horizontal="center" vertical="center"/>
      <protection locked="0"/>
    </xf>
    <xf numFmtId="1" fontId="5" fillId="10" borderId="30" xfId="16" applyNumberFormat="1" applyFill="1" applyBorder="1" applyAlignment="1" applyProtection="1">
      <alignment horizontal="center" vertical="center"/>
      <protection locked="0"/>
    </xf>
    <xf numFmtId="167" fontId="5" fillId="10" borderId="31" xfId="16" applyNumberFormat="1" applyFill="1" applyBorder="1" applyAlignment="1" applyProtection="1">
      <alignment horizontal="center" vertical="center"/>
      <protection locked="0"/>
    </xf>
    <xf numFmtId="2" fontId="5" fillId="10" borderId="45" xfId="16" applyNumberFormat="1" applyFill="1" applyBorder="1" applyAlignment="1" applyProtection="1">
      <alignment horizontal="center" vertical="center"/>
      <protection locked="0"/>
    </xf>
    <xf numFmtId="10" fontId="0" fillId="0" borderId="0" xfId="33" applyNumberFormat="1" applyFont="1"/>
    <xf numFmtId="9" fontId="16" fillId="0" borderId="0" xfId="0" applyNumberFormat="1" applyFont="1" applyFill="1" applyBorder="1" applyAlignment="1"/>
    <xf numFmtId="9" fontId="0" fillId="9" borderId="2" xfId="0" applyNumberFormat="1" applyFill="1" applyBorder="1" applyAlignment="1"/>
    <xf numFmtId="174" fontId="19" fillId="9" borderId="4" xfId="0" applyNumberFormat="1" applyFont="1" applyFill="1" applyBorder="1" applyAlignment="1" applyProtection="1">
      <protection locked="0"/>
    </xf>
    <xf numFmtId="2" fontId="0" fillId="0" borderId="0" xfId="0" applyNumberFormat="1"/>
    <xf numFmtId="167" fontId="58" fillId="0" borderId="49" xfId="28" applyNumberFormat="1" applyFont="1" applyFill="1" applyBorder="1" applyAlignment="1" applyProtection="1">
      <alignment horizontal="center" vertical="center"/>
    </xf>
    <xf numFmtId="167" fontId="58" fillId="0" borderId="3" xfId="28" applyNumberFormat="1" applyFont="1" applyFill="1" applyBorder="1" applyAlignment="1" applyProtection="1">
      <alignment horizontal="center" vertical="center"/>
    </xf>
    <xf numFmtId="167" fontId="58" fillId="0" borderId="57" xfId="28" applyNumberFormat="1" applyFont="1" applyFill="1" applyBorder="1" applyAlignment="1" applyProtection="1">
      <alignment horizontal="center" vertical="center"/>
    </xf>
    <xf numFmtId="167" fontId="58" fillId="0" borderId="27" xfId="28" applyNumberFormat="1" applyFont="1" applyFill="1" applyBorder="1" applyAlignment="1" applyProtection="1">
      <alignment horizontal="center" vertical="center"/>
    </xf>
    <xf numFmtId="167" fontId="58" fillId="0" borderId="4" xfId="28" applyNumberFormat="1" applyFont="1" applyFill="1" applyBorder="1" applyAlignment="1" applyProtection="1">
      <alignment horizontal="center" vertical="center"/>
    </xf>
    <xf numFmtId="167" fontId="58" fillId="0" borderId="28" xfId="28" applyNumberFormat="1" applyFont="1" applyFill="1" applyBorder="1" applyAlignment="1" applyProtection="1">
      <alignment horizontal="center" vertical="center"/>
    </xf>
    <xf numFmtId="167" fontId="19" fillId="9" borderId="12" xfId="28" applyNumberFormat="1" applyFont="1" applyFill="1" applyBorder="1" applyAlignment="1" applyProtection="1">
      <alignment horizontal="center" vertical="center"/>
      <protection locked="0"/>
    </xf>
    <xf numFmtId="167" fontId="19" fillId="9" borderId="52" xfId="28" applyNumberFormat="1" applyFont="1" applyFill="1" applyBorder="1" applyAlignment="1" applyProtection="1">
      <alignment horizontal="center" vertical="center"/>
      <protection locked="0"/>
    </xf>
    <xf numFmtId="167" fontId="19" fillId="9" borderId="49" xfId="28" applyNumberFormat="1" applyFont="1" applyFill="1" applyBorder="1" applyAlignment="1" applyProtection="1">
      <alignment horizontal="center" vertical="center"/>
      <protection locked="0"/>
    </xf>
    <xf numFmtId="167" fontId="19" fillId="9" borderId="3" xfId="28" applyNumberFormat="1" applyFont="1" applyFill="1" applyBorder="1" applyAlignment="1" applyProtection="1">
      <alignment horizontal="center" vertical="center"/>
      <protection locked="0"/>
    </xf>
    <xf numFmtId="167" fontId="19" fillId="9" borderId="57" xfId="28" applyNumberFormat="1" applyFont="1" applyFill="1" applyBorder="1" applyAlignment="1" applyProtection="1">
      <alignment horizontal="center" vertical="center"/>
      <protection locked="0"/>
    </xf>
    <xf numFmtId="167" fontId="19" fillId="9" borderId="5" xfId="28" applyNumberFormat="1" applyFont="1" applyFill="1" applyBorder="1" applyAlignment="1" applyProtection="1">
      <alignment horizontal="center" vertical="center"/>
      <protection locked="0"/>
    </xf>
    <xf numFmtId="167" fontId="19" fillId="9" borderId="44" xfId="28" applyNumberFormat="1" applyFont="1" applyFill="1" applyBorder="1" applyAlignment="1" applyProtection="1">
      <alignment horizontal="center" vertical="center"/>
      <protection locked="0"/>
    </xf>
    <xf numFmtId="167" fontId="19" fillId="9" borderId="27" xfId="28" applyNumberFormat="1" applyFont="1" applyFill="1" applyBorder="1" applyAlignment="1" applyProtection="1">
      <alignment horizontal="center" vertical="center"/>
      <protection locked="0"/>
    </xf>
    <xf numFmtId="167" fontId="19" fillId="9" borderId="4" xfId="28" applyNumberFormat="1" applyFont="1" applyFill="1" applyBorder="1" applyAlignment="1" applyProtection="1">
      <alignment horizontal="center" vertical="center"/>
      <protection locked="0"/>
    </xf>
    <xf numFmtId="167" fontId="19" fillId="9" borderId="28" xfId="28" applyNumberFormat="1" applyFont="1" applyFill="1" applyBorder="1" applyAlignment="1" applyProtection="1">
      <alignment horizontal="center" vertical="center"/>
      <protection locked="0"/>
    </xf>
    <xf numFmtId="167" fontId="8" fillId="0" borderId="5" xfId="28" applyNumberFormat="1" applyFont="1" applyFill="1" applyBorder="1" applyAlignment="1" applyProtection="1">
      <alignment horizontal="center" vertical="center"/>
    </xf>
    <xf numFmtId="167" fontId="8" fillId="0" borderId="4" xfId="28" applyNumberFormat="1" applyFont="1" applyFill="1" applyBorder="1" applyAlignment="1" applyProtection="1">
      <alignment horizontal="center" vertical="center"/>
    </xf>
    <xf numFmtId="167" fontId="8" fillId="0" borderId="28" xfId="28" applyNumberFormat="1" applyFont="1" applyFill="1" applyBorder="1" applyAlignment="1" applyProtection="1">
      <alignment horizontal="center" vertical="center"/>
    </xf>
    <xf numFmtId="167" fontId="8" fillId="0" borderId="27" xfId="28" applyNumberFormat="1" applyFont="1" applyFill="1" applyBorder="1" applyAlignment="1" applyProtection="1">
      <alignment horizontal="center" vertical="center"/>
    </xf>
    <xf numFmtId="167" fontId="19" fillId="9" borderId="8" xfId="28" applyNumberFormat="1" applyFont="1" applyFill="1" applyBorder="1" applyAlignment="1" applyProtection="1">
      <alignment horizontal="center" vertical="center"/>
      <protection locked="0"/>
    </xf>
    <xf numFmtId="167" fontId="19" fillId="9" borderId="1" xfId="28" applyNumberFormat="1" applyFont="1" applyFill="1" applyBorder="1" applyAlignment="1" applyProtection="1">
      <alignment horizontal="center" vertical="center"/>
      <protection locked="0"/>
    </xf>
    <xf numFmtId="167" fontId="19" fillId="9" borderId="56" xfId="28" applyNumberFormat="1" applyFont="1" applyFill="1" applyBorder="1" applyAlignment="1" applyProtection="1">
      <alignment horizontal="center" vertical="center"/>
      <protection locked="0"/>
    </xf>
    <xf numFmtId="167" fontId="19" fillId="9" borderId="55" xfId="28" applyNumberFormat="1" applyFont="1" applyFill="1" applyBorder="1" applyAlignment="1" applyProtection="1">
      <alignment horizontal="center" vertical="center"/>
      <protection locked="0"/>
    </xf>
    <xf numFmtId="167" fontId="8" fillId="10" borderId="5" xfId="28" applyNumberFormat="1" applyFont="1" applyFill="1" applyBorder="1" applyAlignment="1" applyProtection="1">
      <alignment horizontal="center" vertical="center"/>
    </xf>
    <xf numFmtId="167" fontId="8" fillId="10" borderId="44" xfId="28" applyNumberFormat="1" applyFont="1" applyFill="1" applyBorder="1" applyAlignment="1" applyProtection="1">
      <alignment horizontal="center" vertical="center"/>
    </xf>
    <xf numFmtId="167" fontId="8" fillId="10" borderId="27" xfId="28" applyNumberFormat="1" applyFont="1" applyFill="1" applyBorder="1" applyAlignment="1" applyProtection="1">
      <alignment horizontal="center" vertical="center"/>
    </xf>
    <xf numFmtId="167" fontId="4" fillId="10" borderId="29" xfId="16" applyNumberFormat="1" applyFont="1" applyFill="1" applyBorder="1" applyAlignment="1" applyProtection="1">
      <alignment horizontal="center" vertical="center"/>
    </xf>
    <xf numFmtId="167" fontId="4" fillId="10" borderId="45" xfId="16" applyNumberFormat="1" applyFont="1" applyFill="1" applyBorder="1" applyAlignment="1" applyProtection="1">
      <alignment horizontal="center" vertical="center"/>
    </xf>
    <xf numFmtId="167" fontId="4" fillId="10" borderId="31" xfId="16" applyNumberFormat="1" applyFont="1" applyFill="1" applyBorder="1" applyAlignment="1" applyProtection="1">
      <alignment horizontal="center" vertical="center"/>
    </xf>
    <xf numFmtId="167" fontId="4" fillId="10" borderId="30" xfId="16" applyNumberFormat="1" applyFont="1" applyFill="1" applyBorder="1" applyAlignment="1" applyProtection="1">
      <alignment horizontal="center" vertical="center"/>
    </xf>
    <xf numFmtId="164" fontId="1" fillId="10" borderId="28" xfId="39" applyNumberFormat="1" applyFont="1" applyFill="1" applyBorder="1" applyAlignment="1" applyProtection="1">
      <alignment horizontal="center" vertical="center"/>
    </xf>
    <xf numFmtId="164" fontId="4" fillId="10" borderId="31" xfId="39" applyNumberFormat="1" applyFont="1" applyFill="1" applyBorder="1" applyAlignment="1" applyProtection="1">
      <alignment horizontal="center" vertical="center"/>
    </xf>
    <xf numFmtId="167" fontId="1" fillId="10" borderId="28" xfId="16" applyNumberFormat="1" applyFont="1" applyFill="1" applyBorder="1" applyAlignment="1" applyProtection="1">
      <alignment horizontal="center" vertical="center"/>
      <protection locked="0"/>
    </xf>
    <xf numFmtId="166" fontId="27" fillId="9" borderId="55" xfId="16" applyNumberFormat="1" applyFont="1" applyFill="1" applyBorder="1" applyAlignment="1" applyProtection="1">
      <alignment horizontal="center" vertical="center"/>
      <protection locked="0"/>
    </xf>
    <xf numFmtId="167" fontId="1" fillId="10" borderId="56" xfId="16" applyNumberFormat="1" applyFont="1" applyFill="1" applyBorder="1" applyAlignment="1" applyProtection="1">
      <alignment horizontal="center" vertical="center"/>
      <protection locked="0"/>
    </xf>
    <xf numFmtId="43" fontId="1" fillId="0" borderId="49" xfId="7" applyFont="1" applyFill="1" applyBorder="1" applyAlignment="1" applyProtection="1">
      <alignment horizontal="center" vertical="center"/>
    </xf>
    <xf numFmtId="43" fontId="1" fillId="0" borderId="12" xfId="7" applyFont="1" applyFill="1" applyBorder="1" applyAlignment="1" applyProtection="1">
      <alignment horizontal="center" vertical="center"/>
    </xf>
    <xf numFmtId="43" fontId="1" fillId="0" borderId="57" xfId="7" applyFont="1" applyFill="1" applyBorder="1" applyAlignment="1" applyProtection="1">
      <alignment horizontal="center" vertical="center"/>
    </xf>
    <xf numFmtId="43" fontId="1" fillId="0" borderId="3" xfId="7" applyFont="1" applyFill="1" applyBorder="1" applyAlignment="1" applyProtection="1">
      <alignment horizontal="center" vertical="center"/>
    </xf>
    <xf numFmtId="43" fontId="1" fillId="0" borderId="0" xfId="7" applyFont="1" applyProtection="1"/>
    <xf numFmtId="43" fontId="1" fillId="10" borderId="27" xfId="7" applyFont="1" applyFill="1" applyBorder="1" applyAlignment="1" applyProtection="1">
      <alignment horizontal="center" vertical="center"/>
    </xf>
    <xf numFmtId="43" fontId="1" fillId="10" borderId="4" xfId="7" applyFont="1" applyFill="1" applyBorder="1" applyAlignment="1" applyProtection="1">
      <alignment horizontal="center" vertical="center"/>
    </xf>
    <xf numFmtId="43" fontId="1" fillId="10" borderId="28" xfId="7" applyFont="1" applyFill="1" applyBorder="1" applyAlignment="1" applyProtection="1">
      <alignment horizontal="center" vertical="center"/>
    </xf>
    <xf numFmtId="43" fontId="0" fillId="0" borderId="0" xfId="7" applyFont="1" applyProtection="1"/>
    <xf numFmtId="43" fontId="1" fillId="0" borderId="27" xfId="7" applyFont="1" applyFill="1" applyBorder="1" applyAlignment="1" applyProtection="1">
      <alignment horizontal="center" vertical="center"/>
    </xf>
    <xf numFmtId="43" fontId="1" fillId="0" borderId="5" xfId="7" applyFont="1" applyFill="1" applyBorder="1" applyAlignment="1" applyProtection="1">
      <alignment horizontal="center" vertical="center"/>
    </xf>
    <xf numFmtId="43" fontId="1" fillId="0" borderId="28" xfId="7" applyFont="1" applyFill="1" applyBorder="1" applyAlignment="1" applyProtection="1">
      <alignment horizontal="center" vertical="center"/>
    </xf>
    <xf numFmtId="43" fontId="1" fillId="0" borderId="4" xfId="7" applyFont="1" applyFill="1" applyBorder="1" applyAlignment="1" applyProtection="1">
      <alignment horizontal="center" vertical="center"/>
    </xf>
    <xf numFmtId="43" fontId="4" fillId="10" borderId="27" xfId="7" applyFont="1" applyFill="1" applyBorder="1" applyAlignment="1" applyProtection="1">
      <alignment horizontal="center" vertical="center"/>
    </xf>
    <xf numFmtId="43" fontId="4" fillId="10" borderId="4" xfId="7" applyFont="1" applyFill="1" applyBorder="1" applyAlignment="1" applyProtection="1">
      <alignment horizontal="center" vertical="center"/>
    </xf>
    <xf numFmtId="43" fontId="4" fillId="10" borderId="28" xfId="7" applyFont="1" applyFill="1" applyBorder="1" applyAlignment="1" applyProtection="1">
      <alignment horizontal="center" vertical="center"/>
    </xf>
    <xf numFmtId="43" fontId="4" fillId="10" borderId="5" xfId="7" applyFont="1" applyFill="1" applyBorder="1" applyAlignment="1" applyProtection="1">
      <alignment horizontal="center" vertical="center"/>
    </xf>
    <xf numFmtId="43" fontId="4" fillId="10" borderId="29" xfId="7" applyFont="1" applyFill="1" applyBorder="1" applyAlignment="1" applyProtection="1">
      <alignment horizontal="center" vertical="center"/>
    </xf>
    <xf numFmtId="43" fontId="4" fillId="10" borderId="30" xfId="7" applyFont="1" applyFill="1" applyBorder="1" applyAlignment="1" applyProtection="1">
      <alignment horizontal="center" vertical="center"/>
    </xf>
    <xf numFmtId="43" fontId="4" fillId="10" borderId="31" xfId="7" applyFont="1" applyFill="1" applyBorder="1" applyAlignment="1" applyProtection="1">
      <alignment horizontal="center" vertical="center"/>
    </xf>
    <xf numFmtId="43" fontId="4" fillId="10" borderId="45" xfId="7" applyFont="1" applyFill="1" applyBorder="1" applyAlignment="1" applyProtection="1">
      <alignment horizontal="center" vertical="center"/>
    </xf>
    <xf numFmtId="43" fontId="1" fillId="10" borderId="29" xfId="7" applyFont="1" applyFill="1" applyBorder="1" applyAlignment="1" applyProtection="1">
      <alignment horizontal="center" vertical="center"/>
    </xf>
    <xf numFmtId="43" fontId="1" fillId="10" borderId="30" xfId="7" applyFont="1" applyFill="1" applyBorder="1" applyAlignment="1" applyProtection="1">
      <alignment horizontal="center" vertical="center"/>
    </xf>
    <xf numFmtId="43" fontId="1" fillId="10" borderId="31" xfId="7" applyFont="1" applyFill="1" applyBorder="1" applyAlignment="1" applyProtection="1">
      <alignment horizontal="center" vertical="center"/>
    </xf>
    <xf numFmtId="43" fontId="1" fillId="0" borderId="0" xfId="7" applyFont="1" applyAlignment="1" applyProtection="1">
      <alignment horizontal="center" vertical="center"/>
    </xf>
    <xf numFmtId="43" fontId="4" fillId="0" borderId="69" xfId="7" applyFont="1" applyBorder="1" applyAlignment="1" applyProtection="1">
      <alignment horizontal="centerContinuous" vertical="center"/>
    </xf>
    <xf numFmtId="43" fontId="4" fillId="0" borderId="48" xfId="7" applyFont="1" applyBorder="1" applyAlignment="1" applyProtection="1">
      <alignment horizontal="centerContinuous" vertical="center"/>
    </xf>
    <xf numFmtId="43" fontId="1" fillId="0" borderId="47" xfId="7" applyFont="1" applyBorder="1" applyAlignment="1" applyProtection="1">
      <alignment horizontal="centerContinuous" vertical="center"/>
    </xf>
    <xf numFmtId="43" fontId="1" fillId="0" borderId="48" xfId="7" applyFont="1" applyBorder="1" applyAlignment="1" applyProtection="1">
      <alignment horizontal="centerContinuous" vertical="center"/>
    </xf>
    <xf numFmtId="43" fontId="4" fillId="0" borderId="49" xfId="7" applyFont="1" applyBorder="1" applyAlignment="1" applyProtection="1">
      <alignment horizontal="center" vertical="center" wrapText="1"/>
    </xf>
    <xf numFmtId="43" fontId="4" fillId="0" borderId="3" xfId="7" applyFont="1" applyBorder="1" applyAlignment="1" applyProtection="1">
      <alignment horizontal="center" vertical="center" wrapText="1"/>
    </xf>
    <xf numFmtId="43" fontId="4" fillId="0" borderId="57" xfId="7" applyFont="1" applyBorder="1" applyAlignment="1" applyProtection="1">
      <alignment horizontal="center" vertical="center" wrapText="1"/>
    </xf>
    <xf numFmtId="43" fontId="4" fillId="0" borderId="12" xfId="7" applyFont="1" applyBorder="1" applyAlignment="1" applyProtection="1">
      <alignment horizontal="center" vertical="center" wrapText="1"/>
    </xf>
    <xf numFmtId="43" fontId="1" fillId="0" borderId="51" xfId="7" applyFont="1" applyFill="1" applyBorder="1" applyAlignment="1" applyProtection="1">
      <alignment horizontal="center" vertical="center"/>
    </xf>
    <xf numFmtId="43" fontId="1" fillId="0" borderId="18" xfId="7" applyFont="1" applyFill="1" applyBorder="1" applyAlignment="1" applyProtection="1">
      <alignment horizontal="center" vertical="center"/>
    </xf>
    <xf numFmtId="43" fontId="1" fillId="0" borderId="52" xfId="7" applyFont="1" applyFill="1" applyBorder="1" applyAlignment="1" applyProtection="1">
      <alignment horizontal="center" vertical="center"/>
    </xf>
    <xf numFmtId="43" fontId="1" fillId="9" borderId="27" xfId="7" applyFont="1" applyFill="1" applyBorder="1" applyAlignment="1" applyProtection="1">
      <alignment horizontal="center" vertical="center"/>
      <protection locked="0"/>
    </xf>
    <xf numFmtId="43" fontId="27" fillId="9" borderId="27" xfId="7" applyFont="1" applyFill="1" applyBorder="1" applyAlignment="1" applyProtection="1">
      <alignment horizontal="center" vertical="center"/>
      <protection locked="0"/>
    </xf>
    <xf numFmtId="43" fontId="27" fillId="9" borderId="5" xfId="7" applyFont="1" applyFill="1" applyBorder="1" applyAlignment="1" applyProtection="1">
      <alignment horizontal="center" vertical="center"/>
      <protection locked="0"/>
    </xf>
    <xf numFmtId="43" fontId="27" fillId="9" borderId="28" xfId="7" applyFont="1" applyFill="1" applyBorder="1" applyAlignment="1" applyProtection="1">
      <alignment horizontal="center" vertical="center"/>
      <protection locked="0"/>
    </xf>
    <xf numFmtId="43" fontId="27" fillId="9" borderId="4" xfId="7" applyFont="1" applyFill="1" applyBorder="1" applyAlignment="1" applyProtection="1">
      <alignment horizontal="center" vertical="center"/>
      <protection locked="0"/>
    </xf>
    <xf numFmtId="43" fontId="1" fillId="0" borderId="53" xfId="7" applyFont="1" applyBorder="1" applyAlignment="1" applyProtection="1">
      <alignment horizontal="center" vertical="center"/>
    </xf>
    <xf numFmtId="43" fontId="1" fillId="0" borderId="15" xfId="7" applyFont="1" applyBorder="1" applyAlignment="1" applyProtection="1">
      <alignment horizontal="center" vertical="center"/>
    </xf>
    <xf numFmtId="43" fontId="1" fillId="0" borderId="54" xfId="7" applyFont="1" applyBorder="1" applyAlignment="1" applyProtection="1">
      <alignment horizontal="center" vertical="center"/>
    </xf>
    <xf numFmtId="43" fontId="1" fillId="0" borderId="17" xfId="7" applyFont="1" applyBorder="1" applyAlignment="1" applyProtection="1">
      <alignment horizontal="center" vertical="center"/>
    </xf>
    <xf numFmtId="43" fontId="1" fillId="0" borderId="0" xfId="7" applyFont="1" applyBorder="1" applyAlignment="1" applyProtection="1">
      <alignment horizontal="center" vertical="center"/>
    </xf>
    <xf numFmtId="43" fontId="1" fillId="0" borderId="22" xfId="7" applyFont="1" applyBorder="1" applyAlignment="1" applyProtection="1">
      <alignment horizontal="center" vertical="center"/>
    </xf>
    <xf numFmtId="43" fontId="1" fillId="0" borderId="51" xfId="7" applyFont="1" applyBorder="1" applyProtection="1"/>
    <xf numFmtId="43" fontId="1" fillId="0" borderId="18" xfId="7" applyFont="1" applyBorder="1" applyProtection="1"/>
    <xf numFmtId="43" fontId="1" fillId="0" borderId="52" xfId="7" applyFont="1" applyBorder="1" applyProtection="1"/>
    <xf numFmtId="43" fontId="21" fillId="0" borderId="0" xfId="7" applyFont="1" applyProtection="1"/>
    <xf numFmtId="43" fontId="4" fillId="0" borderId="53" xfId="7" applyFont="1" applyBorder="1" applyAlignment="1" applyProtection="1">
      <alignment horizontal="center" vertical="center"/>
    </xf>
    <xf numFmtId="43" fontId="4" fillId="0" borderId="15" xfId="7" applyFont="1" applyBorder="1" applyAlignment="1" applyProtection="1">
      <alignment horizontal="center" vertical="center"/>
    </xf>
    <xf numFmtId="43" fontId="4" fillId="0" borderId="54" xfId="7" applyFont="1" applyBorder="1" applyAlignment="1" applyProtection="1">
      <alignment horizontal="center" vertical="center"/>
    </xf>
    <xf numFmtId="43" fontId="0" fillId="0" borderId="0" xfId="7" applyFont="1" applyBorder="1" applyProtection="1"/>
    <xf numFmtId="43" fontId="4" fillId="0" borderId="17" xfId="7" applyFont="1" applyBorder="1" applyAlignment="1" applyProtection="1">
      <alignment horizontal="center" vertical="center"/>
    </xf>
    <xf numFmtId="43" fontId="4" fillId="0" borderId="0" xfId="7" applyFont="1" applyBorder="1" applyAlignment="1" applyProtection="1">
      <alignment horizontal="center" vertical="center"/>
    </xf>
    <xf numFmtId="43" fontId="4" fillId="0" borderId="22" xfId="7" applyFont="1" applyBorder="1" applyAlignment="1" applyProtection="1">
      <alignment horizontal="center" vertical="center"/>
    </xf>
    <xf numFmtId="43" fontId="27" fillId="9" borderId="55" xfId="7" applyFont="1" applyFill="1" applyBorder="1" applyAlignment="1" applyProtection="1">
      <alignment horizontal="center" vertical="center"/>
      <protection locked="0"/>
    </xf>
    <xf numFmtId="43" fontId="27" fillId="9" borderId="8" xfId="7" applyFont="1" applyFill="1" applyBorder="1" applyAlignment="1" applyProtection="1">
      <alignment horizontal="center" vertical="center"/>
      <protection locked="0"/>
    </xf>
    <xf numFmtId="43" fontId="27" fillId="9" borderId="56" xfId="7" applyFont="1" applyFill="1" applyBorder="1" applyAlignment="1" applyProtection="1">
      <alignment horizontal="center" vertical="center"/>
      <protection locked="0"/>
    </xf>
    <xf numFmtId="43" fontId="27" fillId="9" borderId="1" xfId="7" applyFont="1" applyFill="1" applyBorder="1" applyAlignment="1" applyProtection="1">
      <alignment horizontal="center" vertical="center"/>
      <protection locked="0"/>
    </xf>
    <xf numFmtId="43" fontId="21" fillId="0" borderId="0" xfId="7" applyFont="1" applyBorder="1" applyProtection="1"/>
    <xf numFmtId="43" fontId="1" fillId="0" borderId="0" xfId="7" applyFont="1" applyFill="1" applyAlignment="1" applyProtection="1">
      <alignment horizontal="center" vertical="center"/>
    </xf>
    <xf numFmtId="43" fontId="4" fillId="0" borderId="67" xfId="7" applyFont="1" applyBorder="1" applyAlignment="1" applyProtection="1">
      <alignment horizontal="centerContinuous" vertical="center"/>
    </xf>
    <xf numFmtId="43" fontId="4" fillId="0" borderId="81" xfId="7" applyFont="1" applyBorder="1" applyAlignment="1" applyProtection="1">
      <alignment horizontal="centerContinuous" vertical="center"/>
    </xf>
    <xf numFmtId="43" fontId="4" fillId="0" borderId="82" xfId="7" applyFont="1" applyBorder="1" applyAlignment="1" applyProtection="1">
      <alignment horizontal="centerContinuous" vertical="center"/>
    </xf>
    <xf numFmtId="43" fontId="4" fillId="0" borderId="27" xfId="7" applyFont="1" applyBorder="1" applyAlignment="1" applyProtection="1">
      <alignment horizontal="center" vertical="center" wrapText="1"/>
    </xf>
    <xf numFmtId="43" fontId="4" fillId="0" borderId="4" xfId="7" applyFont="1" applyBorder="1" applyAlignment="1" applyProtection="1">
      <alignment horizontal="center" vertical="center" wrapText="1"/>
    </xf>
    <xf numFmtId="43" fontId="4" fillId="0" borderId="28" xfId="7" applyFont="1" applyBorder="1" applyAlignment="1" applyProtection="1">
      <alignment horizontal="center" vertical="center" wrapText="1"/>
    </xf>
    <xf numFmtId="43" fontId="1" fillId="0" borderId="51" xfId="7" applyFont="1" applyBorder="1" applyAlignment="1" applyProtection="1">
      <alignment horizontal="center" vertical="center"/>
    </xf>
    <xf numFmtId="43" fontId="1" fillId="0" borderId="18" xfId="7" applyFont="1" applyBorder="1" applyAlignment="1" applyProtection="1">
      <alignment horizontal="center" vertical="center"/>
    </xf>
    <xf numFmtId="43" fontId="1" fillId="0" borderId="52" xfId="7" applyFont="1" applyBorder="1" applyAlignment="1" applyProtection="1">
      <alignment horizontal="center" vertical="center"/>
    </xf>
    <xf numFmtId="43" fontId="1" fillId="10" borderId="5" xfId="7" applyFont="1" applyFill="1" applyBorder="1" applyAlignment="1" applyProtection="1">
      <alignment horizontal="center" vertical="center"/>
    </xf>
    <xf numFmtId="43" fontId="1" fillId="0" borderId="43" xfId="7" applyFont="1" applyBorder="1" applyAlignment="1" applyProtection="1">
      <alignment horizontal="center" vertical="center"/>
    </xf>
    <xf numFmtId="43" fontId="1" fillId="0" borderId="16" xfId="7" applyFont="1" applyBorder="1" applyAlignment="1" applyProtection="1">
      <alignment horizontal="center" vertical="center"/>
    </xf>
    <xf numFmtId="43" fontId="1" fillId="0" borderId="44" xfId="7" applyFont="1" applyBorder="1" applyAlignment="1" applyProtection="1">
      <alignment horizontal="center" vertical="center"/>
    </xf>
    <xf numFmtId="43" fontId="1" fillId="0" borderId="43" xfId="7" applyFont="1" applyFill="1" applyBorder="1" applyAlignment="1" applyProtection="1">
      <alignment horizontal="center" vertical="center"/>
    </xf>
    <xf numFmtId="43" fontId="27" fillId="11" borderId="27" xfId="7" applyFont="1" applyFill="1" applyBorder="1" applyAlignment="1" applyProtection="1">
      <alignment horizontal="center" vertical="center"/>
    </xf>
    <xf numFmtId="43" fontId="27" fillId="11" borderId="5" xfId="7" applyFont="1" applyFill="1" applyBorder="1" applyAlignment="1" applyProtection="1">
      <alignment horizontal="center" vertical="center"/>
    </xf>
    <xf numFmtId="43" fontId="27" fillId="11" borderId="29" xfId="7" applyFont="1" applyFill="1" applyBorder="1" applyAlignment="1" applyProtection="1">
      <alignment horizontal="center" vertical="center"/>
    </xf>
    <xf numFmtId="43" fontId="27" fillId="11" borderId="45" xfId="7" applyFont="1" applyFill="1" applyBorder="1" applyAlignment="1" applyProtection="1">
      <alignment horizontal="center" vertical="center"/>
    </xf>
    <xf numFmtId="43" fontId="27" fillId="9" borderId="45" xfId="7" applyFont="1" applyFill="1" applyBorder="1" applyAlignment="1" applyProtection="1">
      <alignment horizontal="center" vertical="center"/>
      <protection locked="0"/>
    </xf>
    <xf numFmtId="43" fontId="27" fillId="9" borderId="31" xfId="7" applyFont="1" applyFill="1" applyBorder="1" applyAlignment="1" applyProtection="1">
      <alignment horizontal="center" vertical="center"/>
      <protection locked="0"/>
    </xf>
    <xf numFmtId="43" fontId="27" fillId="9" borderId="30" xfId="7" applyFont="1" applyFill="1" applyBorder="1" applyAlignment="1" applyProtection="1">
      <alignment horizontal="center" vertical="center"/>
      <protection locked="0"/>
    </xf>
    <xf numFmtId="43" fontId="1" fillId="10" borderId="49" xfId="7" applyFont="1" applyFill="1" applyBorder="1" applyAlignment="1" applyProtection="1">
      <alignment horizontal="center" vertical="center"/>
    </xf>
    <xf numFmtId="43" fontId="1" fillId="10" borderId="3" xfId="7" applyFont="1" applyFill="1" applyBorder="1" applyAlignment="1" applyProtection="1">
      <alignment horizontal="center" vertical="center"/>
    </xf>
    <xf numFmtId="43" fontId="1" fillId="10" borderId="57" xfId="7" applyFont="1" applyFill="1" applyBorder="1" applyAlignment="1" applyProtection="1">
      <alignment horizontal="center" vertical="center"/>
    </xf>
    <xf numFmtId="43" fontId="1" fillId="0" borderId="29" xfId="7" applyFont="1" applyFill="1" applyBorder="1" applyAlignment="1" applyProtection="1">
      <alignment horizontal="center" vertical="center"/>
    </xf>
    <xf numFmtId="43" fontId="1" fillId="0" borderId="45" xfId="7" applyFont="1" applyFill="1" applyBorder="1" applyAlignment="1" applyProtection="1">
      <alignment horizontal="center" vertical="center"/>
    </xf>
    <xf numFmtId="43" fontId="1" fillId="0" borderId="31" xfId="7" applyFont="1" applyFill="1" applyBorder="1" applyAlignment="1" applyProtection="1">
      <alignment horizontal="center" vertical="center"/>
    </xf>
    <xf numFmtId="43" fontId="1" fillId="0" borderId="30" xfId="7" applyFont="1" applyFill="1" applyBorder="1" applyAlignment="1" applyProtection="1">
      <alignment horizontal="center" vertical="center"/>
    </xf>
    <xf numFmtId="43" fontId="0" fillId="0" borderId="2" xfId="7" applyFont="1" applyBorder="1"/>
    <xf numFmtId="43" fontId="0" fillId="0" borderId="3" xfId="7" applyFont="1" applyBorder="1"/>
    <xf numFmtId="0" fontId="16" fillId="0" borderId="0" xfId="0" applyFont="1" applyAlignment="1"/>
    <xf numFmtId="0" fontId="0" fillId="9" borderId="14" xfId="0" applyFill="1" applyBorder="1" applyAlignment="1"/>
    <xf numFmtId="0" fontId="0" fillId="0" borderId="0" xfId="0" applyBorder="1" applyAlignment="1">
      <alignment horizontal="center" vertical="top" wrapText="1"/>
    </xf>
    <xf numFmtId="164" fontId="4" fillId="0" borderId="1"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0" fillId="4" borderId="4" xfId="0" applyFill="1" applyBorder="1" applyAlignment="1">
      <alignment horizontal="center"/>
    </xf>
    <xf numFmtId="0" fontId="5" fillId="4" borderId="4" xfId="0" applyFont="1" applyFill="1" applyBorder="1" applyAlignment="1">
      <alignment horizontal="center"/>
    </xf>
    <xf numFmtId="0" fontId="0" fillId="4" borderId="4" xfId="0" applyFont="1" applyFill="1" applyBorder="1" applyAlignment="1">
      <alignment horizontal="center"/>
    </xf>
    <xf numFmtId="164" fontId="0" fillId="0" borderId="1" xfId="0" applyNumberFormat="1" applyBorder="1" applyAlignment="1">
      <alignment horizontal="center"/>
    </xf>
    <xf numFmtId="164" fontId="5" fillId="0" borderId="1" xfId="0" applyNumberFormat="1" applyFont="1" applyBorder="1" applyAlignment="1">
      <alignment horizontal="center"/>
    </xf>
    <xf numFmtId="164" fontId="0" fillId="0" borderId="2" xfId="0" applyNumberFormat="1" applyBorder="1" applyAlignment="1">
      <alignment horizontal="center"/>
    </xf>
    <xf numFmtId="164" fontId="5" fillId="0" borderId="2" xfId="0" applyNumberFormat="1" applyFont="1" applyBorder="1" applyAlignment="1">
      <alignment horizontal="center"/>
    </xf>
    <xf numFmtId="164" fontId="0" fillId="0" borderId="3" xfId="0" applyNumberFormat="1" applyBorder="1" applyAlignment="1">
      <alignment horizontal="center"/>
    </xf>
    <xf numFmtId="164" fontId="5" fillId="0" borderId="3" xfId="0" applyNumberFormat="1" applyFont="1" applyBorder="1" applyAlignment="1">
      <alignment horizontal="center"/>
    </xf>
    <xf numFmtId="9" fontId="4" fillId="0" borderId="4" xfId="33" applyFont="1" applyBorder="1" applyAlignment="1">
      <alignment horizontal="center"/>
    </xf>
    <xf numFmtId="0" fontId="1" fillId="4" borderId="4" xfId="0" applyFont="1" applyFill="1" applyBorder="1" applyAlignment="1">
      <alignment horizontal="center" vertical="top" wrapText="1"/>
    </xf>
    <xf numFmtId="0" fontId="0" fillId="0" borderId="4" xfId="0" applyBorder="1" applyAlignment="1">
      <alignment horizontal="center" vertical="top" wrapText="1"/>
    </xf>
    <xf numFmtId="0" fontId="0" fillId="0" borderId="0" xfId="0" applyBorder="1" applyAlignment="1">
      <alignment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5" fillId="0" borderId="7" xfId="0" applyFont="1" applyBorder="1" applyAlignment="1">
      <alignment vertical="center" wrapText="1"/>
    </xf>
    <xf numFmtId="0" fontId="0" fillId="0" borderId="5" xfId="0" applyBorder="1" applyAlignment="1">
      <alignment vertical="center" wrapText="1"/>
    </xf>
    <xf numFmtId="0" fontId="21" fillId="0" borderId="0" xfId="0" applyFont="1" applyBorder="1" applyAlignment="1">
      <alignment vertical="center" wrapText="1"/>
    </xf>
    <xf numFmtId="0" fontId="13" fillId="0" borderId="0" xfId="0" applyFont="1" applyFill="1" applyBorder="1" applyAlignment="1">
      <alignment horizontal="center" vertical="center" wrapText="1"/>
    </xf>
    <xf numFmtId="0" fontId="0" fillId="0" borderId="18" xfId="0" applyBorder="1" applyAlignment="1">
      <alignment vertical="center" wrapText="1"/>
    </xf>
    <xf numFmtId="0" fontId="0" fillId="0" borderId="0"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22" fillId="0" borderId="0" xfId="0" applyFont="1" applyFill="1" applyBorder="1" applyAlignment="1">
      <alignment horizontal="center" vertical="top" wrapText="1"/>
    </xf>
    <xf numFmtId="0" fontId="0" fillId="0" borderId="2" xfId="0" applyBorder="1" applyAlignment="1">
      <alignment vertical="center"/>
    </xf>
    <xf numFmtId="0" fontId="5" fillId="0" borderId="0" xfId="0" applyFont="1" applyBorder="1" applyAlignment="1">
      <alignment horizontal="center" vertical="center"/>
    </xf>
    <xf numFmtId="0" fontId="0" fillId="0" borderId="10" xfId="0" applyBorder="1" applyAlignment="1">
      <alignment horizontal="center" vertical="center"/>
    </xf>
    <xf numFmtId="167" fontId="15" fillId="0" borderId="2" xfId="32" applyNumberFormat="1" applyFont="1" applyBorder="1" applyAlignment="1">
      <alignment horizontal="center" vertical="center" wrapText="1"/>
    </xf>
    <xf numFmtId="0" fontId="4" fillId="0" borderId="15" xfId="0" applyFont="1" applyFill="1" applyBorder="1" applyAlignment="1"/>
    <xf numFmtId="167" fontId="4" fillId="0" borderId="15" xfId="0" applyNumberFormat="1" applyFont="1" applyFill="1" applyBorder="1" applyAlignment="1"/>
    <xf numFmtId="0" fontId="4" fillId="0" borderId="0" xfId="0" applyFont="1" applyFill="1" applyBorder="1" applyAlignment="1"/>
    <xf numFmtId="167" fontId="4" fillId="0" borderId="0" xfId="0" applyNumberFormat="1" applyFont="1" applyFill="1" applyBorder="1" applyAlignment="1"/>
    <xf numFmtId="0" fontId="4" fillId="0" borderId="5" xfId="0" applyFont="1" applyBorder="1" applyAlignment="1">
      <alignment vertical="center"/>
    </xf>
    <xf numFmtId="167" fontId="0" fillId="0" borderId="0" xfId="0" applyNumberFormat="1" applyBorder="1" applyAlignment="1">
      <alignment vertical="center"/>
    </xf>
    <xf numFmtId="0" fontId="0" fillId="0" borderId="1" xfId="0" applyBorder="1" applyAlignment="1">
      <alignment horizontal="center" vertical="center" wrapText="1"/>
    </xf>
    <xf numFmtId="167" fontId="0" fillId="0" borderId="2" xfId="0" applyNumberFormat="1" applyBorder="1" applyAlignment="1">
      <alignment vertical="center"/>
    </xf>
    <xf numFmtId="167" fontId="0" fillId="18" borderId="2" xfId="0" applyNumberFormat="1" applyFill="1" applyBorder="1" applyAlignment="1"/>
    <xf numFmtId="0" fontId="4" fillId="0" borderId="4" xfId="0" applyFont="1" applyBorder="1" applyAlignment="1">
      <alignment vertical="center"/>
    </xf>
    <xf numFmtId="0" fontId="0" fillId="0" borderId="9" xfId="0" applyBorder="1" applyAlignment="1">
      <alignment horizontal="center" vertical="center"/>
    </xf>
    <xf numFmtId="0" fontId="5" fillId="0" borderId="9" xfId="0" applyFont="1" applyBorder="1" applyAlignment="1">
      <alignment horizontal="center" vertical="center" wrapText="1"/>
    </xf>
    <xf numFmtId="0" fontId="0" fillId="0" borderId="10" xfId="0" applyBorder="1" applyAlignment="1">
      <alignment horizontal="center" vertical="center" wrapText="1"/>
    </xf>
    <xf numFmtId="167" fontId="15" fillId="0" borderId="6" xfId="32" applyNumberFormat="1" applyFont="1" applyBorder="1" applyAlignment="1">
      <alignment horizontal="center" vertical="center" wrapText="1"/>
    </xf>
    <xf numFmtId="167" fontId="15" fillId="0" borderId="15" xfId="32" applyNumberFormat="1" applyFont="1" applyBorder="1" applyAlignment="1" applyProtection="1">
      <alignment horizontal="center" vertical="center" wrapText="1"/>
    </xf>
    <xf numFmtId="170" fontId="0" fillId="20" borderId="0" xfId="0" applyNumberFormat="1" applyFill="1" applyProtection="1">
      <protection locked="0"/>
    </xf>
    <xf numFmtId="170" fontId="0" fillId="20" borderId="0" xfId="0" applyNumberFormat="1" applyFill="1"/>
    <xf numFmtId="172" fontId="0" fillId="20" borderId="0" xfId="0" applyNumberFormat="1" applyFill="1"/>
    <xf numFmtId="0" fontId="4" fillId="4" borderId="4" xfId="0" applyFont="1" applyFill="1" applyBorder="1" applyAlignment="1">
      <alignment horizontal="center" vertical="center"/>
    </xf>
    <xf numFmtId="0" fontId="7" fillId="0" borderId="2" xfId="0" applyFont="1" applyBorder="1" applyAlignment="1">
      <alignment vertical="top"/>
    </xf>
    <xf numFmtId="0" fontId="4" fillId="4" borderId="1" xfId="0" applyFont="1" applyFill="1" applyBorder="1" applyAlignment="1">
      <alignment horizontal="center" vertical="center"/>
    </xf>
    <xf numFmtId="0" fontId="1" fillId="0" borderId="2" xfId="0" applyFont="1" applyBorder="1" applyAlignment="1">
      <alignment vertical="top" wrapText="1"/>
    </xf>
    <xf numFmtId="9" fontId="1" fillId="20" borderId="1" xfId="33" applyFont="1" applyFill="1" applyBorder="1"/>
    <xf numFmtId="9" fontId="1" fillId="20" borderId="2" xfId="33" applyFont="1" applyFill="1" applyBorder="1"/>
    <xf numFmtId="9" fontId="1" fillId="20" borderId="3" xfId="33" applyFont="1" applyFill="1" applyBorder="1"/>
    <xf numFmtId="0" fontId="0" fillId="19" borderId="0" xfId="0" applyFill="1"/>
    <xf numFmtId="167" fontId="0" fillId="19" borderId="0" xfId="0" applyNumberFormat="1" applyFill="1"/>
    <xf numFmtId="167" fontId="0" fillId="19" borderId="0" xfId="0" applyNumberFormat="1" applyFill="1" applyAlignment="1">
      <alignment horizontal="right"/>
    </xf>
    <xf numFmtId="0" fontId="4" fillId="19" borderId="0" xfId="0" applyFont="1" applyFill="1"/>
    <xf numFmtId="167" fontId="4" fillId="19" borderId="0" xfId="0" applyNumberFormat="1" applyFont="1" applyFill="1"/>
    <xf numFmtId="166" fontId="0" fillId="19" borderId="0" xfId="0" applyNumberFormat="1" applyFill="1"/>
    <xf numFmtId="0" fontId="1" fillId="0" borderId="0" xfId="0" applyFont="1" applyAlignment="1">
      <alignment vertical="center"/>
    </xf>
    <xf numFmtId="0" fontId="4" fillId="0" borderId="0" xfId="0" applyFont="1" applyAlignment="1">
      <alignment vertical="center"/>
    </xf>
    <xf numFmtId="0" fontId="60" fillId="0" borderId="0" xfId="0" quotePrefix="1" applyFont="1"/>
    <xf numFmtId="0" fontId="0" fillId="18" borderId="9" xfId="0" applyFill="1" applyBorder="1" applyAlignment="1"/>
    <xf numFmtId="0" fontId="0" fillId="18" borderId="0" xfId="0" applyFill="1" applyBorder="1" applyAlignment="1"/>
    <xf numFmtId="173" fontId="0" fillId="18" borderId="9" xfId="7" applyNumberFormat="1" applyFont="1" applyFill="1" applyBorder="1" applyAlignment="1"/>
    <xf numFmtId="173" fontId="0" fillId="18" borderId="0" xfId="7" applyNumberFormat="1" applyFont="1" applyFill="1" applyBorder="1" applyAlignment="1"/>
    <xf numFmtId="9" fontId="0" fillId="18" borderId="9" xfId="33" applyFont="1" applyFill="1" applyBorder="1" applyAlignment="1"/>
    <xf numFmtId="9" fontId="0" fillId="18" borderId="0" xfId="33" applyFont="1" applyFill="1" applyBorder="1" applyAlignment="1"/>
    <xf numFmtId="173" fontId="0" fillId="18" borderId="9" xfId="33" applyNumberFormat="1" applyFont="1" applyFill="1" applyBorder="1" applyAlignment="1"/>
    <xf numFmtId="173" fontId="0" fillId="18" borderId="0" xfId="33" applyNumberFormat="1" applyFont="1" applyFill="1" applyBorder="1" applyAlignment="1"/>
    <xf numFmtId="0" fontId="0" fillId="9" borderId="2" xfId="0" applyFill="1" applyBorder="1" applyAlignment="1">
      <alignment horizontal="center"/>
    </xf>
    <xf numFmtId="167" fontId="0" fillId="9" borderId="2" xfId="0" applyNumberFormat="1" applyFill="1" applyBorder="1" applyAlignment="1">
      <alignment horizontal="center"/>
    </xf>
    <xf numFmtId="9" fontId="0" fillId="9" borderId="3" xfId="33" applyFont="1" applyFill="1" applyBorder="1" applyAlignment="1">
      <alignment horizontal="center"/>
    </xf>
    <xf numFmtId="0" fontId="5" fillId="9" borderId="11" xfId="0" applyFont="1" applyFill="1" applyBorder="1"/>
    <xf numFmtId="0" fontId="0" fillId="9" borderId="18" xfId="0" applyFill="1" applyBorder="1" applyAlignment="1">
      <alignment horizontal="center"/>
    </xf>
    <xf numFmtId="0" fontId="0" fillId="9" borderId="3" xfId="0" applyFill="1" applyBorder="1" applyAlignment="1">
      <alignment horizontal="center"/>
    </xf>
    <xf numFmtId="9" fontId="0" fillId="9" borderId="12" xfId="33" applyFont="1" applyFill="1" applyBorder="1" applyAlignment="1"/>
    <xf numFmtId="0" fontId="0" fillId="9" borderId="7" xfId="0" applyFill="1" applyBorder="1" applyAlignment="1"/>
    <xf numFmtId="0" fontId="0" fillId="9" borderId="27" xfId="0" applyFill="1" applyBorder="1" applyAlignment="1">
      <alignment horizontal="center"/>
    </xf>
    <xf numFmtId="9" fontId="0" fillId="9" borderId="23" xfId="33" applyFont="1" applyFill="1" applyBorder="1" applyAlignment="1"/>
    <xf numFmtId="0" fontId="0" fillId="9" borderId="44" xfId="0" applyFill="1" applyBorder="1" applyAlignment="1"/>
    <xf numFmtId="43" fontId="0" fillId="9" borderId="22" xfId="0" applyNumberFormat="1" applyFill="1" applyBorder="1" applyAlignment="1">
      <alignment horizontal="center"/>
    </xf>
    <xf numFmtId="0" fontId="0" fillId="9" borderId="37" xfId="0" applyFill="1" applyBorder="1" applyAlignment="1">
      <alignment horizontal="center"/>
    </xf>
    <xf numFmtId="43" fontId="0" fillId="9" borderId="37" xfId="0" applyNumberFormat="1" applyFill="1" applyBorder="1" applyAlignment="1">
      <alignment horizontal="center"/>
    </xf>
    <xf numFmtId="43" fontId="0" fillId="9" borderId="2" xfId="0" applyNumberFormat="1" applyFill="1" applyBorder="1" applyAlignment="1">
      <alignment horizontal="center"/>
    </xf>
    <xf numFmtId="43" fontId="0" fillId="9" borderId="2" xfId="0" applyNumberFormat="1" applyFill="1" applyBorder="1" applyAlignment="1"/>
    <xf numFmtId="175" fontId="22" fillId="9" borderId="37" xfId="33" applyNumberFormat="1" applyFont="1" applyFill="1" applyBorder="1" applyAlignment="1">
      <alignment horizontal="center"/>
    </xf>
    <xf numFmtId="175" fontId="22" fillId="9" borderId="2" xfId="33" applyNumberFormat="1" applyFont="1" applyFill="1" applyBorder="1" applyAlignment="1">
      <alignment horizontal="center"/>
    </xf>
    <xf numFmtId="0" fontId="22" fillId="9" borderId="2" xfId="0" applyFont="1" applyFill="1" applyBorder="1" applyAlignment="1"/>
    <xf numFmtId="9" fontId="22" fillId="9" borderId="2" xfId="33" applyFont="1" applyFill="1" applyBorder="1" applyAlignment="1"/>
    <xf numFmtId="9" fontId="0" fillId="9" borderId="37" xfId="33" applyFont="1" applyFill="1" applyBorder="1" applyAlignment="1">
      <alignment horizontal="center"/>
    </xf>
    <xf numFmtId="9" fontId="0" fillId="9" borderId="2" xfId="33" applyFont="1" applyFill="1" applyBorder="1" applyAlignment="1">
      <alignment horizontal="center"/>
    </xf>
    <xf numFmtId="9" fontId="0" fillId="9" borderId="2" xfId="33" applyFont="1" applyFill="1" applyBorder="1" applyAlignment="1"/>
    <xf numFmtId="9" fontId="0" fillId="9" borderId="40" xfId="33" applyFont="1" applyFill="1" applyBorder="1" applyAlignment="1">
      <alignment horizontal="center"/>
    </xf>
    <xf numFmtId="9" fontId="0" fillId="9" borderId="41" xfId="33" applyFont="1" applyFill="1" applyBorder="1" applyAlignment="1">
      <alignment horizontal="center"/>
    </xf>
    <xf numFmtId="9" fontId="0" fillId="9" borderId="41" xfId="33" applyFont="1" applyFill="1" applyBorder="1" applyAlignment="1"/>
    <xf numFmtId="0" fontId="1" fillId="9" borderId="13" xfId="0" applyFont="1" applyFill="1" applyBorder="1" applyAlignment="1"/>
    <xf numFmtId="0" fontId="0" fillId="9" borderId="6" xfId="0" applyFill="1" applyBorder="1" applyAlignment="1">
      <alignment horizontal="center" wrapText="1"/>
    </xf>
    <xf numFmtId="0" fontId="0" fillId="9" borderId="11" xfId="0" applyFill="1" applyBorder="1" applyAlignment="1">
      <alignment horizontal="center"/>
    </xf>
    <xf numFmtId="1" fontId="0" fillId="9" borderId="9" xfId="0" applyNumberFormat="1" applyFill="1" applyBorder="1" applyAlignment="1">
      <alignment horizontal="center"/>
    </xf>
    <xf numFmtId="9" fontId="0" fillId="8" borderId="22" xfId="33" applyFont="1" applyFill="1" applyBorder="1" applyAlignment="1"/>
    <xf numFmtId="9" fontId="0" fillId="8" borderId="23" xfId="33" applyFont="1" applyFill="1" applyBorder="1" applyAlignment="1"/>
    <xf numFmtId="0" fontId="0" fillId="18" borderId="0" xfId="0" applyFill="1" applyAlignment="1"/>
    <xf numFmtId="0" fontId="19" fillId="9" borderId="0" xfId="0" applyFont="1" applyFill="1" applyBorder="1" applyAlignment="1">
      <alignment horizontal="center"/>
    </xf>
    <xf numFmtId="0" fontId="0" fillId="9" borderId="19" xfId="0" applyFill="1" applyBorder="1" applyAlignment="1">
      <alignment horizontal="center" vertical="center"/>
    </xf>
    <xf numFmtId="2" fontId="0" fillId="9" borderId="0" xfId="0" applyNumberFormat="1" applyFill="1" applyBorder="1" applyAlignment="1"/>
    <xf numFmtId="174" fontId="8" fillId="2" borderId="66" xfId="0" applyNumberFormat="1" applyFont="1" applyFill="1" applyBorder="1" applyAlignment="1">
      <alignment horizontal="right" vertical="center"/>
    </xf>
    <xf numFmtId="174" fontId="8" fillId="2" borderId="63" xfId="0" applyNumberFormat="1" applyFont="1" applyFill="1" applyBorder="1" applyAlignment="1">
      <alignment horizontal="right" vertical="center"/>
    </xf>
    <xf numFmtId="174" fontId="19" fillId="9" borderId="55" xfId="0" applyNumberFormat="1" applyFont="1" applyFill="1" applyBorder="1" applyAlignment="1" applyProtection="1">
      <alignment horizontal="right" vertical="center"/>
      <protection locked="0"/>
    </xf>
    <xf numFmtId="174" fontId="19" fillId="9" borderId="49" xfId="0" applyNumberFormat="1" applyFont="1" applyFill="1" applyBorder="1" applyAlignment="1" applyProtection="1">
      <alignment horizontal="right" vertical="center"/>
      <protection locked="0"/>
    </xf>
    <xf numFmtId="174" fontId="19" fillId="9" borderId="56" xfId="0" applyNumberFormat="1" applyFont="1" applyFill="1" applyBorder="1" applyAlignment="1" applyProtection="1">
      <alignment horizontal="right" vertical="center"/>
      <protection locked="0"/>
    </xf>
    <xf numFmtId="0" fontId="8" fillId="0" borderId="4"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0" fontId="5" fillId="0" borderId="2" xfId="0" applyFont="1" applyBorder="1" applyAlignment="1">
      <alignment horizontal="left" vertical="center"/>
    </xf>
    <xf numFmtId="0" fontId="1" fillId="0" borderId="2" xfId="0" applyFont="1" applyBorder="1" applyAlignment="1">
      <alignment horizontal="left" vertical="center"/>
    </xf>
    <xf numFmtId="0" fontId="5" fillId="0" borderId="3" xfId="0" applyFont="1" applyBorder="1" applyAlignment="1">
      <alignment horizontal="lef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1" fillId="8" borderId="0" xfId="0" applyFont="1" applyFill="1"/>
    <xf numFmtId="0" fontId="5" fillId="8" borderId="0" xfId="0" applyFont="1" applyFill="1" applyAlignment="1">
      <alignment horizontal="center"/>
    </xf>
    <xf numFmtId="4" fontId="16" fillId="8" borderId="0" xfId="0" applyNumberFormat="1" applyFont="1" applyFill="1" applyAlignment="1">
      <alignment horizontal="center" vertical="center"/>
    </xf>
    <xf numFmtId="0" fontId="5" fillId="8" borderId="0" xfId="0" applyFont="1" applyFill="1" applyAlignment="1">
      <alignment horizontal="center" vertical="center"/>
    </xf>
    <xf numFmtId="0" fontId="22" fillId="8" borderId="0" xfId="0" applyFont="1" applyFill="1" applyAlignment="1">
      <alignment horizontal="center" vertical="center"/>
    </xf>
    <xf numFmtId="4" fontId="22" fillId="8" borderId="0" xfId="0" applyNumberFormat="1" applyFont="1" applyFill="1" applyAlignment="1">
      <alignment horizontal="center" vertical="center"/>
    </xf>
    <xf numFmtId="165" fontId="5" fillId="8" borderId="0" xfId="0" applyNumberFormat="1" applyFont="1" applyFill="1" applyAlignment="1">
      <alignment horizontal="center" vertical="center"/>
    </xf>
    <xf numFmtId="166" fontId="5" fillId="8" borderId="0" xfId="0" applyNumberFormat="1" applyFont="1" applyFill="1" applyAlignment="1">
      <alignment horizontal="center" vertical="center"/>
    </xf>
    <xf numFmtId="167" fontId="5" fillId="8" borderId="0" xfId="0" applyNumberFormat="1" applyFont="1" applyFill="1" applyAlignment="1">
      <alignment horizontal="center" vertical="center"/>
    </xf>
    <xf numFmtId="167" fontId="16" fillId="8" borderId="0" xfId="0" applyNumberFormat="1" applyFont="1" applyFill="1" applyAlignment="1">
      <alignment horizontal="center" vertical="center"/>
    </xf>
    <xf numFmtId="0" fontId="1" fillId="8" borderId="17" xfId="0" applyFont="1" applyFill="1" applyBorder="1" applyAlignment="1"/>
    <xf numFmtId="167" fontId="0" fillId="9" borderId="22" xfId="0" applyNumberFormat="1" applyFill="1" applyBorder="1" applyAlignment="1">
      <alignment horizontal="center" vertical="center"/>
    </xf>
    <xf numFmtId="167" fontId="0" fillId="9" borderId="23" xfId="0" applyNumberFormat="1" applyFill="1" applyBorder="1" applyAlignment="1">
      <alignment horizontal="center" vertical="center"/>
    </xf>
    <xf numFmtId="9" fontId="4" fillId="0" borderId="1" xfId="33" applyFont="1" applyBorder="1" applyAlignment="1">
      <alignment vertical="center"/>
    </xf>
    <xf numFmtId="2" fontId="4" fillId="0" borderId="4" xfId="0" applyNumberFormat="1" applyFont="1" applyBorder="1" applyAlignment="1">
      <alignment vertical="center"/>
    </xf>
    <xf numFmtId="2" fontId="4" fillId="0" borderId="7" xfId="0" applyNumberFormat="1" applyFont="1" applyBorder="1" applyAlignment="1">
      <alignment vertical="center"/>
    </xf>
    <xf numFmtId="2" fontId="4" fillId="0" borderId="4" xfId="0" applyNumberFormat="1" applyFont="1" applyBorder="1" applyAlignment="1">
      <alignment horizontal="right" vertical="center"/>
    </xf>
    <xf numFmtId="2" fontId="4" fillId="0" borderId="0" xfId="0" applyNumberFormat="1" applyFont="1" applyBorder="1" applyAlignment="1">
      <alignment vertical="center"/>
    </xf>
    <xf numFmtId="9" fontId="4" fillId="18" borderId="4" xfId="33" applyFont="1" applyFill="1" applyBorder="1" applyAlignment="1">
      <alignment vertical="center"/>
    </xf>
    <xf numFmtId="9" fontId="4" fillId="18" borderId="7" xfId="33" applyFont="1" applyFill="1" applyBorder="1" applyAlignment="1">
      <alignment vertical="center"/>
    </xf>
    <xf numFmtId="9" fontId="4" fillId="0" borderId="4" xfId="33" applyFont="1" applyBorder="1" applyAlignment="1">
      <alignment vertical="center"/>
    </xf>
    <xf numFmtId="9" fontId="4" fillId="0" borderId="0" xfId="33" applyFont="1" applyBorder="1" applyAlignment="1">
      <alignment vertical="center"/>
    </xf>
    <xf numFmtId="0" fontId="0" fillId="0" borderId="9" xfId="0" applyBorder="1" applyAlignment="1">
      <alignment vertical="center"/>
    </xf>
    <xf numFmtId="0" fontId="15" fillId="0" borderId="15" xfId="32" applyFont="1" applyBorder="1" applyAlignment="1">
      <alignment horizontal="left" vertical="center"/>
    </xf>
    <xf numFmtId="0" fontId="15" fillId="0" borderId="0" xfId="32" applyFont="1" applyBorder="1" applyAlignment="1">
      <alignment horizontal="left" vertical="center"/>
    </xf>
    <xf numFmtId="167" fontId="15" fillId="0" borderId="0" xfId="32" applyNumberFormat="1" applyFont="1" applyBorder="1" applyAlignment="1">
      <alignment horizontal="center" vertical="center"/>
    </xf>
    <xf numFmtId="167" fontId="14" fillId="0" borderId="0" xfId="32" applyNumberFormat="1" applyFont="1" applyBorder="1" applyAlignment="1" applyProtection="1">
      <alignment horizontal="center" vertical="center"/>
    </xf>
    <xf numFmtId="9" fontId="0" fillId="0" borderId="15" xfId="33" applyFont="1" applyBorder="1" applyAlignment="1">
      <alignment vertical="center"/>
    </xf>
    <xf numFmtId="167" fontId="0" fillId="0" borderId="15" xfId="0" applyNumberFormat="1" applyBorder="1" applyAlignment="1">
      <alignment vertical="center"/>
    </xf>
    <xf numFmtId="167" fontId="4" fillId="0" borderId="4" xfId="0" applyNumberFormat="1" applyFont="1" applyBorder="1" applyAlignment="1">
      <alignment vertical="center"/>
    </xf>
    <xf numFmtId="166" fontId="0" fillId="0" borderId="0" xfId="0" applyNumberFormat="1" applyBorder="1" applyAlignment="1">
      <alignment vertical="center"/>
    </xf>
    <xf numFmtId="167" fontId="15" fillId="0" borderId="15" xfId="32" applyNumberFormat="1" applyFont="1" applyBorder="1" applyAlignment="1">
      <alignment horizontal="center" vertical="center"/>
    </xf>
    <xf numFmtId="0" fontId="0" fillId="4"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4" xfId="0" applyFont="1" applyFill="1" applyBorder="1" applyAlignment="1">
      <alignment horizontal="center" vertical="center" wrapText="1"/>
    </xf>
    <xf numFmtId="0" fontId="4" fillId="0" borderId="11" xfId="0" applyFont="1" applyBorder="1" applyAlignment="1">
      <alignment vertical="center"/>
    </xf>
    <xf numFmtId="0" fontId="4" fillId="0" borderId="3" xfId="0" applyFont="1" applyFill="1" applyBorder="1" applyAlignment="1">
      <alignment vertical="center"/>
    </xf>
    <xf numFmtId="0" fontId="16" fillId="0" borderId="0" xfId="0" applyFont="1" applyAlignment="1">
      <alignment horizontal="left" vertical="top" wrapText="1"/>
    </xf>
    <xf numFmtId="0" fontId="5" fillId="0" borderId="0" xfId="16" applyAlignment="1" applyProtection="1">
      <alignment vertical="center"/>
    </xf>
    <xf numFmtId="0" fontId="44" fillId="0" borderId="37" xfId="16" applyFont="1" applyBorder="1" applyAlignment="1" applyProtection="1">
      <alignment horizontal="left" vertical="center" wrapText="1"/>
    </xf>
    <xf numFmtId="0" fontId="1" fillId="0" borderId="50" xfId="16" applyNumberFormat="1" applyFont="1" applyBorder="1" applyAlignment="1" applyProtection="1">
      <alignment horizontal="center" vertical="center" wrapText="1"/>
    </xf>
    <xf numFmtId="43" fontId="0" fillId="0" borderId="0" xfId="7" applyFont="1" applyAlignment="1" applyProtection="1">
      <alignment vertical="center"/>
    </xf>
    <xf numFmtId="0" fontId="44" fillId="0" borderId="37" xfId="16" applyFont="1" applyBorder="1" applyAlignment="1" applyProtection="1">
      <alignment horizontal="left" vertical="center"/>
    </xf>
    <xf numFmtId="0" fontId="44" fillId="0" borderId="17" xfId="16" applyFont="1" applyBorder="1" applyAlignment="1" applyProtection="1">
      <alignment horizontal="left" vertical="center" wrapText="1"/>
    </xf>
    <xf numFmtId="0" fontId="44" fillId="0" borderId="20" xfId="16" applyFont="1" applyBorder="1" applyAlignment="1" applyProtection="1">
      <alignment horizontal="left" vertical="center" wrapText="1"/>
    </xf>
    <xf numFmtId="0" fontId="1" fillId="0" borderId="58" xfId="16" applyNumberFormat="1" applyFont="1" applyBorder="1" applyAlignment="1" applyProtection="1">
      <alignment horizontal="center" vertical="center" wrapText="1"/>
    </xf>
    <xf numFmtId="0" fontId="44" fillId="0" borderId="40" xfId="16" applyFont="1" applyBorder="1" applyAlignment="1" applyProtection="1">
      <alignment horizontal="left" vertical="center" wrapText="1"/>
    </xf>
    <xf numFmtId="0" fontId="1" fillId="0" borderId="17" xfId="16" applyFont="1" applyBorder="1" applyAlignment="1" applyProtection="1">
      <alignment horizontal="left" vertical="center" wrapText="1"/>
    </xf>
    <xf numFmtId="0" fontId="5" fillId="0" borderId="50" xfId="16" applyBorder="1" applyAlignment="1" applyProtection="1">
      <alignment horizontal="center" vertical="center"/>
    </xf>
    <xf numFmtId="0" fontId="1" fillId="0" borderId="20" xfId="16" applyFont="1" applyBorder="1" applyAlignment="1" applyProtection="1">
      <alignment horizontal="left" vertical="center" wrapText="1"/>
    </xf>
    <xf numFmtId="0" fontId="5" fillId="0" borderId="58" xfId="16" applyBorder="1" applyAlignment="1" applyProtection="1">
      <alignment horizontal="center" vertical="center"/>
    </xf>
    <xf numFmtId="0" fontId="44" fillId="0" borderId="17" xfId="16" applyFont="1" applyBorder="1" applyAlignment="1" applyProtection="1">
      <alignment horizontal="left" vertical="center" wrapText="1" indent="1"/>
    </xf>
    <xf numFmtId="0" fontId="5" fillId="0" borderId="17" xfId="16" applyBorder="1" applyAlignment="1" applyProtection="1">
      <alignment vertical="center"/>
    </xf>
    <xf numFmtId="43" fontId="1" fillId="0" borderId="0" xfId="7" applyFont="1" applyAlignment="1" applyProtection="1">
      <alignment vertical="center"/>
    </xf>
    <xf numFmtId="0" fontId="5" fillId="0" borderId="20" xfId="16" applyBorder="1" applyAlignment="1" applyProtection="1">
      <alignment vertical="center"/>
    </xf>
    <xf numFmtId="0" fontId="1" fillId="0" borderId="37" xfId="16" applyFont="1" applyBorder="1" applyAlignment="1" applyProtection="1">
      <alignment horizontal="left" vertical="center" wrapText="1" indent="1"/>
    </xf>
    <xf numFmtId="0" fontId="1" fillId="0" borderId="17" xfId="16" applyFont="1" applyBorder="1" applyAlignment="1" applyProtection="1">
      <alignment horizontal="left" vertical="center" indent="1"/>
    </xf>
    <xf numFmtId="0" fontId="44" fillId="0" borderId="37" xfId="16" applyFont="1" applyBorder="1" applyAlignment="1" applyProtection="1">
      <alignment vertical="center"/>
    </xf>
    <xf numFmtId="0" fontId="1" fillId="0" borderId="37" xfId="16" applyFont="1" applyBorder="1" applyAlignment="1" applyProtection="1">
      <alignment horizontal="left" vertical="center" indent="1"/>
    </xf>
    <xf numFmtId="0" fontId="44" fillId="0" borderId="17" xfId="16" applyFont="1" applyBorder="1" applyAlignment="1" applyProtection="1">
      <alignment vertical="center"/>
    </xf>
    <xf numFmtId="0" fontId="44" fillId="0" borderId="17" xfId="16" applyFont="1" applyBorder="1" applyAlignment="1" applyProtection="1">
      <alignment horizontal="left" vertical="center"/>
    </xf>
    <xf numFmtId="0" fontId="5" fillId="0" borderId="17" xfId="16" applyBorder="1" applyAlignment="1" applyProtection="1">
      <alignment horizontal="left" vertical="center" wrapText="1" indent="1"/>
    </xf>
    <xf numFmtId="0" fontId="44" fillId="0" borderId="17" xfId="16" applyFont="1" applyBorder="1" applyAlignment="1" applyProtection="1">
      <alignment horizontal="left" vertical="center" indent="1"/>
    </xf>
    <xf numFmtId="0" fontId="5" fillId="0" borderId="17" xfId="16" applyBorder="1" applyAlignment="1" applyProtection="1">
      <alignment horizontal="left" vertical="center" wrapText="1" indent="2"/>
    </xf>
    <xf numFmtId="0" fontId="44" fillId="0" borderId="17" xfId="16" applyFont="1" applyBorder="1" applyAlignment="1" applyProtection="1">
      <alignment horizontal="left" vertical="center" wrapText="1" indent="2"/>
    </xf>
    <xf numFmtId="0" fontId="44" fillId="0" borderId="20" xfId="16" applyFont="1" applyBorder="1" applyAlignment="1" applyProtection="1">
      <alignment horizontal="left" vertical="center" indent="1"/>
    </xf>
    <xf numFmtId="0" fontId="44" fillId="0" borderId="0" xfId="16" applyFont="1" applyAlignment="1" applyProtection="1">
      <alignment vertical="center"/>
    </xf>
    <xf numFmtId="0" fontId="48" fillId="0" borderId="17" xfId="16" applyFont="1" applyBorder="1" applyAlignment="1" applyProtection="1">
      <alignment horizontal="left" vertical="center" wrapText="1" indent="1"/>
    </xf>
    <xf numFmtId="0" fontId="48" fillId="0" borderId="38" xfId="28" applyFont="1" applyFill="1" applyBorder="1" applyAlignment="1" applyProtection="1">
      <alignment horizontal="left" vertical="center" wrapText="1"/>
    </xf>
    <xf numFmtId="0" fontId="48" fillId="0" borderId="64" xfId="28" applyFont="1" applyBorder="1" applyAlignment="1" applyProtection="1">
      <alignment horizontal="left" vertical="center" wrapText="1"/>
    </xf>
    <xf numFmtId="167" fontId="56" fillId="9" borderId="31" xfId="28" applyNumberFormat="1" applyFont="1" applyFill="1" applyBorder="1" applyAlignment="1" applyProtection="1">
      <alignment horizontal="center" vertical="center"/>
      <protection locked="0"/>
    </xf>
    <xf numFmtId="0" fontId="27" fillId="9" borderId="43" xfId="16" applyNumberFormat="1" applyFont="1" applyFill="1" applyBorder="1" applyAlignment="1" applyProtection="1">
      <alignment horizontal="center" vertical="center"/>
      <protection locked="0"/>
    </xf>
    <xf numFmtId="0" fontId="27" fillId="9" borderId="53" xfId="16" applyNumberFormat="1" applyFont="1" applyFill="1" applyBorder="1" applyAlignment="1" applyProtection="1">
      <alignment horizontal="center" vertical="center"/>
      <protection locked="0"/>
    </xf>
    <xf numFmtId="2" fontId="0" fillId="10" borderId="30" xfId="0" applyNumberFormat="1" applyFill="1" applyBorder="1" applyAlignment="1" applyProtection="1">
      <alignment horizontal="center" vertical="center"/>
      <protection locked="0"/>
    </xf>
    <xf numFmtId="2" fontId="5" fillId="10" borderId="23" xfId="16" applyNumberFormat="1" applyFill="1" applyBorder="1" applyAlignment="1" applyProtection="1">
      <alignment horizontal="center" vertical="center"/>
      <protection locked="0"/>
    </xf>
    <xf numFmtId="2" fontId="5" fillId="11" borderId="70" xfId="16" applyNumberFormat="1" applyFill="1" applyBorder="1" applyAlignment="1" applyProtection="1">
      <alignment horizontal="center" vertical="center"/>
      <protection locked="0"/>
    </xf>
    <xf numFmtId="2" fontId="5" fillId="11" borderId="64" xfId="16" applyNumberFormat="1" applyFill="1" applyBorder="1" applyAlignment="1" applyProtection="1">
      <alignment horizontal="center" vertical="center"/>
      <protection locked="0"/>
    </xf>
    <xf numFmtId="0" fontId="5" fillId="11" borderId="64" xfId="16" applyFill="1" applyBorder="1" applyAlignment="1" applyProtection="1">
      <alignment horizontal="center" vertical="center"/>
      <protection locked="0"/>
    </xf>
    <xf numFmtId="0" fontId="44" fillId="0" borderId="0" xfId="16" applyFont="1" applyBorder="1" applyAlignment="1" applyProtection="1">
      <alignment horizontal="center" vertical="center"/>
    </xf>
    <xf numFmtId="0" fontId="1" fillId="0" borderId="83" xfId="13" applyFont="1" applyBorder="1" applyAlignment="1" applyProtection="1">
      <alignment horizontal="centerContinuous" vertical="center"/>
    </xf>
    <xf numFmtId="0" fontId="1" fillId="0" borderId="5" xfId="13" applyFont="1" applyBorder="1" applyAlignment="1" applyProtection="1">
      <alignment horizontal="center"/>
    </xf>
    <xf numFmtId="0" fontId="44" fillId="0" borderId="4" xfId="16" applyFont="1" applyBorder="1" applyAlignment="1" applyProtection="1">
      <alignment horizontal="left" indent="1"/>
    </xf>
    <xf numFmtId="0" fontId="1" fillId="0" borderId="4" xfId="16" applyFont="1" applyBorder="1" applyAlignment="1" applyProtection="1">
      <alignment horizontal="left" wrapText="1" indent="1"/>
    </xf>
    <xf numFmtId="0" fontId="44" fillId="0" borderId="0" xfId="0" applyFont="1" applyFill="1" applyBorder="1" applyAlignment="1" applyProtection="1">
      <alignment horizontal="left" vertical="center"/>
    </xf>
    <xf numFmtId="0" fontId="30" fillId="0" borderId="0" xfId="0" applyFont="1" applyFill="1" applyBorder="1" applyAlignment="1" applyProtection="1">
      <alignment vertical="center"/>
    </xf>
    <xf numFmtId="0" fontId="30" fillId="0" borderId="0" xfId="0" applyFont="1" applyAlignment="1" applyProtection="1">
      <alignment vertical="center"/>
    </xf>
    <xf numFmtId="0" fontId="48" fillId="0" borderId="0" xfId="26" applyFont="1" applyAlignment="1" applyProtection="1">
      <alignment vertical="center"/>
    </xf>
    <xf numFmtId="0" fontId="48" fillId="0" borderId="0" xfId="13" applyFont="1" applyAlignment="1" applyProtection="1">
      <alignment vertical="center"/>
    </xf>
    <xf numFmtId="1" fontId="48" fillId="0" borderId="0" xfId="13" applyNumberFormat="1" applyFont="1" applyAlignment="1" applyProtection="1">
      <alignment vertical="center"/>
    </xf>
    <xf numFmtId="1" fontId="44" fillId="0" borderId="69" xfId="13" applyNumberFormat="1" applyFont="1" applyBorder="1" applyAlignment="1" applyProtection="1">
      <alignment horizontal="centerContinuous" vertical="center"/>
    </xf>
    <xf numFmtId="1" fontId="44" fillId="0" borderId="48" xfId="13" applyNumberFormat="1" applyFont="1" applyBorder="1" applyAlignment="1" applyProtection="1">
      <alignment horizontal="centerContinuous" vertical="center"/>
    </xf>
    <xf numFmtId="1" fontId="44" fillId="0" borderId="47" xfId="13" applyNumberFormat="1" applyFont="1" applyBorder="1" applyAlignment="1" applyProtection="1">
      <alignment horizontal="centerContinuous" vertical="center"/>
    </xf>
    <xf numFmtId="0" fontId="48" fillId="0" borderId="57" xfId="23" applyFont="1" applyFill="1" applyBorder="1" applyAlignment="1" applyProtection="1">
      <alignment vertical="center"/>
    </xf>
    <xf numFmtId="0" fontId="44" fillId="0" borderId="59" xfId="23" applyFont="1" applyBorder="1" applyAlignment="1" applyProtection="1">
      <alignment vertical="center"/>
    </xf>
    <xf numFmtId="0" fontId="44" fillId="0" borderId="60" xfId="23" applyFont="1" applyBorder="1" applyAlignment="1" applyProtection="1">
      <alignment vertical="center"/>
    </xf>
    <xf numFmtId="0" fontId="44" fillId="0" borderId="0" xfId="23" applyFont="1" applyBorder="1" applyAlignment="1" applyProtection="1">
      <alignment vertical="center"/>
    </xf>
    <xf numFmtId="0" fontId="44" fillId="0" borderId="24" xfId="23" applyFont="1" applyBorder="1" applyAlignment="1" applyProtection="1">
      <alignment vertical="center"/>
    </xf>
    <xf numFmtId="0" fontId="44" fillId="0" borderId="26" xfId="23" applyFont="1" applyBorder="1" applyAlignment="1" applyProtection="1">
      <alignment vertical="center"/>
    </xf>
    <xf numFmtId="1" fontId="48" fillId="0" borderId="28" xfId="13" applyNumberFormat="1" applyFont="1" applyBorder="1" applyAlignment="1" applyProtection="1">
      <alignment vertical="center"/>
    </xf>
    <xf numFmtId="1" fontId="48" fillId="0" borderId="31" xfId="13" applyNumberFormat="1" applyFont="1" applyBorder="1" applyAlignment="1" applyProtection="1">
      <alignment vertical="center"/>
    </xf>
    <xf numFmtId="0" fontId="44" fillId="0" borderId="17" xfId="25" applyFont="1" applyBorder="1" applyAlignment="1" applyProtection="1">
      <alignment vertical="center"/>
    </xf>
    <xf numFmtId="0" fontId="44" fillId="0" borderId="22" xfId="25" applyFont="1" applyBorder="1" applyAlignment="1" applyProtection="1">
      <alignment vertical="center"/>
    </xf>
    <xf numFmtId="1" fontId="48" fillId="0" borderId="17" xfId="13" applyNumberFormat="1" applyFont="1" applyBorder="1" applyAlignment="1" applyProtection="1">
      <alignment vertical="center"/>
    </xf>
    <xf numFmtId="1" fontId="48" fillId="0" borderId="22" xfId="13" applyNumberFormat="1" applyFont="1" applyBorder="1" applyAlignment="1" applyProtection="1">
      <alignment vertical="center"/>
    </xf>
    <xf numFmtId="0" fontId="48" fillId="0" borderId="22" xfId="25" applyFont="1" applyBorder="1" applyAlignment="1" applyProtection="1">
      <alignment horizontal="left" vertical="center"/>
    </xf>
    <xf numFmtId="0" fontId="54" fillId="9" borderId="22" xfId="25" applyFont="1" applyFill="1" applyBorder="1" applyAlignment="1" applyProtection="1">
      <alignment horizontal="left" vertical="center"/>
    </xf>
    <xf numFmtId="0" fontId="30" fillId="0" borderId="0" xfId="0" applyFont="1" applyFill="1" applyAlignment="1" applyProtection="1">
      <alignment vertical="center"/>
    </xf>
    <xf numFmtId="0" fontId="54" fillId="9" borderId="23" xfId="25" applyFont="1" applyFill="1" applyBorder="1" applyAlignment="1" applyProtection="1">
      <alignment horizontal="left" vertical="center"/>
    </xf>
    <xf numFmtId="0" fontId="4" fillId="0" borderId="0" xfId="28" applyFont="1" applyFill="1" applyBorder="1" applyAlignment="1" applyProtection="1">
      <alignment horizontal="left" vertical="center"/>
    </xf>
    <xf numFmtId="0" fontId="48" fillId="0" borderId="63" xfId="15" applyFont="1" applyBorder="1" applyAlignment="1" applyProtection="1">
      <alignment horizontal="left" vertical="center" wrapText="1"/>
    </xf>
    <xf numFmtId="0" fontId="48" fillId="0" borderId="51" xfId="15" applyFont="1" applyBorder="1" applyAlignment="1" applyProtection="1">
      <alignment horizontal="left" vertical="center" wrapText="1"/>
    </xf>
    <xf numFmtId="0" fontId="48" fillId="0" borderId="38" xfId="15" applyFont="1" applyBorder="1" applyAlignment="1" applyProtection="1">
      <alignment horizontal="left" vertical="center" wrapText="1"/>
    </xf>
    <xf numFmtId="0" fontId="48" fillId="0" borderId="43" xfId="15" applyFont="1" applyBorder="1" applyAlignment="1" applyProtection="1">
      <alignment horizontal="left" vertical="center" wrapText="1"/>
    </xf>
    <xf numFmtId="0" fontId="44" fillId="0" borderId="64" xfId="15" applyFont="1" applyBorder="1" applyAlignment="1" applyProtection="1">
      <alignment horizontal="left" vertical="center"/>
    </xf>
    <xf numFmtId="1" fontId="44" fillId="10" borderId="45" xfId="15" applyNumberFormat="1" applyFont="1" applyFill="1" applyBorder="1" applyAlignment="1" applyProtection="1">
      <alignment horizontal="center" vertical="center" wrapText="1"/>
    </xf>
    <xf numFmtId="1" fontId="44" fillId="10" borderId="30" xfId="15" applyNumberFormat="1" applyFont="1" applyFill="1" applyBorder="1" applyAlignment="1" applyProtection="1">
      <alignment horizontal="center" vertical="center" wrapText="1"/>
    </xf>
    <xf numFmtId="0" fontId="44" fillId="11" borderId="65" xfId="15" applyNumberFormat="1" applyFont="1" applyFill="1" applyBorder="1" applyAlignment="1" applyProtection="1">
      <alignment horizontal="center" vertical="center" wrapText="1"/>
    </xf>
    <xf numFmtId="0" fontId="44" fillId="11" borderId="31" xfId="15" applyNumberFormat="1" applyFont="1" applyFill="1" applyBorder="1" applyAlignment="1" applyProtection="1">
      <alignment horizontal="center" vertical="center" wrapText="1"/>
    </xf>
    <xf numFmtId="0" fontId="44" fillId="0" borderId="59" xfId="15" applyFont="1" applyBorder="1" applyAlignment="1" applyProtection="1">
      <alignment horizontal="left" vertical="center"/>
    </xf>
    <xf numFmtId="1" fontId="44" fillId="10" borderId="29" xfId="15" applyNumberFormat="1" applyFont="1" applyFill="1" applyBorder="1" applyAlignment="1" applyProtection="1">
      <alignment horizontal="center" vertical="center" wrapText="1"/>
    </xf>
    <xf numFmtId="0" fontId="44" fillId="0" borderId="0" xfId="15" applyFont="1" applyBorder="1" applyAlignment="1" applyProtection="1">
      <alignment horizontal="left" vertical="center"/>
    </xf>
    <xf numFmtId="0" fontId="48" fillId="0" borderId="0" xfId="15" applyNumberFormat="1" applyFont="1" applyFill="1" applyBorder="1" applyAlignment="1" applyProtection="1">
      <alignment vertical="center" wrapText="1"/>
    </xf>
    <xf numFmtId="167" fontId="44" fillId="10" borderId="29" xfId="15" applyNumberFormat="1" applyFont="1" applyFill="1" applyBorder="1" applyAlignment="1" applyProtection="1">
      <alignment horizontal="center" vertical="center" wrapText="1"/>
    </xf>
    <xf numFmtId="167" fontId="44" fillId="10" borderId="30" xfId="15" applyNumberFormat="1" applyFont="1" applyFill="1" applyBorder="1" applyAlignment="1" applyProtection="1">
      <alignment horizontal="center" vertical="center" wrapText="1"/>
    </xf>
    <xf numFmtId="0" fontId="48" fillId="0" borderId="59" xfId="15" applyFont="1" applyBorder="1" applyAlignment="1" applyProtection="1">
      <alignment horizontal="left" vertical="center" wrapText="1"/>
    </xf>
    <xf numFmtId="0" fontId="44" fillId="0" borderId="0" xfId="15" applyFont="1" applyAlignment="1" applyProtection="1">
      <alignment vertical="center"/>
    </xf>
    <xf numFmtId="0" fontId="44" fillId="0" borderId="27" xfId="15" applyFont="1" applyBorder="1" applyAlignment="1" applyProtection="1">
      <alignment horizontal="left" vertical="center" wrapText="1"/>
    </xf>
    <xf numFmtId="0" fontId="48" fillId="0" borderId="28" xfId="15" applyNumberFormat="1" applyFont="1" applyBorder="1" applyAlignment="1" applyProtection="1">
      <alignment vertical="center" wrapText="1"/>
    </xf>
    <xf numFmtId="0" fontId="48" fillId="0" borderId="27" xfId="15" applyFont="1" applyBorder="1" applyAlignment="1" applyProtection="1">
      <alignment horizontal="left" vertical="center" wrapText="1"/>
    </xf>
    <xf numFmtId="0" fontId="27" fillId="9" borderId="27" xfId="15" applyFont="1" applyFill="1" applyBorder="1" applyAlignment="1" applyProtection="1">
      <alignment horizontal="left" vertical="center" wrapText="1"/>
      <protection locked="0"/>
    </xf>
    <xf numFmtId="0" fontId="48" fillId="0" borderId="28" xfId="15" applyNumberFormat="1" applyFont="1" applyBorder="1" applyAlignment="1" applyProtection="1">
      <alignment vertical="center" wrapText="1"/>
      <protection locked="0"/>
    </xf>
    <xf numFmtId="0" fontId="48" fillId="0" borderId="0" xfId="15" applyFont="1" applyAlignment="1" applyProtection="1">
      <alignment vertical="center"/>
      <protection locked="0"/>
    </xf>
    <xf numFmtId="0" fontId="44" fillId="0" borderId="59" xfId="15" applyFont="1" applyBorder="1" applyAlignment="1" applyProtection="1">
      <alignment horizontal="left" vertical="center"/>
      <protection locked="0"/>
    </xf>
    <xf numFmtId="0" fontId="48" fillId="0" borderId="31" xfId="15" applyNumberFormat="1" applyFont="1" applyBorder="1" applyAlignment="1" applyProtection="1">
      <alignment vertical="center" wrapText="1"/>
      <protection locked="0"/>
    </xf>
    <xf numFmtId="167" fontId="44" fillId="10" borderId="29" xfId="15" applyNumberFormat="1" applyFont="1" applyFill="1" applyBorder="1" applyAlignment="1" applyProtection="1">
      <alignment horizontal="center" vertical="center"/>
      <protection locked="0"/>
    </xf>
    <xf numFmtId="167" fontId="44" fillId="10" borderId="30" xfId="15" applyNumberFormat="1" applyFont="1" applyFill="1" applyBorder="1" applyAlignment="1" applyProtection="1">
      <alignment horizontal="center" vertical="center"/>
      <protection locked="0"/>
    </xf>
    <xf numFmtId="167" fontId="44" fillId="10" borderId="31" xfId="15" applyNumberFormat="1" applyFont="1" applyFill="1" applyBorder="1" applyAlignment="1" applyProtection="1">
      <alignment horizontal="center" vertical="center"/>
      <protection locked="0"/>
    </xf>
    <xf numFmtId="0" fontId="44" fillId="0" borderId="0" xfId="15" applyFont="1" applyAlignment="1" applyProtection="1">
      <alignment horizontal="left" vertical="center"/>
    </xf>
    <xf numFmtId="0" fontId="48" fillId="0" borderId="0" xfId="15" applyNumberFormat="1" applyFont="1" applyAlignment="1" applyProtection="1">
      <alignment vertical="center" wrapText="1"/>
    </xf>
    <xf numFmtId="0" fontId="48" fillId="0" borderId="0" xfId="15" applyFont="1" applyFill="1" applyAlignment="1" applyProtection="1">
      <alignment vertical="center"/>
    </xf>
    <xf numFmtId="0" fontId="31" fillId="0" borderId="0" xfId="24" applyFont="1" applyAlignment="1" applyProtection="1">
      <alignment vertical="center"/>
    </xf>
    <xf numFmtId="0" fontId="48" fillId="0" borderId="56" xfId="15" applyNumberFormat="1" applyFont="1" applyBorder="1" applyAlignment="1" applyProtection="1">
      <alignment vertical="center" wrapText="1"/>
    </xf>
    <xf numFmtId="0" fontId="44" fillId="0" borderId="20" xfId="15" applyFont="1" applyBorder="1" applyAlignment="1" applyProtection="1">
      <alignment horizontal="left" vertical="center"/>
    </xf>
    <xf numFmtId="0" fontId="48" fillId="0" borderId="31" xfId="15" applyNumberFormat="1" applyFont="1" applyBorder="1" applyAlignment="1" applyProtection="1">
      <alignment vertical="center" wrapText="1"/>
    </xf>
    <xf numFmtId="167" fontId="44" fillId="10" borderId="45" xfId="15" applyNumberFormat="1" applyFont="1" applyFill="1" applyBorder="1" applyAlignment="1" applyProtection="1">
      <alignment horizontal="center" vertical="center"/>
    </xf>
    <xf numFmtId="167" fontId="44" fillId="10" borderId="30" xfId="15" applyNumberFormat="1" applyFont="1" applyFill="1" applyBorder="1" applyAlignment="1" applyProtection="1">
      <alignment horizontal="center" vertical="center"/>
    </xf>
    <xf numFmtId="167" fontId="44" fillId="10" borderId="31" xfId="15" applyNumberFormat="1" applyFont="1" applyFill="1" applyBorder="1" applyAlignment="1" applyProtection="1">
      <alignment horizontal="center" vertical="center"/>
    </xf>
    <xf numFmtId="167" fontId="44" fillId="10" borderId="29" xfId="15" applyNumberFormat="1" applyFont="1" applyFill="1" applyBorder="1" applyAlignment="1" applyProtection="1">
      <alignment horizontal="center" vertical="center"/>
    </xf>
    <xf numFmtId="0" fontId="48" fillId="0" borderId="69" xfId="15" applyFont="1" applyBorder="1" applyAlignment="1" applyProtection="1">
      <alignment vertical="center"/>
    </xf>
    <xf numFmtId="1" fontId="44" fillId="10" borderId="31" xfId="15" applyNumberFormat="1" applyFont="1" applyFill="1" applyBorder="1" applyAlignment="1" applyProtection="1">
      <alignment horizontal="center" vertical="center" wrapText="1"/>
    </xf>
    <xf numFmtId="0" fontId="44" fillId="0" borderId="0" xfId="15" applyFont="1" applyBorder="1" applyAlignment="1" applyProtection="1">
      <alignment vertical="center"/>
    </xf>
    <xf numFmtId="0" fontId="44" fillId="11" borderId="28" xfId="15" applyFont="1" applyFill="1" applyBorder="1" applyAlignment="1" applyProtection="1">
      <alignment horizontal="center" vertical="center" wrapText="1"/>
    </xf>
    <xf numFmtId="0" fontId="44" fillId="0" borderId="14" xfId="15" applyFont="1" applyBorder="1" applyAlignment="1" applyProtection="1">
      <alignment horizontal="left" vertical="center"/>
    </xf>
    <xf numFmtId="0" fontId="48" fillId="0" borderId="14" xfId="15" applyNumberFormat="1" applyFont="1" applyFill="1" applyBorder="1" applyAlignment="1" applyProtection="1">
      <alignment vertical="center" wrapText="1"/>
    </xf>
    <xf numFmtId="0" fontId="44" fillId="0" borderId="4" xfId="15" applyFont="1" applyFill="1" applyBorder="1" applyAlignment="1" applyProtection="1">
      <alignment horizontal="center" vertical="center" wrapText="1"/>
    </xf>
    <xf numFmtId="0" fontId="48" fillId="0" borderId="14" xfId="15" applyFont="1" applyBorder="1" applyAlignment="1" applyProtection="1">
      <alignment vertical="center"/>
    </xf>
    <xf numFmtId="0" fontId="44" fillId="11" borderId="56" xfId="15" applyFont="1" applyFill="1" applyBorder="1" applyAlignment="1" applyProtection="1">
      <alignment horizontal="center" vertical="center" wrapText="1"/>
    </xf>
    <xf numFmtId="0" fontId="48" fillId="0" borderId="62" xfId="15" applyFont="1" applyBorder="1" applyAlignment="1" applyProtection="1">
      <alignment vertical="center"/>
    </xf>
    <xf numFmtId="0" fontId="44" fillId="0" borderId="67" xfId="15" applyFont="1" applyBorder="1" applyAlignment="1" applyProtection="1">
      <alignment horizontal="center" vertical="center" wrapText="1"/>
    </xf>
    <xf numFmtId="0" fontId="44" fillId="0" borderId="81" xfId="15" applyFont="1" applyBorder="1" applyAlignment="1" applyProtection="1">
      <alignment horizontal="center" vertical="center" wrapText="1"/>
    </xf>
    <xf numFmtId="0" fontId="44" fillId="0" borderId="82" xfId="15" applyFont="1" applyBorder="1" applyAlignment="1" applyProtection="1">
      <alignment horizontal="center" vertical="center" wrapText="1"/>
    </xf>
    <xf numFmtId="0" fontId="44" fillId="0" borderId="55" xfId="15" applyFont="1" applyBorder="1" applyAlignment="1" applyProtection="1">
      <alignment horizontal="center" vertical="center" wrapText="1"/>
    </xf>
    <xf numFmtId="0" fontId="44" fillId="0" borderId="37" xfId="15" applyFont="1" applyBorder="1" applyAlignment="1" applyProtection="1">
      <alignment horizontal="center" vertical="center" wrapText="1"/>
    </xf>
    <xf numFmtId="0" fontId="44" fillId="0" borderId="1" xfId="15" applyFont="1" applyFill="1" applyBorder="1" applyAlignment="1" applyProtection="1">
      <alignment horizontal="center" vertical="center" wrapText="1"/>
    </xf>
    <xf numFmtId="0" fontId="44" fillId="0" borderId="28" xfId="15" applyFont="1" applyFill="1" applyBorder="1" applyAlignment="1" applyProtection="1">
      <alignment horizontal="center" vertical="center" wrapText="1"/>
    </xf>
    <xf numFmtId="0" fontId="48" fillId="0" borderId="66" xfId="15" applyFont="1" applyBorder="1" applyAlignment="1" applyProtection="1">
      <alignment horizontal="center" vertical="center" wrapText="1"/>
    </xf>
    <xf numFmtId="0" fontId="48" fillId="0" borderId="63" xfId="15" applyFont="1" applyBorder="1" applyAlignment="1" applyProtection="1">
      <alignment horizontal="center" vertical="center" wrapText="1"/>
    </xf>
    <xf numFmtId="0" fontId="44" fillId="0" borderId="49" xfId="15" applyFont="1" applyBorder="1" applyAlignment="1" applyProtection="1">
      <alignment horizontal="center" vertical="center" wrapText="1"/>
    </xf>
    <xf numFmtId="0" fontId="4" fillId="0" borderId="4" xfId="15" applyFont="1" applyFill="1" applyBorder="1" applyAlignment="1" applyProtection="1">
      <alignment horizontal="center" vertical="center" wrapText="1"/>
    </xf>
    <xf numFmtId="0" fontId="44" fillId="0" borderId="0" xfId="0" applyFont="1" applyAlignment="1">
      <alignment vertical="center"/>
    </xf>
    <xf numFmtId="0" fontId="20" fillId="0" borderId="0" xfId="11" applyAlignment="1" applyProtection="1">
      <alignment vertical="center"/>
    </xf>
    <xf numFmtId="0" fontId="38"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 fillId="0" borderId="0" xfId="0" applyFont="1" applyAlignment="1" applyProtection="1">
      <alignment vertical="center"/>
    </xf>
    <xf numFmtId="0" fontId="1" fillId="0" borderId="0" xfId="0" applyFont="1" applyBorder="1" applyAlignment="1" applyProtection="1">
      <alignment vertical="center"/>
    </xf>
    <xf numFmtId="0" fontId="14" fillId="0" borderId="0" xfId="0" applyFont="1" applyAlignment="1">
      <alignment vertical="center"/>
    </xf>
    <xf numFmtId="0" fontId="15" fillId="0" borderId="0" xfId="0" applyFont="1" applyBorder="1" applyAlignment="1" applyProtection="1">
      <alignment vertical="center"/>
    </xf>
    <xf numFmtId="0" fontId="8" fillId="0" borderId="0" xfId="0" applyFont="1" applyAlignment="1">
      <alignment vertical="center"/>
    </xf>
    <xf numFmtId="0" fontId="8" fillId="0" borderId="0" xfId="0" applyFont="1" applyBorder="1" applyAlignment="1">
      <alignment vertical="center"/>
    </xf>
    <xf numFmtId="0" fontId="15" fillId="0" borderId="61"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61" xfId="0" applyFont="1" applyFill="1" applyBorder="1" applyAlignment="1" applyProtection="1">
      <alignment horizontal="center" vertical="center" wrapText="1"/>
    </xf>
    <xf numFmtId="0" fontId="14" fillId="0" borderId="0" xfId="0" applyFont="1" applyAlignment="1" applyProtection="1">
      <alignment vertical="center"/>
    </xf>
    <xf numFmtId="0" fontId="8" fillId="0" borderId="0" xfId="0" applyFont="1" applyAlignment="1" applyProtection="1">
      <alignment vertical="center"/>
    </xf>
    <xf numFmtId="0" fontId="15" fillId="0" borderId="68" xfId="0" applyFont="1" applyBorder="1" applyAlignment="1" applyProtection="1">
      <alignment horizontal="center" vertical="center"/>
    </xf>
    <xf numFmtId="0" fontId="15" fillId="0" borderId="75" xfId="0" applyFont="1" applyBorder="1" applyAlignment="1" applyProtection="1">
      <alignment horizontal="center" vertical="center"/>
    </xf>
    <xf numFmtId="0" fontId="15" fillId="0" borderId="73" xfId="0" applyFont="1" applyBorder="1" applyAlignment="1" applyProtection="1">
      <alignment horizontal="center" vertical="center"/>
    </xf>
    <xf numFmtId="0" fontId="15" fillId="0" borderId="0" xfId="0" applyFont="1" applyAlignment="1">
      <alignment horizontal="center" vertical="center"/>
    </xf>
    <xf numFmtId="0" fontId="14" fillId="0" borderId="0" xfId="0" applyFont="1" applyBorder="1" applyAlignment="1">
      <alignment vertical="center"/>
    </xf>
    <xf numFmtId="0" fontId="15" fillId="0" borderId="32" xfId="0" applyFont="1" applyBorder="1" applyAlignment="1" applyProtection="1">
      <alignment horizontal="center" vertical="center"/>
    </xf>
    <xf numFmtId="0" fontId="15" fillId="0" borderId="67" xfId="0" applyFont="1" applyBorder="1" applyAlignment="1" applyProtection="1">
      <alignment horizontal="center" vertical="center"/>
    </xf>
    <xf numFmtId="0" fontId="15" fillId="0" borderId="76" xfId="0" applyFont="1" applyBorder="1" applyAlignment="1" applyProtection="1">
      <alignment horizontal="center" vertical="center"/>
    </xf>
    <xf numFmtId="0" fontId="15" fillId="0" borderId="62" xfId="0" applyFont="1" applyBorder="1" applyAlignment="1" applyProtection="1">
      <alignment horizontal="center" vertical="center"/>
    </xf>
    <xf numFmtId="0" fontId="15" fillId="0" borderId="40" xfId="0" applyFont="1" applyBorder="1" applyAlignment="1">
      <alignment horizontal="center" vertical="center"/>
    </xf>
    <xf numFmtId="0" fontId="15" fillId="0" borderId="42" xfId="0" applyFont="1" applyBorder="1" applyAlignment="1">
      <alignment horizontal="center" vertical="center"/>
    </xf>
    <xf numFmtId="0" fontId="15" fillId="0" borderId="39" xfId="0" applyFont="1" applyBorder="1" applyAlignment="1">
      <alignment horizontal="center" vertical="center"/>
    </xf>
    <xf numFmtId="0" fontId="15" fillId="0" borderId="61" xfId="0" applyFont="1" applyBorder="1" applyAlignment="1">
      <alignment horizontal="center" vertical="center"/>
    </xf>
    <xf numFmtId="0" fontId="15" fillId="0" borderId="68" xfId="0" applyFont="1" applyBorder="1" applyAlignment="1">
      <alignment horizontal="center" vertical="center"/>
    </xf>
    <xf numFmtId="0" fontId="15" fillId="0" borderId="75" xfId="0" applyFont="1" applyBorder="1" applyAlignment="1">
      <alignment horizontal="center" vertical="center"/>
    </xf>
    <xf numFmtId="174" fontId="8" fillId="0" borderId="0" xfId="0" applyNumberFormat="1" applyFont="1" applyAlignment="1">
      <alignment horizontal="right" vertical="center"/>
    </xf>
    <xf numFmtId="174" fontId="19" fillId="9" borderId="62" xfId="0" applyNumberFormat="1" applyFont="1" applyFill="1" applyBorder="1" applyAlignment="1" applyProtection="1">
      <alignment horizontal="right" vertical="center"/>
      <protection locked="0"/>
    </xf>
    <xf numFmtId="174" fontId="19" fillId="9" borderId="38" xfId="0" applyNumberFormat="1" applyFont="1" applyFill="1" applyBorder="1" applyAlignment="1" applyProtection="1">
      <alignment horizontal="right" vertical="center"/>
      <protection locked="0"/>
    </xf>
    <xf numFmtId="174" fontId="19" fillId="9" borderId="11" xfId="0" applyNumberFormat="1" applyFont="1" applyFill="1" applyBorder="1" applyAlignment="1" applyProtection="1">
      <alignment horizontal="right" vertical="center"/>
      <protection locked="0"/>
    </xf>
    <xf numFmtId="174" fontId="19" fillId="9" borderId="64" xfId="0" applyNumberFormat="1" applyFont="1" applyFill="1" applyBorder="1" applyAlignment="1" applyProtection="1">
      <alignment horizontal="right" vertical="center"/>
      <protection locked="0"/>
    </xf>
    <xf numFmtId="174" fontId="19" fillId="9" borderId="63"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wrapText="1"/>
    </xf>
    <xf numFmtId="174" fontId="19" fillId="9" borderId="27" xfId="0" applyNumberFormat="1" applyFont="1" applyFill="1" applyBorder="1" applyAlignment="1" applyProtection="1">
      <alignment horizontal="right" vertical="center"/>
      <protection locked="0"/>
    </xf>
    <xf numFmtId="174" fontId="19" fillId="9" borderId="7" xfId="0" applyNumberFormat="1" applyFont="1" applyFill="1" applyBorder="1" applyAlignment="1" applyProtection="1">
      <alignment horizontal="right" vertical="center"/>
      <protection locked="0"/>
    </xf>
    <xf numFmtId="174" fontId="8" fillId="2" borderId="38" xfId="0" applyNumberFormat="1" applyFont="1" applyFill="1" applyBorder="1" applyAlignment="1">
      <alignment horizontal="right" vertical="center"/>
    </xf>
    <xf numFmtId="174" fontId="19" fillId="9" borderId="6" xfId="0" applyNumberFormat="1" applyFont="1" applyFill="1" applyBorder="1" applyAlignment="1" applyProtection="1">
      <alignment horizontal="right" vertical="center"/>
      <protection locked="0"/>
    </xf>
    <xf numFmtId="174" fontId="19" fillId="9" borderId="66" xfId="0" applyNumberFormat="1" applyFont="1" applyFill="1" applyBorder="1" applyAlignment="1" applyProtection="1">
      <alignment horizontal="right" vertical="center"/>
      <protection locked="0"/>
    </xf>
    <xf numFmtId="174" fontId="19" fillId="9" borderId="67" xfId="0" applyNumberFormat="1" applyFont="1" applyFill="1" applyBorder="1" applyAlignment="1" applyProtection="1">
      <alignment horizontal="right" vertical="center"/>
      <protection locked="0"/>
    </xf>
    <xf numFmtId="174" fontId="19" fillId="9" borderId="76" xfId="0" applyNumberFormat="1" applyFont="1" applyFill="1" applyBorder="1" applyAlignment="1" applyProtection="1">
      <alignment horizontal="right" vertical="center"/>
      <protection locked="0"/>
    </xf>
    <xf numFmtId="174" fontId="8" fillId="2" borderId="62" xfId="0" applyNumberFormat="1" applyFont="1" applyFill="1" applyBorder="1" applyAlignment="1">
      <alignment horizontal="right" vertical="center"/>
    </xf>
    <xf numFmtId="174" fontId="19" fillId="9" borderId="29" xfId="0" applyNumberFormat="1" applyFont="1" applyFill="1" applyBorder="1" applyAlignment="1" applyProtection="1">
      <alignment horizontal="right" vertical="center"/>
      <protection locked="0"/>
    </xf>
    <xf numFmtId="174" fontId="19" fillId="9" borderId="65" xfId="0" applyNumberFormat="1" applyFont="1" applyFill="1" applyBorder="1" applyAlignment="1" applyProtection="1">
      <alignment horizontal="right" vertical="center"/>
      <protection locked="0"/>
    </xf>
    <xf numFmtId="174" fontId="8" fillId="2" borderId="64" xfId="0" applyNumberFormat="1" applyFont="1" applyFill="1" applyBorder="1" applyAlignment="1">
      <alignment horizontal="right" vertical="center"/>
    </xf>
    <xf numFmtId="174" fontId="19" fillId="9" borderId="82" xfId="0" applyNumberFormat="1" applyFont="1" applyFill="1" applyBorder="1" applyAlignment="1" applyProtection="1">
      <alignment horizontal="right" vertical="center"/>
      <protection locked="0"/>
    </xf>
    <xf numFmtId="174" fontId="19" fillId="9" borderId="28" xfId="0" applyNumberFormat="1" applyFont="1" applyFill="1" applyBorder="1" applyAlignment="1" applyProtection="1">
      <alignment horizontal="right" vertical="center"/>
      <protection locked="0"/>
    </xf>
    <xf numFmtId="174" fontId="19" fillId="9" borderId="68" xfId="0" applyNumberFormat="1" applyFont="1" applyFill="1" applyBorder="1" applyAlignment="1" applyProtection="1">
      <alignment horizontal="right" vertical="center"/>
      <protection locked="0"/>
    </xf>
    <xf numFmtId="174" fontId="19" fillId="9" borderId="25" xfId="0" applyNumberFormat="1" applyFont="1" applyFill="1" applyBorder="1" applyAlignment="1" applyProtection="1">
      <alignment horizontal="right" vertical="center"/>
      <protection locked="0"/>
    </xf>
    <xf numFmtId="174" fontId="8" fillId="2" borderId="61" xfId="0" applyNumberFormat="1" applyFont="1" applyFill="1" applyBorder="1" applyAlignment="1">
      <alignment horizontal="right" vertical="center"/>
    </xf>
    <xf numFmtId="174" fontId="19" fillId="9" borderId="61" xfId="0" applyNumberFormat="1" applyFont="1" applyFill="1" applyBorder="1" applyAlignment="1" applyProtection="1">
      <alignment horizontal="right" vertical="center"/>
      <protection locked="0"/>
    </xf>
    <xf numFmtId="174" fontId="19" fillId="11" borderId="20" xfId="0" applyNumberFormat="1" applyFont="1" applyFill="1" applyBorder="1" applyAlignment="1">
      <alignment horizontal="right" vertical="center"/>
    </xf>
    <xf numFmtId="174" fontId="19" fillId="11" borderId="21" xfId="0" applyNumberFormat="1" applyFont="1" applyFill="1" applyBorder="1" applyAlignment="1">
      <alignment horizontal="right" vertical="center"/>
    </xf>
    <xf numFmtId="174" fontId="8" fillId="11" borderId="39" xfId="0" applyNumberFormat="1" applyFont="1" applyFill="1" applyBorder="1" applyAlignment="1">
      <alignment horizontal="right" vertical="center"/>
    </xf>
    <xf numFmtId="174" fontId="8" fillId="0" borderId="0" xfId="0" applyNumberFormat="1" applyFont="1" applyFill="1" applyAlignment="1">
      <alignment horizontal="right" vertical="center"/>
    </xf>
    <xf numFmtId="174" fontId="19" fillId="9" borderId="39" xfId="0" applyNumberFormat="1" applyFont="1" applyFill="1" applyBorder="1" applyAlignment="1" applyProtection="1">
      <alignment horizontal="right" vertical="center"/>
      <protection locked="0"/>
    </xf>
    <xf numFmtId="0" fontId="8" fillId="0" borderId="0" xfId="0" applyFont="1" applyFill="1" applyAlignment="1" applyProtection="1">
      <alignment vertical="center"/>
    </xf>
    <xf numFmtId="174" fontId="19" fillId="11" borderId="24" xfId="0" applyNumberFormat="1" applyFont="1" applyFill="1" applyBorder="1" applyAlignment="1">
      <alignment horizontal="right" vertical="center"/>
    </xf>
    <xf numFmtId="174" fontId="19" fillId="11" borderId="25" xfId="0" applyNumberFormat="1" applyFont="1" applyFill="1" applyBorder="1" applyAlignment="1">
      <alignment horizontal="right" vertical="center"/>
    </xf>
    <xf numFmtId="174" fontId="19" fillId="11" borderId="61" xfId="0" applyNumberFormat="1" applyFont="1" applyFill="1" applyBorder="1" applyAlignment="1">
      <alignment horizontal="right" vertical="center"/>
    </xf>
    <xf numFmtId="174" fontId="19" fillId="9" borderId="73" xfId="0" applyNumberFormat="1" applyFont="1" applyFill="1" applyBorder="1" applyAlignment="1" applyProtection="1">
      <alignment horizontal="right" vertical="center"/>
      <protection locked="0"/>
    </xf>
    <xf numFmtId="174" fontId="19" fillId="11" borderId="61" xfId="0" applyNumberFormat="1" applyFont="1" applyFill="1" applyBorder="1" applyAlignment="1" applyProtection="1">
      <alignment horizontal="right" vertical="center"/>
    </xf>
    <xf numFmtId="174" fontId="8" fillId="11" borderId="61" xfId="0" applyNumberFormat="1" applyFont="1" applyFill="1" applyBorder="1" applyAlignment="1" applyProtection="1">
      <alignment horizontal="right" vertical="center"/>
    </xf>
    <xf numFmtId="174" fontId="19" fillId="11" borderId="39" xfId="0" applyNumberFormat="1" applyFont="1" applyFill="1" applyBorder="1" applyAlignment="1">
      <alignment horizontal="right" vertical="center"/>
    </xf>
    <xf numFmtId="174" fontId="19" fillId="9" borderId="23" xfId="0" applyNumberFormat="1" applyFont="1" applyFill="1" applyBorder="1" applyAlignment="1" applyProtection="1">
      <alignment horizontal="right" vertical="center"/>
      <protection locked="0"/>
    </xf>
    <xf numFmtId="0" fontId="13" fillId="0" borderId="0" xfId="0" applyFont="1" applyBorder="1" applyAlignment="1">
      <alignment vertical="center"/>
    </xf>
    <xf numFmtId="174" fontId="13" fillId="2" borderId="39" xfId="0" applyNumberFormat="1" applyFont="1" applyFill="1" applyBorder="1" applyAlignment="1">
      <alignment horizontal="right" vertical="center"/>
    </xf>
    <xf numFmtId="174" fontId="13" fillId="0" borderId="0" xfId="0" applyNumberFormat="1" applyFont="1" applyAlignment="1">
      <alignment horizontal="right" vertical="center"/>
    </xf>
    <xf numFmtId="0" fontId="13" fillId="0" borderId="0" xfId="0" applyFont="1" applyAlignment="1" applyProtection="1">
      <alignment vertical="center"/>
    </xf>
    <xf numFmtId="0" fontId="8" fillId="0" borderId="0" xfId="0" applyFont="1" applyBorder="1" applyAlignment="1" applyProtection="1">
      <alignment vertical="center"/>
    </xf>
    <xf numFmtId="0" fontId="39" fillId="0" borderId="0" xfId="0" applyFont="1" applyAlignment="1" applyProtection="1">
      <alignment horizontal="center" vertical="center"/>
    </xf>
    <xf numFmtId="0" fontId="13" fillId="0" borderId="0" xfId="0" applyFont="1" applyAlignment="1">
      <alignment vertical="center"/>
    </xf>
    <xf numFmtId="0" fontId="13" fillId="0" borderId="0" xfId="0" applyFont="1" applyFill="1" applyAlignment="1">
      <alignment vertical="center"/>
    </xf>
    <xf numFmtId="0" fontId="38" fillId="0" borderId="24" xfId="0" applyFont="1" applyFill="1" applyBorder="1" applyAlignment="1" applyProtection="1">
      <alignment vertical="center"/>
    </xf>
    <xf numFmtId="0" fontId="13" fillId="0" borderId="25" xfId="0" applyFont="1" applyBorder="1" applyAlignment="1" applyProtection="1">
      <alignment vertical="center"/>
    </xf>
    <xf numFmtId="0" fontId="13" fillId="0" borderId="61" xfId="0" applyFont="1" applyBorder="1" applyAlignment="1">
      <alignment horizontal="center" vertical="center"/>
    </xf>
    <xf numFmtId="0" fontId="13" fillId="0" borderId="61"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0" fontId="13" fillId="0" borderId="39" xfId="0" applyFont="1" applyBorder="1" applyAlignment="1">
      <alignment horizontal="center" vertical="center"/>
    </xf>
    <xf numFmtId="174" fontId="19" fillId="9" borderId="52" xfId="0" applyNumberFormat="1" applyFont="1" applyFill="1" applyBorder="1" applyAlignment="1" applyProtection="1">
      <alignment horizontal="right" vertical="center"/>
      <protection locked="0"/>
    </xf>
    <xf numFmtId="174" fontId="19" fillId="9" borderId="54" xfId="0" applyNumberFormat="1" applyFont="1" applyFill="1" applyBorder="1" applyAlignment="1" applyProtection="1">
      <alignment horizontal="right" vertical="center"/>
      <protection locked="0"/>
    </xf>
    <xf numFmtId="0" fontId="14" fillId="0" borderId="0" xfId="0" applyFont="1" applyBorder="1" applyAlignment="1" applyProtection="1">
      <alignment vertical="center"/>
    </xf>
    <xf numFmtId="0" fontId="37" fillId="0" borderId="0" xfId="0" applyFont="1" applyBorder="1" applyAlignment="1" applyProtection="1">
      <alignment vertical="center"/>
    </xf>
    <xf numFmtId="0" fontId="8" fillId="0" borderId="0" xfId="0" applyFont="1" applyBorder="1" applyAlignment="1" applyProtection="1">
      <alignment vertical="center" wrapText="1"/>
    </xf>
    <xf numFmtId="174" fontId="19" fillId="9" borderId="44" xfId="0" applyNumberFormat="1" applyFont="1" applyFill="1" applyBorder="1" applyAlignment="1" applyProtection="1">
      <alignment horizontal="right" vertical="center"/>
      <protection locked="0"/>
    </xf>
    <xf numFmtId="0" fontId="13" fillId="0" borderId="0" xfId="0" applyFont="1" applyBorder="1" applyAlignment="1" applyProtection="1">
      <alignment vertical="center" wrapText="1"/>
    </xf>
    <xf numFmtId="174" fontId="13" fillId="2" borderId="26"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xf>
    <xf numFmtId="0" fontId="15" fillId="0" borderId="61" xfId="0" applyFont="1" applyBorder="1" applyAlignment="1" applyProtection="1">
      <alignment horizontal="center" vertical="center" wrapText="1"/>
    </xf>
    <xf numFmtId="0" fontId="13" fillId="0" borderId="61" xfId="0" applyFont="1" applyBorder="1" applyAlignment="1">
      <alignment horizontal="center" vertical="center" wrapText="1"/>
    </xf>
    <xf numFmtId="0" fontId="15" fillId="0" borderId="32" xfId="0" applyFont="1" applyBorder="1" applyAlignment="1">
      <alignment horizontal="center" vertical="center" wrapText="1"/>
    </xf>
    <xf numFmtId="0" fontId="13" fillId="0" borderId="26" xfId="0" applyFont="1" applyBorder="1" applyAlignment="1">
      <alignment horizontal="center" vertical="center"/>
    </xf>
    <xf numFmtId="0" fontId="8" fillId="5" borderId="35" xfId="0" applyFont="1" applyFill="1" applyBorder="1" applyAlignment="1" applyProtection="1">
      <alignment horizontal="center" textRotation="90" wrapText="1"/>
    </xf>
    <xf numFmtId="0" fontId="8" fillId="5" borderId="72" xfId="0" applyFont="1" applyFill="1" applyBorder="1" applyAlignment="1" applyProtection="1">
      <alignment horizontal="center" textRotation="90" wrapText="1"/>
    </xf>
    <xf numFmtId="0" fontId="8" fillId="5" borderId="73" xfId="0" applyFont="1" applyFill="1" applyBorder="1" applyAlignment="1" applyProtection="1">
      <alignment horizontal="center" textRotation="90" wrapText="1"/>
    </xf>
    <xf numFmtId="0" fontId="13" fillId="8" borderId="32" xfId="0" applyFont="1" applyFill="1" applyBorder="1" applyAlignment="1" applyProtection="1">
      <alignment horizontal="center" vertical="top" wrapText="1"/>
    </xf>
    <xf numFmtId="174" fontId="19" fillId="9" borderId="4" xfId="0" applyNumberFormat="1" applyFont="1" applyFill="1" applyBorder="1" applyAlignment="1" applyProtection="1">
      <alignment vertical="center"/>
      <protection locked="0"/>
    </xf>
    <xf numFmtId="174" fontId="19" fillId="9" borderId="62" xfId="0" applyNumberFormat="1" applyFont="1" applyFill="1" applyBorder="1" applyAlignment="1" applyProtection="1">
      <alignment vertical="center"/>
      <protection locked="0"/>
    </xf>
    <xf numFmtId="174" fontId="8" fillId="2" borderId="63" xfId="0" applyNumberFormat="1" applyFont="1" applyFill="1" applyBorder="1" applyAlignment="1">
      <alignment vertical="center"/>
    </xf>
    <xf numFmtId="0" fontId="8" fillId="0" borderId="65" xfId="0" applyFont="1" applyFill="1" applyBorder="1" applyAlignment="1" applyProtection="1">
      <alignment vertical="center"/>
    </xf>
    <xf numFmtId="174" fontId="19" fillId="9" borderId="39" xfId="0" applyNumberFormat="1" applyFont="1" applyFill="1" applyBorder="1" applyAlignment="1" applyProtection="1">
      <alignment vertical="center"/>
      <protection locked="0"/>
    </xf>
    <xf numFmtId="174" fontId="8" fillId="2" borderId="64" xfId="0" applyNumberFormat="1" applyFont="1" applyFill="1" applyBorder="1" applyAlignment="1">
      <alignment vertical="center"/>
    </xf>
    <xf numFmtId="0" fontId="8" fillId="0" borderId="7" xfId="0" applyFont="1" applyFill="1" applyBorder="1" applyAlignment="1" applyProtection="1">
      <alignment vertical="center"/>
    </xf>
    <xf numFmtId="174" fontId="19" fillId="9" borderId="38" xfId="0" applyNumberFormat="1" applyFont="1" applyFill="1" applyBorder="1" applyAlignment="1" applyProtection="1">
      <alignment vertical="center"/>
      <protection locked="0"/>
    </xf>
    <xf numFmtId="174" fontId="8" fillId="2" borderId="38" xfId="0" applyNumberFormat="1" applyFont="1" applyFill="1" applyBorder="1" applyAlignment="1">
      <alignment vertical="center"/>
    </xf>
    <xf numFmtId="174" fontId="19" fillId="9" borderId="64" xfId="0" applyNumberFormat="1" applyFont="1" applyFill="1" applyBorder="1" applyAlignment="1" applyProtection="1">
      <alignment vertical="center"/>
      <protection locked="0"/>
    </xf>
    <xf numFmtId="174" fontId="19" fillId="9" borderId="63" xfId="0" applyNumberFormat="1" applyFont="1" applyFill="1" applyBorder="1" applyAlignment="1" applyProtection="1">
      <alignment vertical="center"/>
      <protection locked="0"/>
    </xf>
    <xf numFmtId="174" fontId="19" fillId="9" borderId="66" xfId="0" applyNumberFormat="1" applyFont="1" applyFill="1" applyBorder="1" applyAlignment="1" applyProtection="1">
      <alignment vertical="center"/>
      <protection locked="0"/>
    </xf>
    <xf numFmtId="174" fontId="8" fillId="2" borderId="61" xfId="0" applyNumberFormat="1" applyFont="1" applyFill="1" applyBorder="1" applyAlignment="1">
      <alignment vertical="center"/>
    </xf>
    <xf numFmtId="0" fontId="39" fillId="0" borderId="0" xfId="0" applyFont="1" applyAlignment="1" applyProtection="1">
      <alignment vertical="center"/>
    </xf>
    <xf numFmtId="0" fontId="15" fillId="8" borderId="61" xfId="0" applyFont="1" applyFill="1" applyBorder="1" applyAlignment="1" applyProtection="1">
      <alignment horizontal="center" vertical="center" wrapText="1"/>
    </xf>
    <xf numFmtId="174" fontId="13" fillId="2" borderId="62" xfId="0" applyNumberFormat="1" applyFont="1" applyFill="1" applyBorder="1" applyAlignment="1">
      <alignment vertical="center"/>
    </xf>
    <xf numFmtId="174" fontId="13" fillId="2" borderId="38" xfId="0" applyNumberFormat="1" applyFont="1" applyFill="1" applyBorder="1" applyAlignment="1">
      <alignment vertical="center"/>
    </xf>
    <xf numFmtId="174" fontId="13" fillId="2" borderId="66" xfId="0" applyNumberFormat="1" applyFont="1" applyFill="1" applyBorder="1" applyAlignment="1">
      <alignment vertical="center"/>
    </xf>
    <xf numFmtId="174" fontId="13" fillId="2" borderId="64" xfId="0" applyNumberFormat="1" applyFont="1" applyFill="1" applyBorder="1" applyAlignment="1">
      <alignment vertical="center"/>
    </xf>
    <xf numFmtId="174" fontId="13" fillId="2" borderId="61" xfId="0" applyNumberFormat="1" applyFont="1" applyFill="1" applyBorder="1" applyAlignment="1">
      <alignment vertical="center"/>
    </xf>
    <xf numFmtId="0" fontId="14" fillId="0" borderId="17" xfId="0" applyFont="1" applyBorder="1" applyAlignment="1">
      <alignment vertical="center"/>
    </xf>
    <xf numFmtId="174" fontId="0" fillId="2" borderId="61" xfId="0" applyNumberFormat="1" applyFill="1" applyBorder="1" applyAlignment="1">
      <alignment vertical="center"/>
    </xf>
    <xf numFmtId="0" fontId="15" fillId="0" borderId="0" xfId="0" applyFont="1" applyBorder="1" applyAlignment="1" applyProtection="1">
      <alignment vertical="center" wrapText="1"/>
    </xf>
    <xf numFmtId="0" fontId="40" fillId="0" borderId="0" xfId="0" applyFont="1" applyFill="1" applyBorder="1" applyAlignment="1">
      <alignment vertical="center"/>
    </xf>
    <xf numFmtId="174" fontId="13" fillId="0" borderId="61" xfId="0" applyNumberFormat="1" applyFont="1" applyFill="1" applyBorder="1" applyAlignment="1">
      <alignment vertical="center"/>
    </xf>
    <xf numFmtId="174" fontId="8" fillId="0" borderId="38" xfId="0" applyNumberFormat="1" applyFont="1" applyFill="1" applyBorder="1" applyAlignment="1" applyProtection="1">
      <alignment vertical="center"/>
      <protection locked="0"/>
    </xf>
    <xf numFmtId="0" fontId="13" fillId="6" borderId="25" xfId="0" applyFont="1" applyFill="1" applyBorder="1" applyAlignment="1" applyProtection="1">
      <alignment horizontal="center" vertical="center" wrapText="1"/>
    </xf>
    <xf numFmtId="0" fontId="13" fillId="6" borderId="26" xfId="0" applyFont="1" applyFill="1" applyBorder="1" applyAlignment="1" applyProtection="1">
      <alignment horizontal="center" vertical="center" wrapText="1"/>
    </xf>
    <xf numFmtId="0" fontId="13" fillId="6" borderId="23" xfId="0" applyFont="1" applyFill="1" applyBorder="1" applyAlignment="1" applyProtection="1">
      <alignment horizontal="center" vertical="center" wrapText="1"/>
    </xf>
    <xf numFmtId="0" fontId="13" fillId="6" borderId="39" xfId="0" applyFont="1" applyFill="1" applyBorder="1" applyAlignment="1" applyProtection="1">
      <alignment horizontal="center" vertical="center" wrapText="1"/>
    </xf>
    <xf numFmtId="0" fontId="15" fillId="0" borderId="0" xfId="0" applyFont="1" applyAlignment="1">
      <alignment vertical="center"/>
    </xf>
    <xf numFmtId="0" fontId="1" fillId="0" borderId="0" xfId="0" applyFont="1" applyFill="1" applyBorder="1" applyAlignment="1">
      <alignment vertical="center"/>
    </xf>
    <xf numFmtId="0" fontId="14" fillId="0" borderId="0" xfId="0" applyFont="1" applyFill="1" applyBorder="1" applyAlignment="1">
      <alignment vertical="center"/>
    </xf>
    <xf numFmtId="0" fontId="1" fillId="0" borderId="0" xfId="0" applyFont="1" applyBorder="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1" fillId="0" borderId="13" xfId="0" applyFont="1" applyBorder="1" applyAlignment="1">
      <alignment vertical="center"/>
    </xf>
    <xf numFmtId="0" fontId="15" fillId="0" borderId="0" xfId="0" applyFont="1" applyFill="1" applyBorder="1" applyAlignment="1">
      <alignment horizontal="left" vertical="center"/>
    </xf>
    <xf numFmtId="0" fontId="15" fillId="0" borderId="14" xfId="0" applyFont="1" applyBorder="1" applyAlignment="1" applyProtection="1">
      <alignment vertical="center"/>
    </xf>
    <xf numFmtId="0" fontId="1" fillId="0" borderId="14" xfId="0" applyFont="1" applyFill="1" applyBorder="1" applyAlignment="1">
      <alignment vertical="center"/>
    </xf>
    <xf numFmtId="0" fontId="1" fillId="0" borderId="14" xfId="0" applyFont="1" applyBorder="1" applyAlignment="1">
      <alignment horizontal="center" vertical="center"/>
    </xf>
    <xf numFmtId="0" fontId="1" fillId="0" borderId="19" xfId="0" applyFont="1" applyFill="1" applyBorder="1" applyAlignment="1">
      <alignment vertical="center"/>
    </xf>
    <xf numFmtId="0" fontId="1" fillId="0" borderId="17" xfId="0" applyFont="1" applyBorder="1" applyAlignment="1">
      <alignment vertical="center"/>
    </xf>
    <xf numFmtId="0" fontId="15" fillId="0" borderId="61" xfId="0" applyFont="1" applyFill="1" applyBorder="1" applyAlignment="1">
      <alignment horizontal="center" vertical="center"/>
    </xf>
    <xf numFmtId="0" fontId="1" fillId="0" borderId="22" xfId="0" applyFont="1" applyFill="1" applyBorder="1" applyAlignment="1">
      <alignment vertical="center"/>
    </xf>
    <xf numFmtId="0" fontId="1" fillId="0" borderId="17" xfId="0" applyFont="1" applyBorder="1" applyAlignment="1" applyProtection="1">
      <alignment vertical="center"/>
    </xf>
    <xf numFmtId="0" fontId="1" fillId="0" borderId="0" xfId="0" applyFont="1" applyFill="1" applyBorder="1" applyAlignment="1" applyProtection="1">
      <alignment vertical="center"/>
    </xf>
    <xf numFmtId="0" fontId="14" fillId="0" borderId="17" xfId="0" applyFont="1" applyBorder="1" applyAlignment="1" applyProtection="1">
      <alignment vertical="center"/>
    </xf>
    <xf numFmtId="0" fontId="14" fillId="0" borderId="0" xfId="0" applyFont="1" applyBorder="1" applyAlignment="1" applyProtection="1">
      <alignment horizontal="left" vertical="center"/>
    </xf>
    <xf numFmtId="0" fontId="14" fillId="0" borderId="0" xfId="0" applyFont="1" applyFill="1" applyBorder="1" applyAlignment="1" applyProtection="1">
      <alignment vertical="center"/>
    </xf>
    <xf numFmtId="174" fontId="1" fillId="0" borderId="22" xfId="0" applyNumberFormat="1" applyFont="1" applyFill="1" applyBorder="1" applyAlignment="1">
      <alignment vertical="center"/>
    </xf>
    <xf numFmtId="174" fontId="1" fillId="0" borderId="0" xfId="0" applyNumberFormat="1" applyFont="1" applyFill="1" applyBorder="1" applyAlignment="1">
      <alignment vertical="center"/>
    </xf>
    <xf numFmtId="0" fontId="14"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15" fillId="0" borderId="0" xfId="0" applyFont="1" applyFill="1" applyBorder="1" applyAlignment="1">
      <alignment horizontal="right" vertical="center"/>
    </xf>
    <xf numFmtId="0" fontId="1" fillId="0" borderId="20" xfId="0" applyFont="1" applyBorder="1" applyAlignment="1">
      <alignment vertical="center"/>
    </xf>
    <xf numFmtId="0" fontId="1" fillId="0" borderId="21" xfId="0" applyFont="1" applyFill="1" applyBorder="1" applyAlignment="1">
      <alignment vertical="center"/>
    </xf>
    <xf numFmtId="0" fontId="1" fillId="0" borderId="21" xfId="0" applyFont="1" applyBorder="1" applyAlignment="1">
      <alignment vertical="center"/>
    </xf>
    <xf numFmtId="174" fontId="1" fillId="0" borderId="21" xfId="0" applyNumberFormat="1" applyFont="1" applyFill="1" applyBorder="1" applyAlignment="1">
      <alignment vertical="center"/>
    </xf>
    <xf numFmtId="174" fontId="1" fillId="0" borderId="23" xfId="0" applyNumberFormat="1" applyFont="1" applyFill="1" applyBorder="1" applyAlignment="1">
      <alignment vertical="center"/>
    </xf>
    <xf numFmtId="0" fontId="15" fillId="0" borderId="14" xfId="0" applyFont="1" applyFill="1" applyBorder="1" applyAlignment="1">
      <alignment horizontal="left" vertical="center"/>
    </xf>
    <xf numFmtId="0" fontId="1" fillId="0" borderId="14" xfId="0" applyFont="1" applyBorder="1" applyAlignment="1">
      <alignment vertical="center"/>
    </xf>
    <xf numFmtId="174" fontId="14" fillId="0" borderId="14" xfId="0" applyNumberFormat="1" applyFont="1" applyFill="1" applyBorder="1" applyAlignment="1">
      <alignment vertical="center"/>
    </xf>
    <xf numFmtId="174" fontId="1" fillId="0" borderId="14" xfId="0" applyNumberFormat="1" applyFont="1" applyFill="1" applyBorder="1" applyAlignment="1">
      <alignment vertical="center"/>
    </xf>
    <xf numFmtId="174" fontId="14" fillId="0" borderId="0" xfId="0" applyNumberFormat="1" applyFont="1" applyFill="1" applyBorder="1" applyAlignment="1">
      <alignment vertical="center"/>
    </xf>
    <xf numFmtId="0" fontId="1" fillId="0" borderId="17" xfId="0" applyFont="1" applyFill="1" applyBorder="1" applyAlignment="1">
      <alignment vertical="center"/>
    </xf>
    <xf numFmtId="174" fontId="15" fillId="0" borderId="61" xfId="0" applyNumberFormat="1" applyFont="1" applyFill="1" applyBorder="1" applyAlignment="1">
      <alignment horizontal="center" vertical="center"/>
    </xf>
    <xf numFmtId="174" fontId="14" fillId="0" borderId="0" xfId="0" applyNumberFormat="1" applyFont="1" applyBorder="1" applyAlignment="1" applyProtection="1">
      <alignment vertical="center"/>
    </xf>
    <xf numFmtId="174" fontId="26" fillId="9" borderId="33" xfId="0" applyNumberFormat="1" applyFont="1" applyFill="1" applyBorder="1" applyAlignment="1" applyProtection="1">
      <alignment vertical="center"/>
      <protection locked="0"/>
    </xf>
    <xf numFmtId="0" fontId="14" fillId="0" borderId="17" xfId="0" applyFont="1" applyFill="1" applyBorder="1" applyAlignment="1">
      <alignment vertical="center"/>
    </xf>
    <xf numFmtId="0" fontId="14" fillId="0" borderId="22" xfId="0" applyFont="1" applyFill="1" applyBorder="1" applyAlignment="1">
      <alignment vertical="center"/>
    </xf>
    <xf numFmtId="0" fontId="15" fillId="0" borderId="0" xfId="0" applyFont="1" applyBorder="1" applyAlignment="1" applyProtection="1">
      <alignment horizontal="right" vertical="center"/>
    </xf>
    <xf numFmtId="178" fontId="15" fillId="0" borderId="3" xfId="0" applyNumberFormat="1" applyFont="1" applyBorder="1" applyAlignment="1">
      <alignment horizontal="center" vertical="center"/>
    </xf>
    <xf numFmtId="0" fontId="23" fillId="0" borderId="0" xfId="0" applyFont="1" applyFill="1" applyBorder="1" applyAlignment="1">
      <alignment horizontal="center" vertical="center"/>
    </xf>
    <xf numFmtId="0" fontId="15" fillId="0" borderId="0" xfId="0" applyFont="1" applyFill="1" applyBorder="1" applyAlignment="1">
      <alignment vertical="center"/>
    </xf>
    <xf numFmtId="0" fontId="14" fillId="0" borderId="0" xfId="0" applyFont="1" applyBorder="1" applyAlignment="1">
      <alignment horizontal="left" vertical="center"/>
    </xf>
    <xf numFmtId="174" fontId="14" fillId="0" borderId="22" xfId="0" applyNumberFormat="1" applyFont="1" applyFill="1" applyBorder="1" applyAlignment="1">
      <alignment vertical="center"/>
    </xf>
    <xf numFmtId="0" fontId="14" fillId="0" borderId="25" xfId="0" applyFont="1" applyFill="1" applyBorder="1" applyAlignment="1">
      <alignment vertical="center"/>
    </xf>
    <xf numFmtId="174" fontId="14" fillId="0" borderId="61" xfId="0" applyNumberFormat="1" applyFont="1" applyFill="1" applyBorder="1" applyAlignment="1">
      <alignment horizontal="center" vertical="center" wrapText="1"/>
    </xf>
    <xf numFmtId="174" fontId="26" fillId="11" borderId="32" xfId="0" applyNumberFormat="1" applyFont="1" applyFill="1" applyBorder="1" applyAlignment="1" applyProtection="1">
      <alignment vertical="center"/>
    </xf>
    <xf numFmtId="174" fontId="26" fillId="9" borderId="39" xfId="0" applyNumberFormat="1" applyFont="1" applyFill="1" applyBorder="1" applyAlignment="1" applyProtection="1">
      <alignment vertical="center"/>
      <protection locked="0"/>
    </xf>
    <xf numFmtId="174" fontId="15" fillId="2" borderId="77" xfId="0" applyNumberFormat="1" applyFont="1" applyFill="1" applyBorder="1" applyAlignment="1" applyProtection="1">
      <alignment vertical="center"/>
    </xf>
    <xf numFmtId="174" fontId="36" fillId="0" borderId="61" xfId="0" applyNumberFormat="1" applyFont="1" applyFill="1" applyBorder="1" applyAlignment="1">
      <alignment horizontal="center" vertical="center"/>
    </xf>
    <xf numFmtId="174" fontId="36" fillId="0" borderId="61" xfId="0" applyNumberFormat="1" applyFont="1" applyFill="1" applyBorder="1" applyAlignment="1">
      <alignment horizontal="center" vertical="center" textRotation="90" wrapText="1"/>
    </xf>
    <xf numFmtId="174" fontId="14" fillId="2" borderId="32" xfId="0" applyNumberFormat="1" applyFont="1" applyFill="1" applyBorder="1" applyAlignment="1" applyProtection="1">
      <alignment vertical="center"/>
    </xf>
    <xf numFmtId="174" fontId="26" fillId="9" borderId="34" xfId="0" applyNumberFormat="1" applyFont="1" applyFill="1" applyBorder="1" applyAlignment="1" applyProtection="1">
      <alignment vertical="center"/>
      <protection locked="0"/>
    </xf>
    <xf numFmtId="174" fontId="26" fillId="9" borderId="71" xfId="0" applyNumberFormat="1" applyFont="1" applyFill="1" applyBorder="1" applyAlignment="1" applyProtection="1">
      <alignment vertical="center"/>
      <protection locked="0"/>
    </xf>
    <xf numFmtId="174" fontId="26" fillId="9" borderId="46" xfId="0" applyNumberFormat="1" applyFont="1" applyFill="1" applyBorder="1" applyAlignment="1" applyProtection="1">
      <alignment vertical="center"/>
      <protection locked="0"/>
    </xf>
    <xf numFmtId="174" fontId="14" fillId="2" borderId="39" xfId="0" applyNumberFormat="1" applyFont="1" applyFill="1" applyBorder="1" applyAlignment="1" applyProtection="1">
      <alignment vertical="center"/>
    </xf>
    <xf numFmtId="174" fontId="26" fillId="9" borderId="40" xfId="0" applyNumberFormat="1" applyFont="1" applyFill="1" applyBorder="1" applyAlignment="1" applyProtection="1">
      <alignment vertical="center"/>
      <protection locked="0"/>
    </xf>
    <xf numFmtId="174" fontId="26" fillId="9" borderId="78" xfId="0" applyNumberFormat="1" applyFont="1" applyFill="1" applyBorder="1" applyAlignment="1" applyProtection="1">
      <alignment vertical="center"/>
      <protection locked="0"/>
    </xf>
    <xf numFmtId="174" fontId="26" fillId="9" borderId="58" xfId="0" applyNumberFormat="1" applyFont="1" applyFill="1" applyBorder="1" applyAlignment="1" applyProtection="1">
      <alignment vertical="center"/>
      <protection locked="0"/>
    </xf>
    <xf numFmtId="174" fontId="36" fillId="0" borderId="32" xfId="0" applyNumberFormat="1" applyFont="1" applyFill="1" applyBorder="1" applyAlignment="1">
      <alignment horizontal="center" vertical="center"/>
    </xf>
    <xf numFmtId="174" fontId="36" fillId="0" borderId="32" xfId="0" applyNumberFormat="1" applyFont="1" applyFill="1" applyBorder="1" applyAlignment="1">
      <alignment horizontal="center" vertical="center" textRotation="90" wrapText="1"/>
    </xf>
    <xf numFmtId="174" fontId="8" fillId="2" borderId="33" xfId="0" applyNumberFormat="1" applyFont="1" applyFill="1" applyBorder="1" applyAlignment="1" applyProtection="1">
      <alignment vertical="center"/>
    </xf>
    <xf numFmtId="174" fontId="19" fillId="9" borderId="37" xfId="0" applyNumberFormat="1" applyFont="1" applyFill="1" applyBorder="1" applyAlignment="1" applyProtection="1">
      <alignment vertical="center"/>
      <protection locked="0"/>
    </xf>
    <xf numFmtId="174" fontId="19" fillId="9" borderId="10" xfId="0" applyNumberFormat="1" applyFont="1" applyFill="1" applyBorder="1" applyAlignment="1" applyProtection="1">
      <alignment vertical="center"/>
      <protection locked="0"/>
    </xf>
    <xf numFmtId="174" fontId="26" fillId="9" borderId="2" xfId="0" applyNumberFormat="1" applyFont="1" applyFill="1" applyBorder="1" applyAlignment="1" applyProtection="1">
      <alignment vertical="center"/>
      <protection locked="0"/>
    </xf>
    <xf numFmtId="174" fontId="26" fillId="9" borderId="22" xfId="0" applyNumberFormat="1" applyFont="1" applyFill="1" applyBorder="1" applyAlignment="1" applyProtection="1">
      <alignment vertical="center"/>
      <protection locked="0"/>
    </xf>
    <xf numFmtId="174" fontId="14" fillId="2" borderId="33" xfId="0" applyNumberFormat="1" applyFont="1" applyFill="1" applyBorder="1" applyAlignment="1" applyProtection="1">
      <alignment vertical="center"/>
    </xf>
    <xf numFmtId="174" fontId="26" fillId="9" borderId="37" xfId="0" applyNumberFormat="1" applyFont="1" applyFill="1" applyBorder="1" applyAlignment="1" applyProtection="1">
      <alignment vertical="center"/>
      <protection locked="0"/>
    </xf>
    <xf numFmtId="174" fontId="26" fillId="9" borderId="10" xfId="0" applyNumberFormat="1" applyFont="1" applyFill="1" applyBorder="1" applyAlignment="1" applyProtection="1">
      <alignment vertical="center"/>
      <protection locked="0"/>
    </xf>
    <xf numFmtId="174" fontId="26" fillId="9" borderId="49" xfId="0" applyNumberFormat="1" applyFont="1" applyFill="1" applyBorder="1" applyAlignment="1" applyProtection="1">
      <alignment vertical="center"/>
      <protection locked="0"/>
    </xf>
    <xf numFmtId="174" fontId="26" fillId="9" borderId="12" xfId="0" applyNumberFormat="1" applyFont="1" applyFill="1" applyBorder="1" applyAlignment="1" applyProtection="1">
      <alignment vertical="center"/>
      <protection locked="0"/>
    </xf>
    <xf numFmtId="174" fontId="26" fillId="9" borderId="3" xfId="0" applyNumberFormat="1" applyFont="1" applyFill="1" applyBorder="1" applyAlignment="1" applyProtection="1">
      <alignment vertical="center"/>
      <protection locked="0"/>
    </xf>
    <xf numFmtId="174" fontId="26" fillId="9" borderId="52" xfId="0" applyNumberFormat="1" applyFont="1" applyFill="1" applyBorder="1" applyAlignment="1" applyProtection="1">
      <alignment vertical="center"/>
      <protection locked="0"/>
    </xf>
    <xf numFmtId="174" fontId="15" fillId="2" borderId="64" xfId="0" applyNumberFormat="1" applyFont="1" applyFill="1" applyBorder="1" applyAlignment="1" applyProtection="1">
      <alignment vertical="center"/>
    </xf>
    <xf numFmtId="0" fontId="14" fillId="0" borderId="20" xfId="0" applyFont="1" applyBorder="1" applyAlignment="1">
      <alignment vertical="center"/>
    </xf>
    <xf numFmtId="0" fontId="14" fillId="0" borderId="21" xfId="0" applyFont="1" applyBorder="1" applyAlignment="1">
      <alignment vertical="center"/>
    </xf>
    <xf numFmtId="0" fontId="15" fillId="0" borderId="21" xfId="0" applyFont="1" applyBorder="1" applyAlignment="1" applyProtection="1">
      <alignment horizontal="right" vertical="center"/>
    </xf>
    <xf numFmtId="0" fontId="14" fillId="0" borderId="21" xfId="0" applyFont="1" applyFill="1" applyBorder="1" applyAlignment="1">
      <alignment vertical="center"/>
    </xf>
    <xf numFmtId="0" fontId="23" fillId="0" borderId="21" xfId="0" quotePrefix="1" applyFont="1" applyBorder="1" applyAlignment="1" applyProtection="1">
      <alignment horizontal="center" vertical="center"/>
    </xf>
    <xf numFmtId="0" fontId="23" fillId="0" borderId="21" xfId="0" applyFont="1" applyBorder="1" applyAlignment="1" applyProtection="1">
      <alignment horizontal="center" vertical="center"/>
    </xf>
    <xf numFmtId="0" fontId="15" fillId="0" borderId="23" xfId="0" applyFont="1" applyBorder="1" applyAlignment="1" applyProtection="1">
      <alignment horizontal="right" vertical="center"/>
    </xf>
    <xf numFmtId="0" fontId="14" fillId="0" borderId="14" xfId="0" applyFont="1" applyBorder="1" applyAlignment="1" applyProtection="1">
      <alignment horizontal="left" vertical="center"/>
    </xf>
    <xf numFmtId="0" fontId="14" fillId="0" borderId="19" xfId="0" applyFont="1" applyFill="1" applyBorder="1" applyAlignment="1">
      <alignment vertical="center"/>
    </xf>
    <xf numFmtId="174" fontId="14" fillId="13" borderId="33" xfId="0" applyNumberFormat="1" applyFont="1" applyFill="1" applyBorder="1" applyAlignment="1" applyProtection="1">
      <alignment vertical="center"/>
    </xf>
    <xf numFmtId="174" fontId="26" fillId="13" borderId="37" xfId="0" applyNumberFormat="1" applyFont="1" applyFill="1" applyBorder="1" applyAlignment="1" applyProtection="1">
      <alignment vertical="center"/>
    </xf>
    <xf numFmtId="174" fontId="26" fillId="13" borderId="10" xfId="0" applyNumberFormat="1" applyFont="1" applyFill="1" applyBorder="1" applyAlignment="1" applyProtection="1">
      <alignment vertical="center"/>
    </xf>
    <xf numFmtId="174" fontId="26" fillId="13" borderId="2" xfId="0" applyNumberFormat="1" applyFont="1" applyFill="1" applyBorder="1" applyAlignment="1" applyProtection="1">
      <alignment vertical="center"/>
    </xf>
    <xf numFmtId="174" fontId="26" fillId="13" borderId="22" xfId="0" applyNumberFormat="1" applyFont="1" applyFill="1" applyBorder="1" applyAlignment="1" applyProtection="1">
      <alignment vertical="center"/>
    </xf>
    <xf numFmtId="174" fontId="26" fillId="13" borderId="49" xfId="0" applyNumberFormat="1" applyFont="1" applyFill="1" applyBorder="1" applyAlignment="1" applyProtection="1">
      <alignment vertical="center"/>
    </xf>
    <xf numFmtId="174" fontId="26" fillId="13" borderId="12" xfId="0" applyNumberFormat="1" applyFont="1" applyFill="1" applyBorder="1" applyAlignment="1" applyProtection="1">
      <alignment vertical="center"/>
    </xf>
    <xf numFmtId="174" fontId="26" fillId="13" borderId="3" xfId="0" applyNumberFormat="1" applyFont="1" applyFill="1" applyBorder="1" applyAlignment="1" applyProtection="1">
      <alignment vertical="center"/>
    </xf>
    <xf numFmtId="174" fontId="26" fillId="13" borderId="52" xfId="0" applyNumberFormat="1" applyFont="1" applyFill="1" applyBorder="1" applyAlignment="1" applyProtection="1">
      <alignment vertical="center"/>
    </xf>
    <xf numFmtId="174" fontId="15" fillId="13" borderId="64" xfId="0" applyNumberFormat="1" applyFont="1" applyFill="1" applyBorder="1" applyAlignment="1" applyProtection="1">
      <alignment vertical="center"/>
    </xf>
    <xf numFmtId="174" fontId="36" fillId="0" borderId="0" xfId="0" applyNumberFormat="1" applyFont="1" applyFill="1" applyBorder="1" applyAlignment="1">
      <alignment vertical="center"/>
    </xf>
    <xf numFmtId="0" fontId="15" fillId="0" borderId="0" xfId="0" applyFont="1" applyBorder="1" applyAlignment="1">
      <alignment horizontal="left" vertical="center"/>
    </xf>
    <xf numFmtId="174" fontId="26" fillId="11" borderId="74" xfId="0" applyNumberFormat="1" applyFont="1" applyFill="1" applyBorder="1" applyAlignment="1" applyProtection="1">
      <alignment vertical="center"/>
    </xf>
    <xf numFmtId="174" fontId="26" fillId="11" borderId="72" xfId="0" applyNumberFormat="1" applyFont="1" applyFill="1" applyBorder="1" applyAlignment="1" applyProtection="1">
      <alignment vertical="center"/>
    </xf>
    <xf numFmtId="174" fontId="26" fillId="11" borderId="26" xfId="0" applyNumberFormat="1" applyFont="1" applyFill="1" applyBorder="1" applyAlignment="1" applyProtection="1">
      <alignment vertical="center"/>
    </xf>
    <xf numFmtId="0" fontId="14" fillId="0" borderId="21" xfId="0" applyFont="1" applyBorder="1" applyAlignment="1">
      <alignment horizontal="left" vertical="center"/>
    </xf>
    <xf numFmtId="174" fontId="14" fillId="0" borderId="21" xfId="0" applyNumberFormat="1" applyFont="1" applyFill="1" applyBorder="1" applyAlignment="1">
      <alignment vertical="center"/>
    </xf>
    <xf numFmtId="174" fontId="36" fillId="0" borderId="21" xfId="0" applyNumberFormat="1" applyFont="1" applyFill="1" applyBorder="1" applyAlignment="1">
      <alignment vertical="center"/>
    </xf>
    <xf numFmtId="0" fontId="14" fillId="0" borderId="23" xfId="0" applyFont="1" applyFill="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14" xfId="0" applyFont="1" applyBorder="1" applyAlignment="1">
      <alignment horizontal="left" vertical="center"/>
    </xf>
    <xf numFmtId="0" fontId="14" fillId="0" borderId="14" xfId="0" applyFont="1" applyFill="1" applyBorder="1" applyAlignment="1">
      <alignment vertical="center"/>
    </xf>
    <xf numFmtId="174" fontId="36" fillId="0" borderId="14" xfId="0" applyNumberFormat="1" applyFont="1" applyFill="1" applyBorder="1" applyAlignment="1">
      <alignment vertical="center"/>
    </xf>
    <xf numFmtId="174" fontId="14" fillId="0" borderId="19" xfId="0" applyNumberFormat="1" applyFont="1" applyFill="1" applyBorder="1" applyAlignment="1">
      <alignment vertical="center"/>
    </xf>
    <xf numFmtId="174" fontId="26" fillId="9" borderId="61" xfId="0" applyNumberFormat="1" applyFont="1" applyFill="1" applyBorder="1" applyAlignment="1" applyProtection="1">
      <alignment vertical="center"/>
      <protection locked="0"/>
    </xf>
    <xf numFmtId="174" fontId="15" fillId="0" borderId="22" xfId="0" applyNumberFormat="1" applyFont="1" applyFill="1" applyBorder="1" applyAlignment="1">
      <alignment horizontal="center" vertical="center"/>
    </xf>
    <xf numFmtId="174" fontId="15" fillId="0" borderId="0" xfId="0" applyNumberFormat="1" applyFont="1" applyFill="1" applyBorder="1" applyAlignment="1">
      <alignment horizontal="center" vertical="center"/>
    </xf>
    <xf numFmtId="174" fontId="26" fillId="9" borderId="79" xfId="0" applyNumberFormat="1" applyFont="1" applyFill="1" applyBorder="1" applyAlignment="1" applyProtection="1">
      <alignment vertical="center"/>
      <protection locked="0"/>
    </xf>
    <xf numFmtId="0" fontId="26" fillId="9" borderId="80" xfId="0" applyFont="1" applyFill="1" applyBorder="1" applyAlignment="1" applyProtection="1">
      <alignment vertical="center"/>
      <protection locked="0"/>
    </xf>
    <xf numFmtId="174" fontId="26" fillId="0" borderId="22" xfId="0" applyNumberFormat="1" applyFont="1" applyFill="1" applyBorder="1" applyAlignment="1" applyProtection="1">
      <alignment vertical="center"/>
      <protection locked="0"/>
    </xf>
    <xf numFmtId="174" fontId="26" fillId="0" borderId="0" xfId="0" applyNumberFormat="1" applyFont="1" applyFill="1" applyBorder="1" applyAlignment="1" applyProtection="1">
      <alignment vertical="center"/>
      <protection locked="0"/>
    </xf>
    <xf numFmtId="0" fontId="14" fillId="0" borderId="0" xfId="0" applyFont="1" applyFill="1" applyBorder="1" applyAlignment="1">
      <alignment horizontal="left" vertical="center"/>
    </xf>
    <xf numFmtId="174" fontId="14" fillId="0" borderId="0" xfId="0" applyNumberFormat="1" applyFont="1" applyFill="1" applyBorder="1" applyAlignment="1" applyProtection="1">
      <alignment vertical="center"/>
      <protection locked="0"/>
    </xf>
    <xf numFmtId="174" fontId="14" fillId="0" borderId="22" xfId="0" applyNumberFormat="1" applyFont="1" applyFill="1" applyBorder="1" applyAlignment="1" applyProtection="1">
      <alignment vertical="center"/>
      <protection locked="0"/>
    </xf>
    <xf numFmtId="174" fontId="26" fillId="9" borderId="63" xfId="0" applyNumberFormat="1" applyFont="1" applyFill="1" applyBorder="1" applyAlignment="1" applyProtection="1">
      <alignment vertical="center"/>
      <protection locked="0"/>
    </xf>
    <xf numFmtId="174" fontId="14" fillId="11" borderId="51" xfId="0" applyNumberFormat="1" applyFont="1" applyFill="1" applyBorder="1" applyAlignment="1" applyProtection="1">
      <alignment vertical="center"/>
      <protection locked="0"/>
    </xf>
    <xf numFmtId="174" fontId="15" fillId="0" borderId="22" xfId="0" applyNumberFormat="1" applyFont="1" applyFill="1" applyBorder="1" applyAlignment="1" applyProtection="1">
      <alignment vertical="center"/>
    </xf>
    <xf numFmtId="174" fontId="15" fillId="0" borderId="0" xfId="0" applyNumberFormat="1" applyFont="1" applyFill="1" applyBorder="1" applyAlignment="1" applyProtection="1">
      <alignment vertical="center"/>
    </xf>
    <xf numFmtId="174" fontId="26" fillId="0" borderId="61" xfId="0" applyNumberFormat="1" applyFont="1" applyFill="1" applyBorder="1" applyAlignment="1" applyProtection="1">
      <alignment vertical="center"/>
      <protection locked="0"/>
    </xf>
    <xf numFmtId="0" fontId="15" fillId="0" borderId="0" xfId="0" applyFont="1" applyBorder="1" applyAlignment="1" applyProtection="1">
      <alignment horizontal="left" vertical="center"/>
    </xf>
    <xf numFmtId="0" fontId="15" fillId="0" borderId="81" xfId="0" applyFont="1" applyBorder="1" applyAlignment="1">
      <alignment horizontal="center" vertical="center" wrapText="1"/>
    </xf>
    <xf numFmtId="0" fontId="15" fillId="0" borderId="82" xfId="0" applyFont="1" applyBorder="1" applyAlignment="1">
      <alignment horizontal="center" vertical="center" wrapText="1"/>
    </xf>
    <xf numFmtId="178" fontId="15" fillId="0" borderId="57" xfId="0" applyNumberFormat="1" applyFont="1" applyBorder="1" applyAlignment="1">
      <alignment horizontal="center" vertical="center"/>
    </xf>
    <xf numFmtId="0" fontId="13" fillId="0" borderId="32" xfId="28" applyFont="1" applyFill="1" applyBorder="1" applyAlignment="1" applyProtection="1">
      <alignment horizontal="center" vertical="center"/>
    </xf>
    <xf numFmtId="0" fontId="29" fillId="0" borderId="0" xfId="0" applyFont="1" applyBorder="1"/>
    <xf numFmtId="0" fontId="19" fillId="9" borderId="28" xfId="28" applyFont="1" applyFill="1" applyBorder="1" applyAlignment="1" applyProtection="1">
      <alignment horizontal="center" vertical="center"/>
      <protection locked="0"/>
    </xf>
    <xf numFmtId="1" fontId="13" fillId="0" borderId="23" xfId="25" applyNumberFormat="1" applyFont="1" applyBorder="1" applyProtection="1"/>
    <xf numFmtId="0" fontId="47" fillId="0" borderId="22" xfId="0" applyFont="1" applyBorder="1"/>
    <xf numFmtId="0" fontId="8" fillId="0" borderId="22" xfId="28" applyFont="1" applyFill="1" applyBorder="1" applyAlignment="1" applyProtection="1">
      <alignment horizontal="center" vertical="center"/>
    </xf>
    <xf numFmtId="168" fontId="14" fillId="2" borderId="68" xfId="0" applyNumberFormat="1" applyFont="1" applyFill="1" applyBorder="1" applyAlignment="1" applyProtection="1">
      <alignment horizontal="right"/>
    </xf>
    <xf numFmtId="168" fontId="14" fillId="2" borderId="26" xfId="0" applyNumberFormat="1" applyFont="1" applyFill="1" applyBorder="1" applyAlignment="1" applyProtection="1">
      <alignment horizontal="right"/>
    </xf>
    <xf numFmtId="0" fontId="0" fillId="0" borderId="17" xfId="0" applyBorder="1" applyAlignment="1"/>
    <xf numFmtId="0" fontId="0" fillId="0" borderId="22" xfId="0" applyBorder="1" applyAlignment="1"/>
    <xf numFmtId="164" fontId="8" fillId="0" borderId="28" xfId="28" applyNumberFormat="1" applyFont="1" applyFill="1" applyBorder="1" applyAlignment="1" applyProtection="1">
      <alignment horizontal="right" vertical="center"/>
    </xf>
    <xf numFmtId="0" fontId="0" fillId="0" borderId="28" xfId="0" applyBorder="1" applyAlignment="1"/>
    <xf numFmtId="0" fontId="0" fillId="0" borderId="27" xfId="0" applyBorder="1" applyAlignment="1"/>
    <xf numFmtId="0" fontId="59" fillId="0" borderId="0" xfId="0" applyFont="1" applyAlignment="1">
      <alignment vertical="center"/>
    </xf>
    <xf numFmtId="0" fontId="0" fillId="0" borderId="6" xfId="0" applyBorder="1" applyAlignment="1">
      <alignment vertical="center"/>
    </xf>
    <xf numFmtId="2" fontId="0" fillId="0" borderId="1" xfId="0" applyNumberFormat="1" applyBorder="1" applyAlignment="1">
      <alignment vertical="center"/>
    </xf>
    <xf numFmtId="0" fontId="1" fillId="0" borderId="9" xfId="0" applyFont="1" applyBorder="1" applyAlignment="1">
      <alignment vertical="center"/>
    </xf>
    <xf numFmtId="2" fontId="1" fillId="0" borderId="2" xfId="0" quotePrefix="1" applyNumberFormat="1" applyFont="1" applyBorder="1" applyAlignment="1">
      <alignment vertical="center"/>
    </xf>
    <xf numFmtId="0" fontId="1" fillId="0" borderId="11" xfId="0" applyFont="1" applyBorder="1" applyAlignment="1">
      <alignment vertical="center"/>
    </xf>
    <xf numFmtId="2" fontId="1" fillId="0" borderId="3" xfId="0" quotePrefix="1" applyNumberFormat="1" applyFont="1" applyBorder="1" applyAlignment="1">
      <alignment vertical="center"/>
    </xf>
    <xf numFmtId="2" fontId="1" fillId="17" borderId="2" xfId="0" quotePrefix="1" applyNumberFormat="1" applyFont="1" applyFill="1" applyBorder="1" applyAlignment="1">
      <alignment vertical="center"/>
    </xf>
    <xf numFmtId="2" fontId="1" fillId="17" borderId="3" xfId="0" quotePrefix="1" applyNumberFormat="1" applyFont="1" applyFill="1" applyBorder="1" applyAlignment="1">
      <alignment vertical="center"/>
    </xf>
    <xf numFmtId="9" fontId="0" fillId="17" borderId="0" xfId="33" applyFont="1" applyFill="1" applyAlignment="1">
      <alignment vertical="center"/>
    </xf>
    <xf numFmtId="2" fontId="64" fillId="0" borderId="0" xfId="0" applyNumberFormat="1" applyFont="1" applyAlignment="1">
      <alignment horizontal="left"/>
    </xf>
    <xf numFmtId="2" fontId="65" fillId="0" borderId="0" xfId="0" applyNumberFormat="1" applyFont="1" applyAlignment="1">
      <alignment horizontal="left"/>
    </xf>
    <xf numFmtId="17" fontId="60" fillId="0" borderId="0" xfId="0" quotePrefix="1" applyNumberFormat="1" applyFont="1"/>
    <xf numFmtId="0" fontId="60" fillId="0" borderId="0" xfId="0" applyFont="1"/>
    <xf numFmtId="49" fontId="66" fillId="0" borderId="0" xfId="0" applyNumberFormat="1" applyFont="1" applyAlignment="1">
      <alignment horizontal="left"/>
    </xf>
    <xf numFmtId="49" fontId="65" fillId="0" borderId="0" xfId="0" applyNumberFormat="1" applyFont="1" applyAlignment="1">
      <alignment horizontal="left"/>
    </xf>
    <xf numFmtId="0" fontId="65" fillId="7" borderId="0" xfId="0" applyFont="1" applyFill="1" applyAlignment="1">
      <alignment horizontal="center" vertical="center" wrapText="1"/>
    </xf>
    <xf numFmtId="0" fontId="65" fillId="7" borderId="0" xfId="0" applyFont="1" applyFill="1" applyAlignment="1">
      <alignment horizontal="left" vertical="center" wrapText="1"/>
    </xf>
    <xf numFmtId="49" fontId="67" fillId="23" borderId="0" xfId="0" applyNumberFormat="1" applyFont="1" applyFill="1" applyAlignment="1" applyProtection="1">
      <alignment horizontal="left" vertical="center" wrapText="1"/>
      <protection locked="0"/>
    </xf>
    <xf numFmtId="10" fontId="60" fillId="18" borderId="0" xfId="33" applyNumberFormat="1" applyFont="1" applyFill="1" applyAlignment="1" applyProtection="1">
      <alignment horizontal="center"/>
      <protection locked="0"/>
    </xf>
    <xf numFmtId="179" fontId="60" fillId="18" borderId="0" xfId="0" quotePrefix="1" applyNumberFormat="1" applyFont="1" applyFill="1" applyAlignment="1" applyProtection="1">
      <alignment horizontal="center"/>
      <protection locked="0"/>
    </xf>
    <xf numFmtId="179" fontId="60" fillId="18" borderId="0" xfId="0" applyNumberFormat="1" applyFont="1" applyFill="1" applyAlignment="1" applyProtection="1">
      <alignment horizontal="center"/>
      <protection locked="0"/>
    </xf>
    <xf numFmtId="0" fontId="65" fillId="21" borderId="0" xfId="0" applyFont="1" applyFill="1" applyBorder="1" applyAlignment="1">
      <alignment horizontal="center" vertical="center"/>
    </xf>
    <xf numFmtId="0" fontId="65" fillId="0" borderId="0" xfId="0" applyFont="1" applyAlignment="1">
      <alignment vertical="center"/>
    </xf>
    <xf numFmtId="0" fontId="60" fillId="5" borderId="0" xfId="7" applyNumberFormat="1" applyFont="1" applyFill="1" applyAlignment="1" applyProtection="1">
      <alignment horizontal="center" vertical="center"/>
      <protection locked="0"/>
    </xf>
    <xf numFmtId="181" fontId="60" fillId="5" borderId="0" xfId="7" applyNumberFormat="1" applyFont="1" applyFill="1" applyAlignment="1" applyProtection="1">
      <alignment horizontal="center" vertical="center"/>
      <protection locked="0"/>
    </xf>
    <xf numFmtId="180" fontId="60" fillId="5" borderId="0" xfId="0" applyNumberFormat="1" applyFont="1" applyFill="1" applyAlignment="1" applyProtection="1">
      <alignment horizontal="center" vertical="center"/>
      <protection locked="0"/>
    </xf>
    <xf numFmtId="0" fontId="67" fillId="0" borderId="0" xfId="0" applyFont="1"/>
    <xf numFmtId="0" fontId="68" fillId="7" borderId="0" xfId="0" applyFont="1" applyFill="1" applyAlignment="1">
      <alignment horizontal="center" vertical="center" wrapText="1"/>
    </xf>
    <xf numFmtId="0" fontId="68" fillId="7" borderId="0" xfId="0" applyFont="1" applyFill="1" applyAlignment="1">
      <alignment vertical="center" wrapText="1"/>
    </xf>
    <xf numFmtId="183" fontId="67" fillId="22" borderId="0" xfId="0" applyNumberFormat="1" applyFont="1" applyFill="1" applyAlignment="1">
      <alignment horizontal="center" vertical="center"/>
    </xf>
    <xf numFmtId="0" fontId="69" fillId="0" borderId="0" xfId="0" applyFont="1" applyAlignment="1">
      <alignment wrapText="1"/>
    </xf>
    <xf numFmtId="0" fontId="70" fillId="0" borderId="0" xfId="0" applyFont="1"/>
    <xf numFmtId="0" fontId="71" fillId="0" borderId="0" xfId="0" applyFont="1"/>
    <xf numFmtId="0" fontId="73" fillId="0" borderId="0" xfId="0" applyFont="1" applyAlignment="1">
      <alignment horizontal="center"/>
    </xf>
    <xf numFmtId="0" fontId="72" fillId="0" borderId="0" xfId="0" applyFont="1"/>
    <xf numFmtId="0" fontId="71" fillId="24" borderId="0" xfId="0" applyFont="1" applyFill="1" applyAlignment="1">
      <alignment horizontal="right"/>
    </xf>
    <xf numFmtId="0" fontId="73" fillId="0" borderId="61" xfId="0" applyFont="1" applyBorder="1"/>
    <xf numFmtId="0" fontId="71" fillId="0" borderId="25" xfId="0" applyFont="1" applyBorder="1"/>
    <xf numFmtId="0" fontId="74" fillId="0" borderId="61" xfId="0" applyFont="1" applyBorder="1"/>
    <xf numFmtId="0" fontId="69" fillId="0" borderId="0" xfId="0" applyFont="1"/>
    <xf numFmtId="0" fontId="71" fillId="0" borderId="0" xfId="0" applyFont="1" applyAlignment="1">
      <alignment wrapText="1"/>
    </xf>
    <xf numFmtId="49" fontId="75" fillId="25" borderId="0" xfId="0" applyNumberFormat="1" applyFont="1" applyFill="1" applyAlignment="1">
      <alignment horizontal="center" vertical="center" wrapText="1"/>
    </xf>
    <xf numFmtId="49" fontId="75" fillId="25" borderId="0" xfId="0" applyNumberFormat="1" applyFont="1" applyFill="1" applyAlignment="1">
      <alignment horizontal="left" vertical="center" wrapText="1"/>
    </xf>
    <xf numFmtId="182" fontId="0" fillId="23" borderId="0" xfId="0" applyNumberFormat="1" applyFill="1" applyAlignment="1" applyProtection="1">
      <alignment horizontal="center" vertical="center"/>
      <protection locked="0"/>
    </xf>
    <xf numFmtId="0" fontId="76" fillId="0" borderId="84" xfId="0" applyFont="1" applyBorder="1" applyAlignment="1" applyProtection="1">
      <alignment vertical="center"/>
      <protection locked="0"/>
    </xf>
    <xf numFmtId="0" fontId="71" fillId="0" borderId="0" xfId="0" applyFont="1" applyAlignment="1"/>
    <xf numFmtId="0" fontId="72" fillId="0" borderId="0" xfId="0" applyFont="1" applyFill="1" applyBorder="1"/>
    <xf numFmtId="0" fontId="4" fillId="0" borderId="0" xfId="12" applyFont="1" applyFill="1" applyBorder="1" applyAlignment="1">
      <alignment wrapText="1"/>
    </xf>
    <xf numFmtId="0" fontId="72" fillId="0" borderId="0" xfId="0" applyFont="1" applyFill="1" applyBorder="1" applyAlignment="1">
      <alignment wrapText="1"/>
    </xf>
    <xf numFmtId="0" fontId="72" fillId="0" borderId="0" xfId="0" applyFont="1" applyFill="1" applyBorder="1" applyAlignment="1"/>
    <xf numFmtId="0" fontId="80" fillId="0" borderId="0" xfId="12" quotePrefix="1" applyFont="1" applyFill="1" applyBorder="1" applyAlignment="1">
      <alignment wrapText="1"/>
    </xf>
    <xf numFmtId="0" fontId="80" fillId="0" borderId="0" xfId="12" applyFont="1" applyFill="1" applyBorder="1" applyAlignment="1">
      <alignment wrapText="1"/>
    </xf>
    <xf numFmtId="10" fontId="80" fillId="0" borderId="0" xfId="12" quotePrefix="1" applyNumberFormat="1" applyFont="1" applyFill="1" applyBorder="1" applyAlignment="1">
      <alignment wrapText="1"/>
    </xf>
    <xf numFmtId="0" fontId="1" fillId="0" borderId="0" xfId="12" applyFont="1" applyFill="1" applyBorder="1" applyAlignment="1"/>
    <xf numFmtId="0" fontId="0" fillId="0" borderId="2" xfId="0" applyNumberFormat="1" applyBorder="1"/>
    <xf numFmtId="0" fontId="0" fillId="0" borderId="3" xfId="0" applyNumberFormat="1" applyBorder="1"/>
    <xf numFmtId="164" fontId="60" fillId="5" borderId="0" xfId="33" applyNumberFormat="1" applyFont="1" applyFill="1" applyAlignment="1" applyProtection="1">
      <alignment horizontal="center" vertical="center" wrapText="1"/>
      <protection locked="0"/>
    </xf>
    <xf numFmtId="9" fontId="1" fillId="0" borderId="2" xfId="33" applyFont="1" applyBorder="1" applyAlignment="1">
      <alignment vertical="top" wrapText="1"/>
    </xf>
    <xf numFmtId="0" fontId="1" fillId="0" borderId="3" xfId="0" applyFont="1" applyBorder="1" applyAlignment="1">
      <alignment vertical="top" wrapText="1"/>
    </xf>
    <xf numFmtId="9" fontId="1" fillId="0" borderId="3" xfId="33" applyFont="1" applyBorder="1" applyAlignment="1">
      <alignment vertical="top" wrapText="1"/>
    </xf>
    <xf numFmtId="0" fontId="65" fillId="0" borderId="0" xfId="0" applyFont="1" applyAlignment="1">
      <alignment horizontal="left"/>
    </xf>
    <xf numFmtId="49" fontId="81" fillId="0" borderId="0" xfId="0" applyNumberFormat="1" applyFont="1" applyAlignment="1">
      <alignment horizontal="left" vertical="center"/>
    </xf>
    <xf numFmtId="49" fontId="82" fillId="0" borderId="0" xfId="0" applyNumberFormat="1" applyFont="1" applyAlignment="1">
      <alignment horizontal="left"/>
    </xf>
    <xf numFmtId="0" fontId="1" fillId="0" borderId="13" xfId="0" applyFont="1" applyFill="1" applyBorder="1" applyAlignment="1" applyProtection="1"/>
    <xf numFmtId="0" fontId="15" fillId="0" borderId="19" xfId="0" applyFont="1" applyFill="1" applyBorder="1" applyAlignment="1" applyProtection="1">
      <alignment horizontal="center"/>
    </xf>
    <xf numFmtId="174" fontId="26" fillId="9" borderId="17" xfId="0" applyNumberFormat="1" applyFont="1" applyFill="1" applyBorder="1" applyAlignment="1" applyProtection="1">
      <protection locked="0"/>
    </xf>
    <xf numFmtId="174" fontId="14" fillId="0" borderId="22" xfId="0" applyNumberFormat="1" applyFont="1" applyFill="1" applyBorder="1" applyAlignment="1" applyProtection="1"/>
    <xf numFmtId="174" fontId="26" fillId="9" borderId="51" xfId="0" applyNumberFormat="1" applyFont="1" applyFill="1" applyBorder="1" applyAlignment="1" applyProtection="1">
      <protection locked="0"/>
    </xf>
    <xf numFmtId="174" fontId="14" fillId="0" borderId="17" xfId="0" applyNumberFormat="1" applyFont="1" applyFill="1" applyBorder="1" applyAlignment="1" applyProtection="1"/>
    <xf numFmtId="174" fontId="26" fillId="0" borderId="22" xfId="0" applyNumberFormat="1" applyFont="1" applyFill="1" applyBorder="1" applyAlignment="1" applyProtection="1"/>
    <xf numFmtId="174" fontId="14" fillId="0" borderId="20" xfId="0" applyNumberFormat="1" applyFont="1" applyFill="1" applyBorder="1" applyAlignment="1" applyProtection="1"/>
    <xf numFmtId="174" fontId="15" fillId="2" borderId="85" xfId="0" applyNumberFormat="1" applyFont="1" applyFill="1" applyBorder="1" applyAlignment="1" applyProtection="1"/>
    <xf numFmtId="174" fontId="26" fillId="9" borderId="33" xfId="0" applyNumberFormat="1" applyFont="1" applyFill="1" applyBorder="1" applyAlignment="1" applyProtection="1">
      <protection locked="0"/>
    </xf>
    <xf numFmtId="174" fontId="15" fillId="2" borderId="77" xfId="0" applyNumberFormat="1" applyFont="1" applyFill="1" applyBorder="1" applyAlignment="1" applyProtection="1">
      <protection locked="0"/>
    </xf>
    <xf numFmtId="174" fontId="26" fillId="9" borderId="9" xfId="0" applyNumberFormat="1" applyFont="1" applyFill="1" applyBorder="1" applyAlignment="1" applyProtection="1">
      <alignment horizontal="right"/>
      <protection locked="0"/>
    </xf>
    <xf numFmtId="174" fontId="14" fillId="2" borderId="2" xfId="27" applyNumberFormat="1" applyFont="1" applyFill="1" applyBorder="1"/>
    <xf numFmtId="178" fontId="41" fillId="9" borderId="1" xfId="0" applyNumberFormat="1" applyFont="1" applyFill="1" applyBorder="1" applyAlignment="1" applyProtection="1">
      <alignment horizontal="left"/>
      <protection locked="0"/>
    </xf>
    <xf numFmtId="178" fontId="41" fillId="9" borderId="2" xfId="0" applyNumberFormat="1" applyFont="1" applyFill="1" applyBorder="1" applyAlignment="1" applyProtection="1">
      <alignment horizontal="left"/>
      <protection locked="0"/>
    </xf>
    <xf numFmtId="178" fontId="41" fillId="9" borderId="3" xfId="0" applyNumberFormat="1" applyFont="1" applyFill="1" applyBorder="1" applyAlignment="1" applyProtection="1">
      <alignment horizontal="left"/>
      <protection locked="0"/>
    </xf>
    <xf numFmtId="174" fontId="15" fillId="2" borderId="38" xfId="0" applyNumberFormat="1" applyFont="1" applyFill="1" applyBorder="1" applyAlignment="1" applyProtection="1"/>
    <xf numFmtId="0" fontId="14" fillId="0" borderId="0" xfId="0" applyFont="1" applyFill="1" applyBorder="1" applyAlignment="1"/>
    <xf numFmtId="174" fontId="14" fillId="2" borderId="61" xfId="0" applyNumberFormat="1" applyFont="1" applyFill="1" applyBorder="1" applyAlignment="1" applyProtection="1"/>
    <xf numFmtId="174" fontId="26" fillId="11" borderId="74" xfId="0" applyNumberFormat="1" applyFont="1" applyFill="1" applyBorder="1" applyAlignment="1" applyProtection="1"/>
    <xf numFmtId="174" fontId="26" fillId="9" borderId="74" xfId="0" applyNumberFormat="1" applyFont="1" applyFill="1" applyBorder="1" applyAlignment="1" applyProtection="1">
      <protection locked="0"/>
    </xf>
    <xf numFmtId="1" fontId="15" fillId="0" borderId="0" xfId="25" applyNumberFormat="1" applyFont="1" applyBorder="1" applyAlignment="1" applyProtection="1">
      <alignment horizontal="center" vertical="center" wrapText="1"/>
    </xf>
    <xf numFmtId="1" fontId="15" fillId="0" borderId="17" xfId="25" applyNumberFormat="1" applyFont="1" applyBorder="1" applyAlignment="1" applyProtection="1">
      <alignment horizontal="center" vertical="center" wrapText="1"/>
    </xf>
    <xf numFmtId="1" fontId="15" fillId="0" borderId="22" xfId="25" applyNumberFormat="1" applyFont="1" applyBorder="1" applyAlignment="1" applyProtection="1">
      <alignment horizontal="center" vertical="center" wrapText="1"/>
    </xf>
    <xf numFmtId="1" fontId="15" fillId="0" borderId="32" xfId="25" applyNumberFormat="1" applyFont="1" applyBorder="1" applyAlignment="1" applyProtection="1">
      <alignment horizontal="center" vertical="center" wrapText="1"/>
    </xf>
    <xf numFmtId="1" fontId="15" fillId="0" borderId="33" xfId="25" applyNumberFormat="1" applyFont="1" applyBorder="1" applyAlignment="1" applyProtection="1">
      <alignment horizontal="center" vertical="center" wrapText="1"/>
    </xf>
    <xf numFmtId="1" fontId="15" fillId="0" borderId="39" xfId="25" applyNumberFormat="1" applyFont="1" applyBorder="1" applyAlignment="1" applyProtection="1">
      <alignment horizontal="center" vertical="center" wrapText="1"/>
    </xf>
    <xf numFmtId="1" fontId="15" fillId="0" borderId="13" xfId="25" applyNumberFormat="1" applyFont="1" applyBorder="1" applyAlignment="1" applyProtection="1">
      <alignment horizontal="center" vertical="center" wrapText="1"/>
    </xf>
    <xf numFmtId="1" fontId="15" fillId="0" borderId="14" xfId="25" applyNumberFormat="1" applyFont="1" applyBorder="1" applyAlignment="1" applyProtection="1">
      <alignment horizontal="center" vertical="center" wrapText="1"/>
    </xf>
    <xf numFmtId="1" fontId="15" fillId="0" borderId="19" xfId="25" applyNumberFormat="1" applyFont="1" applyBorder="1" applyAlignment="1" applyProtection="1">
      <alignment horizontal="center" vertical="center" wrapText="1"/>
    </xf>
    <xf numFmtId="1" fontId="15" fillId="0" borderId="20" xfId="25" applyNumberFormat="1" applyFont="1" applyBorder="1" applyAlignment="1" applyProtection="1">
      <alignment horizontal="center" vertical="center" wrapText="1"/>
    </xf>
    <xf numFmtId="1" fontId="15" fillId="0" borderId="21" xfId="25" applyNumberFormat="1" applyFont="1" applyBorder="1" applyAlignment="1" applyProtection="1">
      <alignment horizontal="center" vertical="center" wrapText="1"/>
    </xf>
    <xf numFmtId="1" fontId="15" fillId="0" borderId="23" xfId="25" applyNumberFormat="1" applyFont="1" applyBorder="1" applyAlignment="1" applyProtection="1">
      <alignment horizontal="center" vertical="center" wrapText="1"/>
    </xf>
    <xf numFmtId="1" fontId="15" fillId="0" borderId="25" xfId="25" quotePrefix="1" applyNumberFormat="1" applyFont="1" applyBorder="1" applyAlignment="1" applyProtection="1">
      <alignment horizontal="center"/>
    </xf>
    <xf numFmtId="1" fontId="15" fillId="0" borderId="25" xfId="25" applyNumberFormat="1" applyFont="1" applyBorder="1" applyAlignment="1" applyProtection="1">
      <alignment horizontal="center"/>
    </xf>
    <xf numFmtId="1" fontId="15" fillId="0" borderId="26" xfId="25" applyNumberFormat="1" applyFont="1" applyBorder="1" applyAlignment="1" applyProtection="1">
      <alignment horizontal="center"/>
    </xf>
    <xf numFmtId="0" fontId="44" fillId="0" borderId="34" xfId="16" applyFont="1" applyBorder="1" applyAlignment="1" applyProtection="1">
      <alignment horizontal="center" vertical="center"/>
    </xf>
    <xf numFmtId="0" fontId="44" fillId="0" borderId="49" xfId="16" applyFont="1" applyBorder="1" applyAlignment="1" applyProtection="1">
      <alignment horizontal="center" vertical="center"/>
    </xf>
    <xf numFmtId="0" fontId="5" fillId="0" borderId="34" xfId="16" applyBorder="1" applyAlignment="1" applyProtection="1">
      <alignment horizontal="center"/>
    </xf>
    <xf numFmtId="0" fontId="5" fillId="0" borderId="49" xfId="16" applyBorder="1" applyAlignment="1" applyProtection="1">
      <alignment horizontal="center"/>
    </xf>
    <xf numFmtId="0" fontId="44" fillId="0" borderId="46" xfId="16" applyFont="1" applyBorder="1" applyAlignment="1" applyProtection="1">
      <alignment horizontal="center" vertical="center"/>
    </xf>
    <xf numFmtId="0" fontId="44" fillId="0" borderId="57" xfId="16" applyFont="1" applyBorder="1" applyAlignment="1" applyProtection="1">
      <alignment horizontal="center" vertical="center"/>
    </xf>
    <xf numFmtId="0" fontId="44" fillId="0" borderId="34" xfId="19" applyFont="1" applyFill="1" applyBorder="1" applyAlignment="1" applyProtection="1">
      <alignment horizontal="center" vertical="center"/>
    </xf>
    <xf numFmtId="0" fontId="44" fillId="0" borderId="49" xfId="19" applyFont="1" applyFill="1" applyBorder="1" applyAlignment="1" applyProtection="1">
      <alignment horizontal="center" vertical="center"/>
    </xf>
    <xf numFmtId="0" fontId="44" fillId="0" borderId="46" xfId="19" applyFont="1" applyBorder="1" applyAlignment="1" applyProtection="1">
      <alignment horizontal="center" vertical="center"/>
    </xf>
    <xf numFmtId="0" fontId="44" fillId="0" borderId="57" xfId="19" applyFont="1" applyBorder="1" applyAlignment="1" applyProtection="1">
      <alignment horizontal="center" vertical="center"/>
    </xf>
    <xf numFmtId="0" fontId="44" fillId="0" borderId="34" xfId="19" applyFont="1" applyBorder="1" applyAlignment="1" applyProtection="1">
      <alignment horizontal="center"/>
    </xf>
    <xf numFmtId="0" fontId="44" fillId="0" borderId="49" xfId="19" applyFont="1" applyBorder="1" applyAlignment="1" applyProtection="1">
      <alignment horizontal="center"/>
    </xf>
    <xf numFmtId="0" fontId="44" fillId="0" borderId="32" xfId="16" applyFont="1" applyBorder="1" applyAlignment="1" applyProtection="1">
      <alignment horizontal="center" vertical="center" wrapText="1"/>
    </xf>
    <xf numFmtId="0" fontId="44" fillId="0" borderId="63" xfId="16" applyFont="1" applyBorder="1" applyAlignment="1" applyProtection="1">
      <alignment horizontal="center" vertical="center" wrapText="1"/>
    </xf>
    <xf numFmtId="0" fontId="44" fillId="0" borderId="51" xfId="16" applyFont="1" applyBorder="1" applyAlignment="1" applyProtection="1">
      <alignment horizontal="center" vertical="center" wrapText="1"/>
    </xf>
    <xf numFmtId="0" fontId="44" fillId="0" borderId="18" xfId="16" applyFont="1" applyBorder="1" applyAlignment="1" applyProtection="1">
      <alignment horizontal="center" vertical="center" wrapText="1"/>
    </xf>
    <xf numFmtId="0" fontId="44" fillId="0" borderId="69" xfId="16" applyFont="1" applyBorder="1" applyAlignment="1" applyProtection="1">
      <alignment horizontal="center" vertical="center"/>
    </xf>
    <xf numFmtId="0" fontId="44" fillId="0" borderId="47" xfId="16" applyFont="1" applyBorder="1" applyAlignment="1" applyProtection="1">
      <alignment horizontal="center" vertical="center"/>
    </xf>
    <xf numFmtId="0" fontId="44" fillId="0" borderId="13" xfId="16" applyFont="1" applyBorder="1" applyAlignment="1" applyProtection="1">
      <alignment horizontal="center" vertical="center"/>
    </xf>
    <xf numFmtId="0" fontId="0" fillId="0" borderId="14" xfId="0" applyBorder="1" applyAlignment="1"/>
    <xf numFmtId="0" fontId="0" fillId="0" borderId="19" xfId="0" applyBorder="1" applyAlignment="1"/>
    <xf numFmtId="0" fontId="0" fillId="0" borderId="48" xfId="0" applyBorder="1" applyAlignment="1">
      <alignment horizontal="center" vertical="center"/>
    </xf>
    <xf numFmtId="0" fontId="0" fillId="0" borderId="47" xfId="0" applyBorder="1" applyAlignment="1">
      <alignment horizontal="center" vertical="center"/>
    </xf>
    <xf numFmtId="0" fontId="44" fillId="0" borderId="24" xfId="16" applyFont="1" applyFill="1" applyBorder="1" applyAlignment="1" applyProtection="1">
      <alignment horizontal="center"/>
    </xf>
    <xf numFmtId="0" fontId="44" fillId="0" borderId="25" xfId="16" applyFont="1" applyFill="1" applyBorder="1" applyAlignment="1" applyProtection="1">
      <alignment horizontal="center"/>
    </xf>
    <xf numFmtId="0" fontId="44" fillId="0" borderId="26" xfId="16" applyFont="1" applyFill="1" applyBorder="1" applyAlignment="1" applyProtection="1">
      <alignment horizontal="center"/>
    </xf>
    <xf numFmtId="0" fontId="44" fillId="0" borderId="32" xfId="16" applyFont="1" applyBorder="1" applyAlignment="1" applyProtection="1">
      <alignment horizontal="center"/>
    </xf>
    <xf numFmtId="0" fontId="44" fillId="0" borderId="33" xfId="16" applyFont="1" applyBorder="1" applyAlignment="1" applyProtection="1">
      <alignment horizontal="center"/>
    </xf>
    <xf numFmtId="0" fontId="44" fillId="0" borderId="63" xfId="16" applyFont="1" applyBorder="1" applyAlignment="1" applyProtection="1">
      <alignment horizontal="center"/>
    </xf>
    <xf numFmtId="0" fontId="44" fillId="0" borderId="32" xfId="28" applyFont="1" applyFill="1" applyBorder="1" applyAlignment="1" applyProtection="1">
      <alignment horizontal="center" vertical="center" wrapText="1"/>
    </xf>
    <xf numFmtId="0" fontId="44" fillId="0" borderId="63" xfId="28" applyFont="1" applyFill="1" applyBorder="1" applyAlignment="1" applyProtection="1">
      <alignment horizontal="center" vertical="center" wrapText="1"/>
    </xf>
    <xf numFmtId="0" fontId="44" fillId="0" borderId="48" xfId="16" applyFont="1" applyBorder="1" applyAlignment="1" applyProtection="1">
      <alignment horizontal="center" vertical="center"/>
    </xf>
    <xf numFmtId="0" fontId="1" fillId="0" borderId="53" xfId="13" applyFont="1" applyBorder="1" applyAlignment="1" applyProtection="1">
      <alignment horizontal="left"/>
    </xf>
    <xf numFmtId="0" fontId="1" fillId="0" borderId="54" xfId="13" applyFont="1" applyBorder="1" applyAlignment="1" applyProtection="1">
      <alignment horizontal="left"/>
    </xf>
    <xf numFmtId="0" fontId="1" fillId="0" borderId="59" xfId="13" applyFont="1" applyBorder="1" applyAlignment="1" applyProtection="1">
      <alignment horizontal="left"/>
    </xf>
    <xf numFmtId="0" fontId="1" fillId="0" borderId="60" xfId="13" applyFont="1" applyBorder="1" applyAlignment="1" applyProtection="1">
      <alignment horizontal="left"/>
    </xf>
    <xf numFmtId="0" fontId="1" fillId="0" borderId="67" xfId="13" applyFont="1" applyBorder="1" applyAlignment="1" applyProtection="1">
      <alignment horizontal="center"/>
    </xf>
    <xf numFmtId="0" fontId="1" fillId="0" borderId="82" xfId="13" applyFont="1" applyBorder="1" applyAlignment="1" applyProtection="1">
      <alignment horizontal="center"/>
    </xf>
    <xf numFmtId="0" fontId="1" fillId="0" borderId="27" xfId="13" applyFont="1" applyBorder="1" applyAlignment="1" applyProtection="1">
      <alignment horizontal="center"/>
    </xf>
    <xf numFmtId="0" fontId="1" fillId="0" borderId="28" xfId="13" applyFont="1" applyBorder="1" applyAlignment="1" applyProtection="1">
      <alignment horizontal="center"/>
    </xf>
    <xf numFmtId="0" fontId="1" fillId="0" borderId="27" xfId="13" applyFont="1" applyBorder="1" applyAlignment="1" applyProtection="1">
      <alignment horizontal="left" vertical="center" wrapText="1"/>
    </xf>
    <xf numFmtId="0" fontId="1" fillId="0" borderId="28" xfId="13" applyFont="1" applyBorder="1" applyAlignment="1" applyProtection="1">
      <alignment horizontal="left" vertical="center" wrapText="1"/>
    </xf>
    <xf numFmtId="0" fontId="1" fillId="0" borderId="27" xfId="13" applyFont="1" applyBorder="1" applyAlignment="1" applyProtection="1">
      <alignment horizontal="left" vertical="center"/>
    </xf>
    <xf numFmtId="0" fontId="1" fillId="0" borderId="28" xfId="13" applyFont="1" applyBorder="1" applyAlignment="1" applyProtection="1">
      <alignment horizontal="left" vertical="center"/>
    </xf>
    <xf numFmtId="0" fontId="1" fillId="0" borderId="29" xfId="13" applyFont="1" applyBorder="1" applyAlignment="1" applyProtection="1">
      <alignment horizontal="left" vertical="center" wrapText="1"/>
    </xf>
    <xf numFmtId="0" fontId="1" fillId="0" borderId="31" xfId="13" applyFont="1" applyBorder="1" applyAlignment="1" applyProtection="1">
      <alignment horizontal="left" vertical="center" wrapText="1"/>
    </xf>
    <xf numFmtId="0" fontId="1" fillId="0" borderId="13" xfId="13" applyFont="1" applyBorder="1" applyAlignment="1" applyProtection="1">
      <alignment horizontal="left" vertical="center"/>
    </xf>
    <xf numFmtId="0" fontId="1" fillId="0" borderId="19" xfId="13" applyFont="1" applyBorder="1" applyAlignment="1" applyProtection="1">
      <alignment horizontal="left" vertical="center"/>
    </xf>
    <xf numFmtId="0" fontId="1" fillId="0" borderId="51" xfId="13" applyFont="1" applyBorder="1" applyAlignment="1" applyProtection="1">
      <alignment horizontal="left" vertical="center"/>
    </xf>
    <xf numFmtId="0" fontId="1" fillId="0" borderId="52" xfId="13" applyFont="1" applyBorder="1" applyAlignment="1" applyProtection="1">
      <alignment horizontal="left" vertical="center"/>
    </xf>
    <xf numFmtId="0" fontId="44" fillId="0" borderId="27" xfId="23" applyFont="1" applyBorder="1" applyAlignment="1" applyProtection="1">
      <alignment horizontal="left" vertical="center"/>
    </xf>
    <xf numFmtId="0" fontId="44" fillId="0" borderId="49" xfId="23" applyFont="1" applyBorder="1" applyAlignment="1" applyProtection="1">
      <alignment horizontal="left" vertical="center" wrapText="1"/>
    </xf>
    <xf numFmtId="0" fontId="44" fillId="0" borderId="27" xfId="23" applyFont="1" applyBorder="1" applyAlignment="1" applyProtection="1">
      <alignment horizontal="left" vertical="center" wrapText="1"/>
    </xf>
    <xf numFmtId="0" fontId="44" fillId="0" borderId="55" xfId="23" applyFont="1" applyBorder="1" applyAlignment="1" applyProtection="1">
      <alignment horizontal="left" vertical="center"/>
    </xf>
    <xf numFmtId="0" fontId="44" fillId="0" borderId="13" xfId="23" applyFont="1" applyFill="1" applyBorder="1" applyAlignment="1" applyProtection="1">
      <alignment horizontal="center" vertical="center"/>
    </xf>
    <xf numFmtId="0" fontId="44" fillId="0" borderId="19" xfId="23" applyFont="1" applyFill="1" applyBorder="1" applyAlignment="1" applyProtection="1">
      <alignment horizontal="center" vertical="center"/>
    </xf>
    <xf numFmtId="0" fontId="44" fillId="0" borderId="17" xfId="23" applyFont="1" applyFill="1" applyBorder="1" applyAlignment="1" applyProtection="1">
      <alignment horizontal="center" vertical="center"/>
    </xf>
    <xf numFmtId="0" fontId="44" fillId="0" borderId="22" xfId="23" applyFont="1" applyFill="1" applyBorder="1" applyAlignment="1" applyProtection="1">
      <alignment horizontal="center" vertical="center"/>
    </xf>
    <xf numFmtId="0" fontId="44" fillId="0" borderId="51" xfId="23" applyFont="1" applyFill="1" applyBorder="1" applyAlignment="1" applyProtection="1">
      <alignment horizontal="center" vertical="center"/>
    </xf>
    <xf numFmtId="0" fontId="44" fillId="0" borderId="52" xfId="23" applyFont="1" applyFill="1" applyBorder="1" applyAlignment="1" applyProtection="1">
      <alignment horizontal="center" vertical="center"/>
    </xf>
    <xf numFmtId="0" fontId="44" fillId="0" borderId="55" xfId="28" applyFont="1" applyFill="1" applyBorder="1" applyAlignment="1" applyProtection="1">
      <alignment horizontal="left" vertical="center"/>
    </xf>
    <xf numFmtId="0" fontId="44" fillId="0" borderId="37" xfId="28" applyFont="1" applyFill="1" applyBorder="1" applyAlignment="1" applyProtection="1">
      <alignment horizontal="left" vertical="center"/>
    </xf>
    <xf numFmtId="0" fontId="30" fillId="0" borderId="37" xfId="0" applyFont="1" applyBorder="1" applyAlignment="1" applyProtection="1">
      <alignment horizontal="left" vertical="center"/>
    </xf>
    <xf numFmtId="0" fontId="30" fillId="0" borderId="49" xfId="0" applyFont="1" applyBorder="1" applyAlignment="1" applyProtection="1">
      <alignment horizontal="left" vertical="center"/>
    </xf>
    <xf numFmtId="0" fontId="44" fillId="0" borderId="69" xfId="15" applyFont="1" applyBorder="1" applyAlignment="1" applyProtection="1">
      <alignment horizontal="center" vertical="center" wrapText="1"/>
    </xf>
    <xf numFmtId="0" fontId="44" fillId="0" borderId="48" xfId="15" applyFont="1" applyBorder="1" applyAlignment="1" applyProtection="1">
      <alignment horizontal="center" vertical="center" wrapText="1"/>
    </xf>
    <xf numFmtId="0" fontId="44" fillId="0" borderId="47" xfId="15" applyFont="1" applyBorder="1" applyAlignment="1" applyProtection="1">
      <alignment horizontal="center" vertical="center" wrapText="1"/>
    </xf>
    <xf numFmtId="0" fontId="44" fillId="0" borderId="69" xfId="15" applyFont="1" applyBorder="1" applyAlignment="1" applyProtection="1">
      <alignment horizontal="center" vertical="center"/>
    </xf>
    <xf numFmtId="0" fontId="44" fillId="0" borderId="48" xfId="15" applyFont="1" applyBorder="1" applyAlignment="1" applyProtection="1">
      <alignment horizontal="center" vertical="center"/>
    </xf>
    <xf numFmtId="0" fontId="44" fillId="0" borderId="47" xfId="15" applyFont="1" applyBorder="1" applyAlignment="1" applyProtection="1">
      <alignment horizontal="center" vertical="center"/>
    </xf>
    <xf numFmtId="0" fontId="44" fillId="0" borderId="55" xfId="15" applyFont="1" applyBorder="1" applyAlignment="1" applyProtection="1">
      <alignment horizontal="center" vertical="center" wrapText="1"/>
    </xf>
    <xf numFmtId="0" fontId="44" fillId="0" borderId="49" xfId="15" applyFont="1" applyBorder="1" applyAlignment="1" applyProtection="1">
      <alignment horizontal="center" vertical="center"/>
    </xf>
    <xf numFmtId="0" fontId="44" fillId="0" borderId="7" xfId="15" applyFont="1" applyBorder="1" applyAlignment="1" applyProtection="1">
      <alignment horizontal="center" vertical="center" wrapText="1"/>
    </xf>
    <xf numFmtId="0" fontId="44" fillId="0" borderId="16" xfId="15" applyFont="1" applyBorder="1" applyAlignment="1" applyProtection="1">
      <alignment horizontal="center" vertical="center" wrapText="1"/>
    </xf>
    <xf numFmtId="0" fontId="44" fillId="0" borderId="44" xfId="15" applyFont="1" applyBorder="1" applyAlignment="1" applyProtection="1">
      <alignment horizontal="center" vertical="center" wrapText="1"/>
    </xf>
    <xf numFmtId="0" fontId="48" fillId="0" borderId="66" xfId="15" applyFont="1" applyBorder="1" applyAlignment="1" applyProtection="1">
      <alignment horizontal="center" vertical="center"/>
    </xf>
    <xf numFmtId="0" fontId="48" fillId="0" borderId="63" xfId="15" applyFont="1" applyBorder="1" applyAlignment="1" applyProtection="1">
      <alignment horizontal="center" vertical="center"/>
    </xf>
    <xf numFmtId="0" fontId="44" fillId="0" borderId="7" xfId="15" applyFont="1" applyBorder="1" applyAlignment="1" applyProtection="1">
      <alignment horizontal="center" vertical="center"/>
    </xf>
    <xf numFmtId="0" fontId="44" fillId="0" borderId="16" xfId="15" applyFont="1" applyBorder="1" applyAlignment="1" applyProtection="1">
      <alignment horizontal="center" vertical="center"/>
    </xf>
    <xf numFmtId="0" fontId="44" fillId="0" borderId="44" xfId="15" applyFont="1" applyBorder="1" applyAlignment="1" applyProtection="1">
      <alignment horizontal="center" vertical="center"/>
    </xf>
    <xf numFmtId="0" fontId="44" fillId="0" borderId="37" xfId="15" applyFont="1" applyBorder="1" applyAlignment="1" applyProtection="1">
      <alignment horizontal="center" vertical="center" wrapText="1"/>
    </xf>
    <xf numFmtId="0" fontId="44" fillId="0" borderId="8" xfId="15" applyFont="1" applyBorder="1" applyAlignment="1" applyProtection="1">
      <alignment horizontal="center" vertical="center" wrapText="1"/>
    </xf>
    <xf numFmtId="0" fontId="44" fillId="0" borderId="12" xfId="15" applyFont="1" applyBorder="1" applyAlignment="1" applyProtection="1">
      <alignment horizontal="center" vertical="center"/>
    </xf>
    <xf numFmtId="0" fontId="44" fillId="0" borderId="11" xfId="15" applyFont="1" applyBorder="1" applyAlignment="1" applyProtection="1">
      <alignment horizontal="center" vertical="center"/>
    </xf>
    <xf numFmtId="0" fontId="44" fillId="0" borderId="18" xfId="15" applyFont="1" applyBorder="1" applyAlignment="1" applyProtection="1">
      <alignment horizontal="center" vertical="center"/>
    </xf>
    <xf numFmtId="0" fontId="44" fillId="0" borderId="52" xfId="15" applyFont="1" applyBorder="1" applyAlignment="1" applyProtection="1">
      <alignment horizontal="center" vertical="center"/>
    </xf>
    <xf numFmtId="0" fontId="44" fillId="0" borderId="55" xfId="15" applyFont="1" applyBorder="1" applyAlignment="1" applyProtection="1">
      <alignment vertical="center" wrapText="1"/>
    </xf>
    <xf numFmtId="0" fontId="44" fillId="0" borderId="49" xfId="15" applyFont="1" applyBorder="1" applyAlignment="1" applyProtection="1">
      <alignment vertical="center"/>
    </xf>
    <xf numFmtId="0" fontId="44" fillId="0" borderId="49" xfId="15" applyFont="1" applyBorder="1" applyAlignment="1" applyProtection="1">
      <alignment horizontal="center" vertical="center" wrapText="1"/>
    </xf>
    <xf numFmtId="0" fontId="48" fillId="0" borderId="13" xfId="15" applyFont="1" applyBorder="1" applyAlignment="1" applyProtection="1">
      <alignment horizontal="center" vertical="center"/>
    </xf>
    <xf numFmtId="0" fontId="48" fillId="0" borderId="19" xfId="15" applyFont="1" applyBorder="1" applyAlignment="1" applyProtection="1">
      <alignment horizontal="center" vertical="center"/>
    </xf>
    <xf numFmtId="0" fontId="48" fillId="0" borderId="51" xfId="15" applyFont="1" applyBorder="1" applyAlignment="1" applyProtection="1">
      <alignment horizontal="center" vertical="center"/>
    </xf>
    <xf numFmtId="0" fontId="48" fillId="0" borderId="52" xfId="15" applyFont="1" applyBorder="1" applyAlignment="1" applyProtection="1">
      <alignment horizontal="center" vertical="center"/>
    </xf>
    <xf numFmtId="0" fontId="0" fillId="0" borderId="48" xfId="0" applyBorder="1"/>
    <xf numFmtId="0" fontId="0" fillId="0" borderId="47" xfId="0" applyBorder="1"/>
    <xf numFmtId="0" fontId="0" fillId="0" borderId="49" xfId="0" applyBorder="1"/>
    <xf numFmtId="1" fontId="44" fillId="0" borderId="13" xfId="25" applyNumberFormat="1" applyFont="1" applyBorder="1" applyAlignment="1" applyProtection="1">
      <alignment horizontal="center" vertical="center" wrapText="1"/>
    </xf>
    <xf numFmtId="1" fontId="44" fillId="0" borderId="14" xfId="25" applyNumberFormat="1" applyFont="1" applyBorder="1" applyAlignment="1" applyProtection="1">
      <alignment horizontal="center" vertical="center" wrapText="1"/>
    </xf>
    <xf numFmtId="1" fontId="44" fillId="0" borderId="71" xfId="25" applyNumberFormat="1" applyFont="1" applyBorder="1" applyAlignment="1" applyProtection="1">
      <alignment horizontal="center" vertical="center" wrapText="1"/>
    </xf>
    <xf numFmtId="1" fontId="44" fillId="0" borderId="17" xfId="25" applyNumberFormat="1" applyFont="1" applyBorder="1" applyAlignment="1" applyProtection="1">
      <alignment horizontal="center" vertical="center" wrapText="1"/>
    </xf>
    <xf numFmtId="1" fontId="44" fillId="0" borderId="0" xfId="25" applyNumberFormat="1" applyFont="1" applyBorder="1" applyAlignment="1" applyProtection="1">
      <alignment horizontal="center" vertical="center" wrapText="1"/>
    </xf>
    <xf numFmtId="1" fontId="44" fillId="0" borderId="10" xfId="25" applyNumberFormat="1" applyFont="1" applyBorder="1" applyAlignment="1" applyProtection="1">
      <alignment horizontal="center" vertical="center" wrapText="1"/>
    </xf>
    <xf numFmtId="1" fontId="44" fillId="0" borderId="20" xfId="25" applyNumberFormat="1" applyFont="1" applyBorder="1" applyAlignment="1" applyProtection="1">
      <alignment horizontal="center" vertical="center" wrapText="1"/>
    </xf>
    <xf numFmtId="1" fontId="44" fillId="0" borderId="21" xfId="25" applyNumberFormat="1" applyFont="1" applyBorder="1" applyAlignment="1" applyProtection="1">
      <alignment horizontal="center" vertical="center" wrapText="1"/>
    </xf>
    <xf numFmtId="1" fontId="44" fillId="0" borderId="78" xfId="25" applyNumberFormat="1" applyFont="1" applyBorder="1" applyAlignment="1" applyProtection="1">
      <alignment horizontal="center" vertical="center" wrapText="1"/>
    </xf>
    <xf numFmtId="1" fontId="44" fillId="0" borderId="46" xfId="25" applyNumberFormat="1" applyFont="1" applyBorder="1" applyAlignment="1" applyProtection="1">
      <alignment horizontal="center" vertical="center" wrapText="1"/>
    </xf>
    <xf numFmtId="0" fontId="0" fillId="0" borderId="50" xfId="0" applyBorder="1" applyAlignment="1">
      <alignment horizontal="center" vertical="center" wrapText="1"/>
    </xf>
    <xf numFmtId="0" fontId="0" fillId="0" borderId="58" xfId="0" applyBorder="1" applyAlignment="1">
      <alignment horizontal="center" vertical="center" wrapText="1"/>
    </xf>
    <xf numFmtId="0" fontId="14" fillId="0" borderId="0" xfId="0" applyFont="1" applyBorder="1" applyAlignment="1" applyProtection="1">
      <alignment horizontal="left" wrapText="1"/>
    </xf>
    <xf numFmtId="0" fontId="14" fillId="0" borderId="0" xfId="0" applyFont="1" applyBorder="1" applyAlignment="1">
      <alignment horizontal="left" wrapText="1"/>
    </xf>
    <xf numFmtId="0" fontId="14" fillId="5" borderId="7" xfId="32" applyFont="1" applyFill="1" applyBorder="1" applyAlignment="1">
      <alignment horizontal="center"/>
    </xf>
    <xf numFmtId="0" fontId="14" fillId="5" borderId="16" xfId="32" applyFont="1" applyFill="1" applyBorder="1" applyAlignment="1">
      <alignment horizontal="center"/>
    </xf>
    <xf numFmtId="0" fontId="14" fillId="5" borderId="5" xfId="32" applyFont="1" applyFill="1" applyBorder="1" applyAlignment="1">
      <alignment horizontal="center"/>
    </xf>
    <xf numFmtId="0" fontId="14" fillId="0" borderId="1" xfId="32" applyFont="1" applyBorder="1" applyAlignment="1">
      <alignment horizontal="center" textRotation="90" wrapText="1"/>
    </xf>
    <xf numFmtId="0" fontId="14" fillId="0" borderId="2" xfId="32" applyFont="1" applyBorder="1" applyAlignment="1">
      <alignment horizontal="center" textRotation="90" wrapText="1"/>
    </xf>
    <xf numFmtId="0" fontId="14" fillId="0" borderId="3" xfId="32" applyFont="1" applyBorder="1" applyAlignment="1">
      <alignment horizontal="center" textRotation="90" wrapText="1"/>
    </xf>
    <xf numFmtId="0" fontId="14" fillId="8" borderId="7" xfId="32" applyFont="1" applyFill="1" applyBorder="1" applyAlignment="1">
      <alignment horizontal="center"/>
    </xf>
    <xf numFmtId="0" fontId="14" fillId="8" borderId="16" xfId="32" applyFont="1" applyFill="1" applyBorder="1" applyAlignment="1">
      <alignment horizontal="center"/>
    </xf>
    <xf numFmtId="0" fontId="14" fillId="8" borderId="5" xfId="32" applyFont="1" applyFill="1" applyBorder="1" applyAlignment="1">
      <alignment horizontal="center"/>
    </xf>
    <xf numFmtId="0" fontId="14" fillId="0" borderId="7" xfId="32" applyFont="1" applyBorder="1" applyAlignment="1">
      <alignment horizontal="center"/>
    </xf>
    <xf numFmtId="0" fontId="14" fillId="0" borderId="16" xfId="32" applyFont="1" applyBorder="1" applyAlignment="1">
      <alignment horizontal="center"/>
    </xf>
    <xf numFmtId="0" fontId="14" fillId="0" borderId="5" xfId="32" applyFont="1" applyBorder="1" applyAlignment="1">
      <alignment horizontal="center"/>
    </xf>
    <xf numFmtId="0" fontId="15" fillId="0" borderId="1" xfId="32" applyFont="1" applyBorder="1" applyAlignment="1">
      <alignment horizontal="center" textRotation="90" wrapText="1"/>
    </xf>
    <xf numFmtId="0" fontId="15" fillId="0" borderId="2" xfId="32" applyFont="1" applyBorder="1" applyAlignment="1">
      <alignment horizontal="center" textRotation="90" wrapText="1"/>
    </xf>
    <xf numFmtId="0" fontId="15" fillId="0" borderId="3" xfId="32" applyFont="1" applyBorder="1" applyAlignment="1">
      <alignment horizontal="center" textRotation="90" wrapText="1"/>
    </xf>
    <xf numFmtId="174" fontId="8" fillId="2" borderId="32" xfId="0" applyNumberFormat="1" applyFont="1" applyFill="1" applyBorder="1" applyAlignment="1">
      <alignment horizontal="right" vertical="center"/>
    </xf>
    <xf numFmtId="174" fontId="8" fillId="2" borderId="63" xfId="0" applyNumberFormat="1" applyFont="1" applyFill="1" applyBorder="1" applyAlignment="1">
      <alignment horizontal="right" vertical="center"/>
    </xf>
    <xf numFmtId="174" fontId="19" fillId="9" borderId="46" xfId="0" applyNumberFormat="1" applyFont="1" applyFill="1" applyBorder="1" applyAlignment="1" applyProtection="1">
      <alignment horizontal="right" vertical="center"/>
      <protection locked="0"/>
    </xf>
    <xf numFmtId="174" fontId="19" fillId="9" borderId="57" xfId="0" applyNumberFormat="1" applyFont="1" applyFill="1" applyBorder="1" applyAlignment="1" applyProtection="1">
      <alignment horizontal="right" vertical="center"/>
      <protection locked="0"/>
    </xf>
    <xf numFmtId="0" fontId="15" fillId="16" borderId="24" xfId="0" applyFont="1" applyFill="1" applyBorder="1" applyAlignment="1" applyProtection="1">
      <alignment horizontal="center" vertical="center"/>
    </xf>
    <xf numFmtId="0" fontId="15" fillId="16" borderId="25" xfId="0" applyFont="1" applyFill="1" applyBorder="1" applyAlignment="1" applyProtection="1">
      <alignment horizontal="center" vertical="center"/>
    </xf>
    <xf numFmtId="0" fontId="15" fillId="16" borderId="26" xfId="0" applyFont="1" applyFill="1" applyBorder="1" applyAlignment="1" applyProtection="1">
      <alignment horizontal="center" vertical="center"/>
    </xf>
    <xf numFmtId="0" fontId="15" fillId="8" borderId="24" xfId="0" applyFont="1" applyFill="1" applyBorder="1" applyAlignment="1" applyProtection="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5" fillId="5" borderId="24" xfId="0" applyFont="1" applyFill="1" applyBorder="1" applyAlignment="1" applyProtection="1">
      <alignment horizontal="center" vertical="center"/>
    </xf>
    <xf numFmtId="0" fontId="15" fillId="5" borderId="25" xfId="0" applyFont="1" applyFill="1" applyBorder="1" applyAlignment="1" applyProtection="1">
      <alignment horizontal="center" vertical="center"/>
    </xf>
    <xf numFmtId="0" fontId="15" fillId="5" borderId="26" xfId="0" applyFont="1" applyFill="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4"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26" xfId="0" applyFont="1" applyBorder="1" applyAlignment="1" applyProtection="1">
      <alignment horizontal="center" vertical="center" wrapText="1"/>
    </xf>
    <xf numFmtId="0" fontId="38" fillId="0" borderId="13" xfId="0" applyFont="1" applyBorder="1" applyAlignment="1">
      <alignment horizontal="left" vertical="center"/>
    </xf>
    <xf numFmtId="0" fontId="38" fillId="0" borderId="14" xfId="0" applyFont="1" applyBorder="1" applyAlignment="1">
      <alignment horizontal="left" vertical="center"/>
    </xf>
    <xf numFmtId="0" fontId="38" fillId="0" borderId="19" xfId="0" applyFont="1" applyBorder="1" applyAlignment="1">
      <alignment horizontal="left" vertical="center"/>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3" xfId="0" applyFont="1" applyBorder="1" applyAlignment="1">
      <alignment horizontal="left" vertical="center"/>
    </xf>
    <xf numFmtId="0" fontId="38" fillId="0" borderId="55" xfId="0" applyFont="1" applyBorder="1" applyAlignment="1">
      <alignment horizontal="center" vertical="center" wrapText="1"/>
    </xf>
    <xf numFmtId="0" fontId="38" fillId="0" borderId="37" xfId="0" applyFont="1" applyBorder="1" applyAlignment="1">
      <alignment horizontal="center" vertical="center" wrapText="1"/>
    </xf>
    <xf numFmtId="0" fontId="8" fillId="0" borderId="3"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174" fontId="19" fillId="9" borderId="34" xfId="0" applyNumberFormat="1" applyFont="1" applyFill="1" applyBorder="1" applyAlignment="1" applyProtection="1">
      <alignment horizontal="right" vertical="center"/>
      <protection locked="0"/>
    </xf>
    <xf numFmtId="174" fontId="19" fillId="9" borderId="49" xfId="0" applyNumberFormat="1" applyFont="1" applyFill="1" applyBorder="1" applyAlignment="1" applyProtection="1">
      <alignment horizontal="right" vertical="center"/>
      <protection locked="0"/>
    </xf>
    <xf numFmtId="0" fontId="8" fillId="0" borderId="4"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174" fontId="8" fillId="2" borderId="66" xfId="0" applyNumberFormat="1" applyFont="1" applyFill="1" applyBorder="1" applyAlignment="1">
      <alignment horizontal="right" vertical="center"/>
    </xf>
    <xf numFmtId="174" fontId="8" fillId="2" borderId="33" xfId="0" applyNumberFormat="1" applyFont="1" applyFill="1" applyBorder="1" applyAlignment="1">
      <alignment horizontal="right" vertical="center"/>
    </xf>
    <xf numFmtId="0" fontId="8" fillId="0" borderId="7" xfId="0" applyFont="1" applyFill="1" applyBorder="1" applyAlignment="1" applyProtection="1">
      <alignment horizontal="left" vertical="center"/>
    </xf>
    <xf numFmtId="0" fontId="8" fillId="0" borderId="44" xfId="0" applyFont="1" applyFill="1" applyBorder="1" applyAlignment="1" applyProtection="1">
      <alignment horizontal="left" vertical="center"/>
    </xf>
    <xf numFmtId="0" fontId="8" fillId="0" borderId="30"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38" fillId="0" borderId="49" xfId="0" applyFont="1" applyBorder="1" applyAlignment="1">
      <alignment horizontal="center" vertical="center"/>
    </xf>
    <xf numFmtId="0" fontId="38" fillId="0" borderId="27" xfId="0" applyFont="1" applyBorder="1" applyAlignment="1">
      <alignment horizontal="center" vertical="center"/>
    </xf>
    <xf numFmtId="0" fontId="38" fillId="0" borderId="55" xfId="0" applyFont="1" applyBorder="1" applyAlignment="1">
      <alignment horizontal="center" vertical="center"/>
    </xf>
    <xf numFmtId="0" fontId="8" fillId="0" borderId="4"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38" fillId="0" borderId="49" xfId="0" applyFont="1" applyBorder="1" applyAlignment="1">
      <alignment horizontal="center" vertical="center" wrapText="1"/>
    </xf>
    <xf numFmtId="0" fontId="9" fillId="0" borderId="11" xfId="0" applyFont="1" applyBorder="1" applyAlignment="1">
      <alignment horizontal="left" vertical="center"/>
    </xf>
    <xf numFmtId="0" fontId="9" fillId="0" borderId="52" xfId="0" applyFont="1" applyBorder="1" applyAlignment="1">
      <alignment horizontal="left" vertical="center"/>
    </xf>
    <xf numFmtId="174" fontId="19" fillId="9" borderId="55" xfId="0" applyNumberFormat="1" applyFont="1" applyFill="1" applyBorder="1" applyAlignment="1" applyProtection="1">
      <alignment horizontal="right" vertical="center"/>
      <protection locked="0"/>
    </xf>
    <xf numFmtId="174" fontId="19" fillId="9" borderId="37" xfId="0" applyNumberFormat="1" applyFont="1" applyFill="1" applyBorder="1" applyAlignment="1" applyProtection="1">
      <alignment horizontal="right" vertical="center"/>
      <protection locked="0"/>
    </xf>
    <xf numFmtId="174" fontId="19" fillId="9" borderId="56" xfId="0" applyNumberFormat="1" applyFont="1" applyFill="1" applyBorder="1" applyAlignment="1" applyProtection="1">
      <alignment horizontal="right" vertical="center"/>
      <protection locked="0"/>
    </xf>
    <xf numFmtId="174" fontId="19" fillId="9" borderId="50" xfId="0" applyNumberFormat="1" applyFont="1" applyFill="1" applyBorder="1" applyAlignment="1" applyProtection="1">
      <alignment horizontal="right" vertical="center"/>
      <protection locked="0"/>
    </xf>
    <xf numFmtId="0" fontId="38" fillId="0" borderId="67" xfId="0" applyFont="1" applyBorder="1" applyAlignment="1">
      <alignment horizontal="center" vertical="center"/>
    </xf>
    <xf numFmtId="0" fontId="38" fillId="0" borderId="29" xfId="0" applyFont="1" applyBorder="1" applyAlignment="1">
      <alignment horizontal="center" vertical="center"/>
    </xf>
    <xf numFmtId="0" fontId="8" fillId="0" borderId="81" xfId="0" applyFont="1" applyFill="1" applyBorder="1" applyAlignment="1" applyProtection="1">
      <alignment horizontal="left" vertical="center"/>
    </xf>
    <xf numFmtId="0" fontId="8" fillId="0" borderId="82" xfId="0" applyFont="1" applyFill="1" applyBorder="1" applyAlignment="1" applyProtection="1">
      <alignment horizontal="left" vertical="center"/>
    </xf>
    <xf numFmtId="0" fontId="38" fillId="0" borderId="34" xfId="0" applyFont="1" applyBorder="1" applyAlignment="1">
      <alignment horizontal="center" vertical="center"/>
    </xf>
    <xf numFmtId="0" fontId="38" fillId="0" borderId="37"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13" fillId="0" borderId="24"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26" xfId="0" applyFont="1" applyBorder="1" applyAlignment="1" applyProtection="1">
      <alignment horizontal="center" vertical="center"/>
    </xf>
    <xf numFmtId="0" fontId="8" fillId="0" borderId="69" xfId="0" applyFont="1" applyBorder="1" applyAlignment="1" applyProtection="1">
      <alignment horizontal="left" vertical="center"/>
    </xf>
    <xf numFmtId="0" fontId="8" fillId="0" borderId="48" xfId="0" applyFont="1" applyBorder="1" applyAlignment="1" applyProtection="1">
      <alignment horizontal="left" vertical="center"/>
    </xf>
    <xf numFmtId="0" fontId="8" fillId="0" borderId="47" xfId="0" applyFont="1" applyBorder="1" applyAlignment="1" applyProtection="1">
      <alignment horizontal="left" vertical="center"/>
    </xf>
    <xf numFmtId="0" fontId="8" fillId="0" borderId="59" xfId="0" applyFont="1" applyBorder="1" applyAlignment="1" applyProtection="1">
      <alignment horizontal="left" vertical="center"/>
    </xf>
    <xf numFmtId="0" fontId="8" fillId="0" borderId="70" xfId="0" applyFont="1" applyBorder="1" applyAlignment="1" applyProtection="1">
      <alignment horizontal="left" vertical="center"/>
    </xf>
    <xf numFmtId="0" fontId="8" fillId="0" borderId="60" xfId="0" applyFont="1" applyBorder="1" applyAlignment="1" applyProtection="1">
      <alignment horizontal="left" vertical="center"/>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7" fillId="0" borderId="13" xfId="0" applyFont="1" applyBorder="1" applyAlignment="1" applyProtection="1">
      <alignment horizontal="left" vertical="center"/>
    </xf>
    <xf numFmtId="0" fontId="37" fillId="0" borderId="14" xfId="0" applyFont="1" applyBorder="1" applyAlignment="1" applyProtection="1">
      <alignment horizontal="left" vertical="center"/>
    </xf>
    <xf numFmtId="0" fontId="37" fillId="0" borderId="20" xfId="0" applyFont="1" applyBorder="1" applyAlignment="1" applyProtection="1">
      <alignment horizontal="left" vertical="center"/>
    </xf>
    <xf numFmtId="0" fontId="37" fillId="0" borderId="21"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37" fillId="0" borderId="19" xfId="0" applyFont="1" applyBorder="1" applyAlignment="1" applyProtection="1">
      <alignment horizontal="left" vertical="center"/>
    </xf>
    <xf numFmtId="0" fontId="37" fillId="0" borderId="23" xfId="0" applyFont="1" applyBorder="1" applyAlignment="1" applyProtection="1">
      <alignment horizontal="left" vertical="center"/>
    </xf>
    <xf numFmtId="0" fontId="8" fillId="0" borderId="69" xfId="0" applyFont="1" applyBorder="1" applyAlignment="1" applyProtection="1">
      <alignment horizontal="left" vertical="center" wrapText="1"/>
    </xf>
    <xf numFmtId="0" fontId="8" fillId="0" borderId="48" xfId="0" applyFont="1" applyBorder="1" applyAlignment="1" applyProtection="1">
      <alignment horizontal="left" vertical="center" wrapText="1"/>
    </xf>
    <xf numFmtId="0" fontId="8" fillId="0" borderId="47" xfId="0" applyFont="1" applyBorder="1" applyAlignment="1" applyProtection="1">
      <alignment horizontal="left" vertical="center" wrapText="1"/>
    </xf>
    <xf numFmtId="0" fontId="61" fillId="0" borderId="69" xfId="0" applyFont="1" applyBorder="1" applyAlignment="1" applyProtection="1">
      <alignment horizontal="left" vertical="center" wrapText="1"/>
    </xf>
    <xf numFmtId="0" fontId="61" fillId="0" borderId="48" xfId="0" applyFont="1" applyBorder="1" applyAlignment="1" applyProtection="1">
      <alignment horizontal="left" vertical="center" wrapText="1"/>
    </xf>
    <xf numFmtId="0" fontId="61" fillId="0" borderId="47" xfId="0" applyFont="1" applyBorder="1" applyAlignment="1" applyProtection="1">
      <alignment horizontal="left" vertical="center" wrapText="1"/>
    </xf>
    <xf numFmtId="0" fontId="13" fillId="0" borderId="24" xfId="0" applyFont="1" applyBorder="1" applyAlignment="1" applyProtection="1">
      <alignment horizontal="left" vertical="center" wrapText="1"/>
    </xf>
    <xf numFmtId="0" fontId="13" fillId="0" borderId="25" xfId="0" applyFont="1" applyBorder="1" applyAlignment="1" applyProtection="1">
      <alignment horizontal="left" vertical="center" wrapText="1"/>
    </xf>
    <xf numFmtId="0" fontId="13" fillId="0" borderId="26" xfId="0" applyFont="1" applyBorder="1" applyAlignment="1" applyProtection="1">
      <alignment horizontal="left" vertical="center" wrapText="1"/>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8" borderId="20" xfId="0" applyFont="1" applyFill="1" applyBorder="1" applyAlignment="1" applyProtection="1">
      <alignment horizontal="center" vertical="center" wrapText="1"/>
    </xf>
    <xf numFmtId="0" fontId="13" fillId="8" borderId="23" xfId="0" applyFont="1" applyFill="1" applyBorder="1" applyAlignment="1" applyProtection="1">
      <alignment horizontal="center" vertical="center" wrapText="1"/>
    </xf>
    <xf numFmtId="0" fontId="13" fillId="0" borderId="34"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13" fillId="0" borderId="40" xfId="0" applyFont="1" applyBorder="1" applyAlignment="1">
      <alignment horizontal="center" vertical="center"/>
    </xf>
    <xf numFmtId="0" fontId="8" fillId="0" borderId="27" xfId="0" applyFont="1" applyBorder="1" applyAlignment="1">
      <alignment horizontal="left" vertical="center" indent="1"/>
    </xf>
    <xf numFmtId="0" fontId="8" fillId="0" borderId="28" xfId="0" applyFont="1" applyBorder="1" applyAlignment="1">
      <alignment horizontal="left" vertical="center" indent="1"/>
    </xf>
    <xf numFmtId="0" fontId="8" fillId="0" borderId="43" xfId="0" applyFont="1" applyBorder="1" applyAlignment="1">
      <alignment horizontal="left" vertical="center" indent="1"/>
    </xf>
    <xf numFmtId="0" fontId="8" fillId="0" borderId="44" xfId="0" applyFont="1" applyBorder="1" applyAlignment="1">
      <alignment horizontal="left" vertical="center" indent="1"/>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32" fillId="5" borderId="24" xfId="0" applyFont="1" applyFill="1" applyBorder="1" applyAlignment="1">
      <alignment horizontal="left" vertical="center" indent="1"/>
    </xf>
    <xf numFmtId="0" fontId="32" fillId="5" borderId="25" xfId="0" applyFont="1" applyFill="1" applyBorder="1" applyAlignment="1">
      <alignment horizontal="left" vertical="center" indent="1"/>
    </xf>
    <xf numFmtId="0" fontId="32" fillId="8" borderId="24" xfId="0" applyFont="1" applyFill="1" applyBorder="1" applyAlignment="1">
      <alignment horizontal="left" vertical="center" indent="1"/>
    </xf>
    <xf numFmtId="0" fontId="32" fillId="8" borderId="25" xfId="0" applyFont="1" applyFill="1" applyBorder="1" applyAlignment="1">
      <alignment horizontal="left" vertical="center" indent="1"/>
    </xf>
    <xf numFmtId="0" fontId="38" fillId="0" borderId="17" xfId="0" applyFont="1" applyBorder="1" applyAlignment="1">
      <alignment horizontal="left" vertical="center"/>
    </xf>
    <xf numFmtId="0" fontId="38" fillId="0" borderId="22" xfId="0" applyFont="1" applyBorder="1" applyAlignment="1">
      <alignment horizontal="left" vertical="center"/>
    </xf>
    <xf numFmtId="0" fontId="13" fillId="8" borderId="24" xfId="0" applyFont="1" applyFill="1" applyBorder="1" applyAlignment="1">
      <alignment horizontal="left" vertical="center" indent="1"/>
    </xf>
    <xf numFmtId="0" fontId="13" fillId="8" borderId="26" xfId="0" applyFont="1" applyFill="1" applyBorder="1" applyAlignment="1">
      <alignment horizontal="left" vertical="center" indent="1"/>
    </xf>
    <xf numFmtId="0" fontId="32" fillId="0" borderId="24" xfId="0" applyFont="1" applyBorder="1" applyAlignment="1">
      <alignment horizontal="left" vertical="center"/>
    </xf>
    <xf numFmtId="0" fontId="32" fillId="0" borderId="26" xfId="0" applyFont="1" applyBorder="1" applyAlignment="1">
      <alignment horizontal="left" vertical="center"/>
    </xf>
    <xf numFmtId="0" fontId="13" fillId="0" borderId="69" xfId="0" applyFont="1" applyBorder="1" applyAlignment="1">
      <alignment horizontal="left" vertical="center"/>
    </xf>
    <xf numFmtId="0" fontId="13" fillId="0" borderId="47" xfId="0" applyFont="1" applyBorder="1" applyAlignment="1">
      <alignment horizontal="left" vertical="center"/>
    </xf>
    <xf numFmtId="0" fontId="14" fillId="0" borderId="69" xfId="0" applyFont="1" applyBorder="1" applyAlignment="1" applyProtection="1">
      <alignment horizontal="left" vertical="center" indent="1"/>
    </xf>
    <xf numFmtId="0" fontId="14" fillId="0" borderId="47" xfId="0" applyFont="1" applyBorder="1" applyAlignment="1" applyProtection="1">
      <alignment horizontal="left" vertical="center" indent="1"/>
    </xf>
    <xf numFmtId="0" fontId="14" fillId="0" borderId="43" xfId="0" applyFont="1" applyBorder="1" applyAlignment="1" applyProtection="1">
      <alignment horizontal="left" vertical="center" indent="1"/>
    </xf>
    <xf numFmtId="0" fontId="14" fillId="0" borderId="44" xfId="0" applyFont="1" applyBorder="1" applyAlignment="1" applyProtection="1">
      <alignment horizontal="left" vertical="center" indent="1"/>
    </xf>
    <xf numFmtId="0" fontId="38" fillId="0" borderId="13" xfId="0" applyFont="1" applyFill="1" applyBorder="1" applyAlignment="1">
      <alignment horizontal="left" vertical="center"/>
    </xf>
    <xf numFmtId="0" fontId="38" fillId="0" borderId="19" xfId="0" applyFont="1" applyFill="1" applyBorder="1" applyAlignment="1">
      <alignment horizontal="left" vertical="center"/>
    </xf>
    <xf numFmtId="0" fontId="38" fillId="0" borderId="20" xfId="0" applyFont="1" applyFill="1" applyBorder="1" applyAlignment="1">
      <alignment horizontal="left" vertical="center"/>
    </xf>
    <xf numFmtId="0" fontId="38" fillId="0" borderId="23" xfId="0" applyFont="1" applyFill="1" applyBorder="1" applyAlignment="1">
      <alignment horizontal="left" vertical="center"/>
    </xf>
    <xf numFmtId="0" fontId="14" fillId="0" borderId="59" xfId="0" applyFont="1" applyBorder="1" applyAlignment="1" applyProtection="1">
      <alignment horizontal="left" vertical="center" indent="1"/>
    </xf>
    <xf numFmtId="0" fontId="14" fillId="0" borderId="60" xfId="0" applyFont="1" applyBorder="1" applyAlignment="1" applyProtection="1">
      <alignment horizontal="left" vertical="center" indent="1"/>
    </xf>
    <xf numFmtId="0" fontId="14" fillId="0" borderId="24" xfId="0" applyFont="1" applyBorder="1" applyAlignment="1">
      <alignment horizontal="left" vertical="center" indent="1"/>
    </xf>
    <xf numFmtId="0" fontId="14" fillId="0" borderId="26" xfId="0" applyFont="1" applyBorder="1" applyAlignment="1">
      <alignment horizontal="left" vertical="center" indent="1"/>
    </xf>
    <xf numFmtId="0" fontId="15" fillId="0" borderId="24" xfId="0" applyFont="1" applyBorder="1" applyAlignment="1" applyProtection="1">
      <alignment horizontal="left" vertical="center"/>
    </xf>
    <xf numFmtId="0" fontId="15" fillId="0" borderId="26" xfId="0" applyFont="1" applyBorder="1" applyAlignment="1" applyProtection="1">
      <alignment horizontal="left" vertical="center"/>
    </xf>
    <xf numFmtId="0" fontId="8" fillId="0" borderId="4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0" fillId="0" borderId="25" xfId="0" applyBorder="1" applyAlignment="1">
      <alignment horizontal="left" vertical="center"/>
    </xf>
    <xf numFmtId="178" fontId="57" fillId="9" borderId="17" xfId="0" applyNumberFormat="1" applyFont="1" applyFill="1" applyBorder="1" applyAlignment="1" applyProtection="1">
      <alignment horizontal="center" vertical="center"/>
      <protection locked="0"/>
    </xf>
    <xf numFmtId="178" fontId="57" fillId="9" borderId="10" xfId="0" applyNumberFormat="1" applyFont="1" applyFill="1" applyBorder="1" applyAlignment="1" applyProtection="1">
      <alignment horizontal="center" vertical="center"/>
      <protection locked="0"/>
    </xf>
    <xf numFmtId="0" fontId="15" fillId="0" borderId="32" xfId="0" applyFont="1" applyBorder="1" applyAlignment="1">
      <alignment horizontal="center" vertical="center" wrapText="1"/>
    </xf>
    <xf numFmtId="0" fontId="15" fillId="0" borderId="63" xfId="0" applyFont="1" applyBorder="1" applyAlignment="1">
      <alignment horizontal="center" vertical="center" wrapText="1"/>
    </xf>
    <xf numFmtId="0" fontId="14" fillId="0" borderId="0"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22" xfId="0" applyFont="1" applyBorder="1" applyAlignment="1" applyProtection="1">
      <alignment horizontal="left" vertical="center" wrapText="1"/>
    </xf>
    <xf numFmtId="178" fontId="15" fillId="0" borderId="69" xfId="0" applyNumberFormat="1" applyFont="1" applyBorder="1" applyAlignment="1">
      <alignment horizontal="center" vertical="center" wrapText="1"/>
    </xf>
    <xf numFmtId="178" fontId="15" fillId="0" borderId="83" xfId="0" applyNumberFormat="1" applyFont="1" applyBorder="1" applyAlignment="1">
      <alignment horizontal="center" vertical="center" wrapText="1"/>
    </xf>
    <xf numFmtId="0" fontId="15" fillId="0" borderId="0"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4" fillId="0" borderId="0" xfId="0" applyFont="1" applyBorder="1" applyAlignment="1">
      <alignment horizontal="left" vertical="center" wrapText="1"/>
    </xf>
    <xf numFmtId="0" fontId="14" fillId="0" borderId="22" xfId="0" applyFont="1" applyBorder="1" applyAlignment="1">
      <alignment horizontal="left" vertical="center" wrapText="1"/>
    </xf>
    <xf numFmtId="0" fontId="15" fillId="0" borderId="0" xfId="0" applyFont="1" applyBorder="1" applyAlignment="1">
      <alignment horizontal="left" vertical="center" wrapText="1"/>
    </xf>
    <xf numFmtId="0" fontId="15" fillId="0" borderId="22" xfId="0" applyFont="1" applyBorder="1" applyAlignment="1">
      <alignment horizontal="left" vertical="center" wrapText="1"/>
    </xf>
    <xf numFmtId="178" fontId="57" fillId="9" borderId="51" xfId="0" applyNumberFormat="1" applyFont="1" applyFill="1" applyBorder="1" applyAlignment="1" applyProtection="1">
      <alignment horizontal="center" vertical="center"/>
      <protection locked="0"/>
    </xf>
    <xf numFmtId="178" fontId="57" fillId="9" borderId="12" xfId="0" applyNumberFormat="1" applyFont="1" applyFill="1" applyBorder="1" applyAlignment="1" applyProtection="1">
      <alignment horizontal="center" vertical="center"/>
      <protection locked="0"/>
    </xf>
    <xf numFmtId="178" fontId="15" fillId="0" borderId="43" xfId="0" applyNumberFormat="1" applyFont="1" applyBorder="1" applyAlignment="1">
      <alignment horizontal="center" vertical="center"/>
    </xf>
    <xf numFmtId="178" fontId="15" fillId="0" borderId="5" xfId="0" applyNumberFormat="1" applyFont="1" applyBorder="1" applyAlignment="1">
      <alignment horizontal="center" vertical="center"/>
    </xf>
    <xf numFmtId="178" fontId="57" fillId="9" borderId="53" xfId="0" applyNumberFormat="1" applyFont="1" applyFill="1" applyBorder="1" applyAlignment="1" applyProtection="1">
      <alignment horizontal="center" vertical="center"/>
      <protection locked="0"/>
    </xf>
    <xf numFmtId="178" fontId="57" fillId="9" borderId="8" xfId="0" applyNumberFormat="1" applyFont="1" applyFill="1" applyBorder="1" applyAlignment="1" applyProtection="1">
      <alignment horizontal="center" vertical="center"/>
      <protection locked="0"/>
    </xf>
    <xf numFmtId="0" fontId="37" fillId="0" borderId="0" xfId="0" applyFont="1" applyAlignment="1" applyProtection="1">
      <alignment horizontal="left"/>
    </xf>
    <xf numFmtId="0" fontId="8" fillId="0" borderId="69" xfId="28" applyFont="1" applyFill="1" applyBorder="1" applyAlignment="1" applyProtection="1">
      <alignment horizontal="center" vertical="center"/>
    </xf>
    <xf numFmtId="0" fontId="8" fillId="0" borderId="48" xfId="28" applyFont="1" applyFill="1" applyBorder="1" applyAlignment="1" applyProtection="1">
      <alignment horizontal="center" vertical="center"/>
    </xf>
    <xf numFmtId="0" fontId="8" fillId="0" borderId="7" xfId="28" applyFont="1" applyFill="1" applyBorder="1" applyAlignment="1" applyProtection="1">
      <alignment horizontal="center" vertical="center"/>
    </xf>
    <xf numFmtId="0" fontId="8" fillId="0" borderId="16" xfId="28" applyFont="1" applyFill="1" applyBorder="1" applyAlignment="1" applyProtection="1">
      <alignment horizontal="center" vertical="center"/>
    </xf>
    <xf numFmtId="0" fontId="8" fillId="0" borderId="44" xfId="28" applyFont="1" applyFill="1" applyBorder="1" applyAlignment="1" applyProtection="1">
      <alignment horizontal="center" vertical="center"/>
    </xf>
    <xf numFmtId="0" fontId="4" fillId="4" borderId="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4" fillId="4" borderId="7" xfId="0" applyFont="1" applyFill="1" applyBorder="1" applyAlignment="1">
      <alignment horizontal="center" wrapText="1"/>
    </xf>
    <xf numFmtId="0" fontId="4" fillId="4" borderId="16" xfId="0" applyFont="1" applyFill="1" applyBorder="1" applyAlignment="1">
      <alignment horizontal="center" wrapText="1"/>
    </xf>
    <xf numFmtId="0" fontId="4" fillId="4" borderId="5" xfId="0" applyFont="1" applyFill="1" applyBorder="1" applyAlignment="1">
      <alignment horizontal="center" wrapText="1"/>
    </xf>
    <xf numFmtId="0" fontId="1" fillId="0" borderId="7" xfId="0" applyFont="1" applyBorder="1" applyAlignment="1">
      <alignment horizontal="center" wrapText="1"/>
    </xf>
    <xf numFmtId="0" fontId="1" fillId="0" borderId="16" xfId="0" applyFont="1" applyBorder="1" applyAlignment="1">
      <alignment horizontal="center" wrapText="1"/>
    </xf>
    <xf numFmtId="0" fontId="1" fillId="0" borderId="5" xfId="0" applyFont="1" applyBorder="1" applyAlignment="1">
      <alignment horizontal="center" wrapText="1"/>
    </xf>
    <xf numFmtId="0" fontId="5" fillId="0" borderId="7" xfId="0" applyFont="1" applyBorder="1" applyAlignment="1">
      <alignment horizontal="center" vertical="center" wrapText="1"/>
    </xf>
    <xf numFmtId="0" fontId="1" fillId="0" borderId="7" xfId="0" quotePrefix="1" applyFont="1" applyBorder="1" applyAlignment="1">
      <alignment horizontal="center" vertical="center" wrapText="1"/>
    </xf>
    <xf numFmtId="0" fontId="1" fillId="0" borderId="5" xfId="0" quotePrefix="1" applyFont="1" applyBorder="1" applyAlignment="1">
      <alignment horizontal="center" vertical="center" wrapText="1"/>
    </xf>
    <xf numFmtId="0" fontId="0" fillId="0" borderId="1" xfId="0" applyBorder="1" applyAlignment="1">
      <alignment horizontal="center" vertical="center"/>
    </xf>
    <xf numFmtId="0" fontId="4" fillId="4" borderId="7" xfId="0" quotePrefix="1" applyFont="1" applyFill="1" applyBorder="1" applyAlignment="1">
      <alignment horizontal="center" wrapText="1"/>
    </xf>
    <xf numFmtId="0" fontId="1" fillId="0" borderId="5" xfId="0" applyFont="1" applyBorder="1" applyAlignment="1">
      <alignment horizontal="center" vertical="center" wrapText="1"/>
    </xf>
    <xf numFmtId="0" fontId="4" fillId="4" borderId="4" xfId="0" quotePrefix="1" applyFont="1" applyFill="1" applyBorder="1" applyAlignment="1">
      <alignment horizontal="center" wrapText="1"/>
    </xf>
    <xf numFmtId="0" fontId="4" fillId="4" borderId="4" xfId="0" applyFont="1" applyFill="1" applyBorder="1" applyAlignment="1">
      <alignment horizontal="center" wrapText="1"/>
    </xf>
    <xf numFmtId="0" fontId="1" fillId="0" borderId="7" xfId="0" applyFont="1" applyBorder="1" applyAlignment="1">
      <alignment horizontal="center" vertical="center" wrapText="1"/>
    </xf>
    <xf numFmtId="0" fontId="4" fillId="4" borderId="5" xfId="0" quotePrefix="1" applyFont="1" applyFill="1" applyBorder="1" applyAlignment="1">
      <alignment horizontal="center" wrapText="1"/>
    </xf>
    <xf numFmtId="2" fontId="4" fillId="0" borderId="7" xfId="0" applyNumberFormat="1" applyFont="1" applyBorder="1" applyAlignment="1">
      <alignment horizontal="center" vertical="center"/>
    </xf>
    <xf numFmtId="2" fontId="4" fillId="0" borderId="16" xfId="0" applyNumberFormat="1" applyFont="1" applyBorder="1" applyAlignment="1">
      <alignment horizontal="center" vertical="center"/>
    </xf>
    <xf numFmtId="2" fontId="4" fillId="0" borderId="5" xfId="0" applyNumberFormat="1" applyFont="1" applyBorder="1" applyAlignment="1">
      <alignment horizontal="center" vertical="center"/>
    </xf>
    <xf numFmtId="167" fontId="4" fillId="0" borderId="7" xfId="0" applyNumberFormat="1" applyFont="1" applyBorder="1" applyAlignment="1">
      <alignment horizontal="center" vertical="center"/>
    </xf>
    <xf numFmtId="167" fontId="4" fillId="0" borderId="16" xfId="0" applyNumberFormat="1" applyFont="1" applyBorder="1" applyAlignment="1">
      <alignment horizontal="center" vertical="center"/>
    </xf>
    <xf numFmtId="167" fontId="4" fillId="0" borderId="5" xfId="0" applyNumberFormat="1" applyFont="1" applyBorder="1" applyAlignment="1">
      <alignment horizontal="center" vertical="center"/>
    </xf>
    <xf numFmtId="167" fontId="14" fillId="0" borderId="7" xfId="32" applyNumberFormat="1" applyFont="1" applyBorder="1" applyAlignment="1" applyProtection="1">
      <alignment horizontal="center" vertical="center" wrapText="1"/>
    </xf>
    <xf numFmtId="167" fontId="14" fillId="0" borderId="16" xfId="32" applyNumberFormat="1" applyFont="1" applyBorder="1" applyAlignment="1" applyProtection="1">
      <alignment horizontal="center" vertical="center" wrapText="1"/>
    </xf>
    <xf numFmtId="167" fontId="14" fillId="0" borderId="5" xfId="32" applyNumberFormat="1" applyFont="1" applyBorder="1" applyAlignment="1" applyProtection="1">
      <alignment horizontal="center" vertical="center" wrapText="1"/>
    </xf>
    <xf numFmtId="0" fontId="0" fillId="0" borderId="16" xfId="0" applyBorder="1"/>
    <xf numFmtId="0" fontId="0" fillId="0" borderId="5" xfId="0" applyBorder="1"/>
    <xf numFmtId="0" fontId="23" fillId="0" borderId="0" xfId="32" applyFont="1" applyFill="1" applyBorder="1" applyAlignment="1">
      <alignment horizontal="left" vertical="center" wrapText="1"/>
    </xf>
    <xf numFmtId="0" fontId="1" fillId="0" borderId="4" xfId="0" applyFont="1" applyBorder="1" applyAlignment="1">
      <alignment horizontal="center" vertical="top" wrapText="1"/>
    </xf>
    <xf numFmtId="0" fontId="0" fillId="0" borderId="4" xfId="0" applyBorder="1" applyAlignment="1">
      <alignment horizontal="center" vertical="top" wrapText="1"/>
    </xf>
    <xf numFmtId="0" fontId="14" fillId="5" borderId="1" xfId="32" applyFont="1" applyFill="1" applyBorder="1" applyAlignment="1">
      <alignment horizontal="center" vertical="center" wrapText="1"/>
    </xf>
    <xf numFmtId="0" fontId="14" fillId="5" borderId="2" xfId="32" applyFont="1" applyFill="1" applyBorder="1" applyAlignment="1">
      <alignment horizontal="center" vertical="center" wrapText="1"/>
    </xf>
    <xf numFmtId="0" fontId="14" fillId="5" borderId="3" xfId="32" applyFont="1" applyFill="1" applyBorder="1" applyAlignment="1">
      <alignment horizontal="center" vertical="center" wrapText="1"/>
    </xf>
    <xf numFmtId="0" fontId="14" fillId="6" borderId="1" xfId="32" applyFont="1" applyFill="1" applyBorder="1" applyAlignment="1">
      <alignment horizontal="center" vertical="center" wrapText="1"/>
    </xf>
    <xf numFmtId="0" fontId="14" fillId="6" borderId="2" xfId="32" applyFont="1" applyFill="1" applyBorder="1" applyAlignment="1">
      <alignment horizontal="center" vertical="center" wrapText="1"/>
    </xf>
    <xf numFmtId="0" fontId="14" fillId="6" borderId="3" xfId="32" applyFont="1" applyFill="1" applyBorder="1" applyAlignment="1">
      <alignment horizontal="center" vertical="center" wrapText="1"/>
    </xf>
    <xf numFmtId="0" fontId="14" fillId="0" borderId="1" xfId="32" applyFont="1" applyBorder="1" applyAlignment="1">
      <alignment horizontal="center" vertical="center" wrapText="1"/>
    </xf>
    <xf numFmtId="0" fontId="14" fillId="0" borderId="2" xfId="32" applyFont="1" applyBorder="1" applyAlignment="1">
      <alignment horizontal="center" vertical="center" wrapText="1"/>
    </xf>
    <xf numFmtId="0" fontId="14" fillId="0" borderId="3" xfId="32" applyFont="1" applyBorder="1" applyAlignment="1">
      <alignment horizontal="center" vertical="center" wrapText="1"/>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16" fillId="0" borderId="18" xfId="0" applyFont="1" applyFill="1" applyBorder="1" applyAlignment="1">
      <alignment horizontal="center" vertical="top" wrapText="1"/>
    </xf>
    <xf numFmtId="0" fontId="22" fillId="0" borderId="18" xfId="0" applyFont="1" applyFill="1" applyBorder="1" applyAlignment="1">
      <alignment horizontal="center" vertical="top" wrapText="1"/>
    </xf>
    <xf numFmtId="0" fontId="1" fillId="0" borderId="6" xfId="0" applyFont="1" applyBorder="1" applyAlignment="1">
      <alignment horizontal="center" vertical="center" wrapText="1"/>
    </xf>
    <xf numFmtId="0" fontId="0" fillId="0" borderId="15" xfId="0"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22" fillId="0" borderId="0" xfId="0" applyFont="1" applyFill="1" applyBorder="1" applyAlignment="1">
      <alignment horizontal="center" vertical="top" wrapText="1"/>
    </xf>
    <xf numFmtId="0" fontId="22" fillId="0" borderId="18"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wrapText="1"/>
    </xf>
    <xf numFmtId="0" fontId="16" fillId="0" borderId="0" xfId="0" applyFont="1" applyFill="1" applyBorder="1" applyAlignment="1">
      <alignment horizontal="center" vertical="top" wrapText="1"/>
    </xf>
    <xf numFmtId="0" fontId="5" fillId="0" borderId="16" xfId="0" applyFont="1"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9" borderId="13" xfId="0" applyFill="1" applyBorder="1" applyAlignment="1">
      <alignment horizontal="center"/>
    </xf>
    <xf numFmtId="0" fontId="0" fillId="9" borderId="14" xfId="0" applyFill="1" applyBorder="1" applyAlignment="1"/>
    <xf numFmtId="0" fontId="0" fillId="9" borderId="14" xfId="0" applyFill="1" applyBorder="1" applyAlignment="1">
      <alignment horizontal="center"/>
    </xf>
    <xf numFmtId="0" fontId="0" fillId="9" borderId="19" xfId="0" applyFill="1" applyBorder="1" applyAlignment="1"/>
    <xf numFmtId="0" fontId="0" fillId="9" borderId="15" xfId="0" applyFill="1" applyBorder="1" applyAlignment="1">
      <alignment horizontal="center"/>
    </xf>
    <xf numFmtId="0" fontId="0" fillId="9" borderId="4" xfId="0" applyFill="1" applyBorder="1" applyAlignment="1">
      <alignment horizontal="center"/>
    </xf>
    <xf numFmtId="9" fontId="0" fillId="18" borderId="9" xfId="33" applyFont="1" applyFill="1" applyBorder="1" applyAlignment="1">
      <alignment horizontal="center"/>
    </xf>
    <xf numFmtId="9" fontId="0" fillId="18" borderId="0" xfId="33" applyFont="1" applyFill="1" applyBorder="1" applyAlignment="1">
      <alignment horizontal="center"/>
    </xf>
    <xf numFmtId="0" fontId="0" fillId="18" borderId="0" xfId="0" applyFill="1" applyBorder="1" applyAlignment="1">
      <alignment horizontal="center"/>
    </xf>
    <xf numFmtId="0" fontId="22" fillId="0" borderId="7" xfId="0" applyFont="1" applyBorder="1" applyAlignment="1">
      <alignment horizontal="center" vertical="top" wrapText="1"/>
    </xf>
    <xf numFmtId="0" fontId="22" fillId="0" borderId="16" xfId="0" applyFont="1" applyBorder="1" applyAlignment="1">
      <alignment horizontal="center" vertical="top" wrapText="1"/>
    </xf>
    <xf numFmtId="0" fontId="22" fillId="0" borderId="5" xfId="0" applyFont="1" applyBorder="1" applyAlignment="1">
      <alignment horizontal="center" vertical="top" wrapText="1"/>
    </xf>
    <xf numFmtId="0" fontId="22" fillId="0" borderId="21" xfId="0" applyFont="1" applyBorder="1" applyAlignment="1">
      <alignment horizontal="center"/>
    </xf>
    <xf numFmtId="0" fontId="4" fillId="4" borderId="4" xfId="0" applyFont="1" applyFill="1" applyBorder="1" applyAlignment="1">
      <alignment horizontal="center" vertical="top" wrapText="1"/>
    </xf>
  </cellXfs>
  <cellStyles count="119">
    <cellStyle name="%" xfId="1"/>
    <cellStyle name="=C:\WINNT\SYSTEM32\COMMAND.COM" xfId="2"/>
    <cellStyle name="=C:\WINNT\SYSTEM32\COMMAND.COM 2" xfId="3"/>
    <cellStyle name="=C:\WINNT\SYSTEM32\COMMAND.COM 2 2" xfId="4"/>
    <cellStyle name="=C:\WINNT\SYSTEM32\COMMAND.COM 3" xfId="5"/>
    <cellStyle name="=C:\WINNT35\SYSTEM32\COMMAND.COM" xfId="6"/>
    <cellStyle name="Comma" xfId="7" builtinId="3"/>
    <cellStyle name="Comma 2" xfId="8"/>
    <cellStyle name="Comma 2 2" xfId="9"/>
    <cellStyle name="Currency 2" xfId="10"/>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Hyperlink" xfId="11" builtinId="8"/>
    <cellStyle name="Normal" xfId="0" builtinId="0"/>
    <cellStyle name="Normal 2" xfId="12"/>
    <cellStyle name="Normal 2 2" xfId="13"/>
    <cellStyle name="Normal 2 3" xfId="14"/>
    <cellStyle name="Normal 2_Appendix B DCP095 changes to WPD Wales METHOD M.xls" xfId="44"/>
    <cellStyle name="Normal 2_EDFE_SPN_Main_FBPQ (v030909) v4.7" xfId="15"/>
    <cellStyle name="Normal 3" xfId="16"/>
    <cellStyle name="Normal 3_EDFE_SPN_Main_FBPQ (v030909) v4.7" xfId="17"/>
    <cellStyle name="Normal 3_EPN FBPQ Connections Aug v 5 0 (opt3) Rounded" xfId="18"/>
    <cellStyle name="Normal 3_SPN FBPQ Connections Aug v 5 0 (opt3) Rounded" xfId="19"/>
    <cellStyle name="Normal 4" xfId="20"/>
    <cellStyle name="Normal 5" xfId="21"/>
    <cellStyle name="Normal 6" xfId="43"/>
    <cellStyle name="Normal_07-08 RRP - Section 5" xfId="22"/>
    <cellStyle name="Normal_CE-NEDL_0607_RRP_RAV_Draft HLFBPQ1" xfId="23"/>
    <cellStyle name="Normal_EDFE_SPN_Main_FBPQ (v030909) v4.7" xfId="24"/>
    <cellStyle name="Normal_Network Tables 07_08" xfId="25"/>
    <cellStyle name="Normal_Network Tables 07_08 2" xfId="26"/>
    <cellStyle name="Normal_Opex Tables" xfId="27"/>
    <cellStyle name="Normal_risk table" xfId="28"/>
    <cellStyle name="Normal_risk table_EDFE_SPN_Main_FBPQ (v030909) v4.7" xfId="29"/>
    <cellStyle name="Normal_RRP table 4_3 update" xfId="30"/>
    <cellStyle name="Normal_SPN FBPQ Connections Aug v 5 0 (opt3) Rounded" xfId="31"/>
    <cellStyle name="Normal_Tables for 2005-06 Cost report (linked data v2)" xfId="32"/>
    <cellStyle name="Percent" xfId="33" builtinId="5"/>
    <cellStyle name="Percent 2" xfId="34"/>
    <cellStyle name="Percent 2 2" xfId="35"/>
    <cellStyle name="Percent 2 3" xfId="36"/>
    <cellStyle name="Percent 2 4" xfId="37"/>
    <cellStyle name="Percent 2 5" xfId="38"/>
    <cellStyle name="Percent 3" xfId="39"/>
    <cellStyle name="Percent 4" xfId="40"/>
    <cellStyle name="Percent 4 2" xfId="41"/>
    <cellStyle name="Percent 6" xfId="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1F9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B$20"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314325</xdr:colOff>
          <xdr:row>19</xdr:row>
          <xdr:rowOff>47625</xdr:rowOff>
        </xdr:from>
        <xdr:to>
          <xdr:col>2</xdr:col>
          <xdr:colOff>1095375</xdr:colOff>
          <xdr:row>19</xdr:row>
          <xdr:rowOff>381000</xdr:rowOff>
        </xdr:to>
        <xdr:sp macro="" textlink="">
          <xdr:nvSpPr>
            <xdr:cNvPr id="2058" name="Option Button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47625</xdr:rowOff>
        </xdr:from>
        <xdr:to>
          <xdr:col>4</xdr:col>
          <xdr:colOff>0</xdr:colOff>
          <xdr:row>19</xdr:row>
          <xdr:rowOff>381000</xdr:rowOff>
        </xdr:to>
        <xdr:sp macro="" textlink="">
          <xdr:nvSpPr>
            <xdr:cNvPr id="2059" name="Option Button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336175</xdr:rowOff>
    </xdr:from>
    <xdr:to>
      <xdr:col>4</xdr:col>
      <xdr:colOff>48025</xdr:colOff>
      <xdr:row>2</xdr:row>
      <xdr:rowOff>112058</xdr:rowOff>
    </xdr:to>
    <xdr:sp macro="" textlink="">
      <xdr:nvSpPr>
        <xdr:cNvPr id="2" name="Rounded Rectangle 1">
          <a:hlinkClick xmlns:r="http://schemas.openxmlformats.org/officeDocument/2006/relationships" r:id="rId1"/>
        </xdr:cNvPr>
        <xdr:cNvSpPr/>
      </xdr:nvSpPr>
      <xdr:spPr>
        <a:xfrm>
          <a:off x="5314950" y="336175"/>
          <a:ext cx="1219600"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95250</xdr:colOff>
      <xdr:row>2</xdr:row>
      <xdr:rowOff>122465</xdr:rowOff>
    </xdr:to>
    <xdr:sp macro="" textlink="">
      <xdr:nvSpPr>
        <xdr:cNvPr id="3" name="Rounded Rectangle 2">
          <a:hlinkClick xmlns:r="http://schemas.openxmlformats.org/officeDocument/2006/relationships" r:id="rId1"/>
        </xdr:cNvPr>
        <xdr:cNvSpPr/>
      </xdr:nvSpPr>
      <xdr:spPr>
        <a:xfrm>
          <a:off x="5932714" y="340179"/>
          <a:ext cx="1224643" cy="35378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2159000</xdr:colOff>
      <xdr:row>0</xdr:row>
      <xdr:rowOff>101599</xdr:rowOff>
    </xdr:from>
    <xdr:to>
      <xdr:col>3</xdr:col>
      <xdr:colOff>690336</xdr:colOff>
      <xdr:row>1</xdr:row>
      <xdr:rowOff>196849</xdr:rowOff>
    </xdr:to>
    <xdr:sp macro="" textlink="">
      <xdr:nvSpPr>
        <xdr:cNvPr id="2" name="Rounded Rectangle 1">
          <a:hlinkClick xmlns:r="http://schemas.openxmlformats.org/officeDocument/2006/relationships" r:id="rId1"/>
        </xdr:cNvPr>
        <xdr:cNvSpPr/>
      </xdr:nvSpPr>
      <xdr:spPr>
        <a:xfrm>
          <a:off x="5511800" y="101599"/>
          <a:ext cx="1223736" cy="3492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1224643</xdr:colOff>
      <xdr:row>2</xdr:row>
      <xdr:rowOff>95249</xdr:rowOff>
    </xdr:to>
    <xdr:sp macro="" textlink="">
      <xdr:nvSpPr>
        <xdr:cNvPr id="2" name="Rounded Rectangle 1">
          <a:hlinkClick xmlns:r="http://schemas.openxmlformats.org/officeDocument/2006/relationships" r:id="rId1"/>
        </xdr:cNvPr>
        <xdr:cNvSpPr/>
      </xdr:nvSpPr>
      <xdr:spPr>
        <a:xfrm>
          <a:off x="5592536" y="340178"/>
          <a:ext cx="1224643" cy="32657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k/Documents/Reckon%20LLP/DCUSA%20-%20Model%20maintenance/X_Franck%20mess%2018Nov2013/DCP%20118%20workings%20and%20tests/CE-NEDL_0607_RRP_RA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anck/Documents/Reckon%20LLP/DCUSA%20-%20Model%20maintenance/X_Franck%20mess%2018Nov2013/DCP%20118%20workings%20and%20test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anck/Documents/Reckon%20LLP/DCUSA%20-%20Model%20maintenance/X_Franck%20mess%2018Nov2013/DCP%20118%20workings%20and%20tests/ENW_Main_FBP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etworks\ElecDistrib\Elec_Distrib_Lib\Regulatory_Reporting\Cost_Reporting_\Cost_Reporting_Rules\Rules%202007-08%20development\Master%20RRP%200708%20v7-1-PR%20(inc%20LPN%20test%20data)%20forma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Network Analysis Loa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al 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hyperlink" Target="http://www.ofgem.gov.uk/Markets/RetMkts/Metrng/Metering/Documents1/9745-5405.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election activeCell="A7" sqref="A7"/>
    </sheetView>
  </sheetViews>
  <sheetFormatPr defaultColWidth="22.28515625" defaultRowHeight="15"/>
  <cols>
    <col min="1" max="1" width="22.28515625" style="1811"/>
    <col min="2" max="2" width="84.140625" style="1811" bestFit="1" customWidth="1"/>
    <col min="3" max="16384" width="22.28515625" style="1811"/>
  </cols>
  <sheetData>
    <row r="1" spans="1:5" ht="19.5">
      <c r="A1" s="1808" t="str">
        <f>"Index from Method M ("&amp;Inputs!B19&amp;") for "&amp;Inputs!B6&amp;" in "&amp;Inputs!C6&amp;"  Status: "&amp;Inputs!D6&amp;""</f>
        <v>Index from Method M (LR1) for WPD South West in 2014/15  Status: Indicative</v>
      </c>
    </row>
    <row r="3" spans="1:5">
      <c r="A3" s="1860" t="s">
        <v>1008</v>
      </c>
    </row>
    <row r="4" spans="1:5">
      <c r="A4" s="1860" t="s">
        <v>1009</v>
      </c>
    </row>
    <row r="5" spans="1:5">
      <c r="A5" s="1860" t="s">
        <v>1010</v>
      </c>
    </row>
    <row r="6" spans="1:5">
      <c r="A6" s="1860"/>
    </row>
    <row r="7" spans="1:5">
      <c r="A7" s="1860" t="s">
        <v>1011</v>
      </c>
    </row>
    <row r="8" spans="1:5">
      <c r="A8" s="1860"/>
    </row>
    <row r="9" spans="1:5" s="1859" customFormat="1">
      <c r="A9" s="1815" t="s">
        <v>1001</v>
      </c>
      <c r="B9" s="1815" t="s">
        <v>1003</v>
      </c>
      <c r="C9" s="1811"/>
      <c r="D9" s="1811"/>
      <c r="E9" s="1811"/>
    </row>
    <row r="10" spans="1:5">
      <c r="A10" s="1811" t="s">
        <v>1002</v>
      </c>
      <c r="B10" s="1811" t="s">
        <v>1007</v>
      </c>
    </row>
    <row r="11" spans="1:5">
      <c r="A11" s="1811" t="s">
        <v>933</v>
      </c>
      <c r="B11" s="1811" t="s">
        <v>1004</v>
      </c>
    </row>
    <row r="12" spans="1:5">
      <c r="A12" s="1811" t="s">
        <v>934</v>
      </c>
      <c r="B12" s="1811" t="s">
        <v>1004</v>
      </c>
    </row>
    <row r="13" spans="1:5">
      <c r="A13" s="1811" t="s">
        <v>935</v>
      </c>
      <c r="B13" s="1811" t="s">
        <v>1004</v>
      </c>
    </row>
    <row r="14" spans="1:5">
      <c r="A14" s="1811" t="s">
        <v>936</v>
      </c>
      <c r="B14" s="1811" t="s">
        <v>1004</v>
      </c>
    </row>
    <row r="15" spans="1:5">
      <c r="A15" s="1811" t="s">
        <v>937</v>
      </c>
      <c r="B15" s="1811" t="s">
        <v>1004</v>
      </c>
    </row>
    <row r="16" spans="1:5">
      <c r="A16" s="1811" t="s">
        <v>938</v>
      </c>
      <c r="B16" s="1811" t="s">
        <v>1004</v>
      </c>
    </row>
    <row r="17" spans="1:2">
      <c r="A17" s="1811" t="s">
        <v>939</v>
      </c>
      <c r="B17" s="1811" t="s">
        <v>1004</v>
      </c>
    </row>
    <row r="18" spans="1:2">
      <c r="A18" s="1811" t="s">
        <v>940</v>
      </c>
      <c r="B18" s="1811" t="s">
        <v>1004</v>
      </c>
    </row>
    <row r="19" spans="1:2">
      <c r="A19" s="1811" t="s">
        <v>941</v>
      </c>
      <c r="B19" s="1811" t="s">
        <v>1004</v>
      </c>
    </row>
    <row r="20" spans="1:2">
      <c r="A20" s="1811" t="s">
        <v>942</v>
      </c>
      <c r="B20" s="1811" t="s">
        <v>1004</v>
      </c>
    </row>
    <row r="21" spans="1:2">
      <c r="A21" s="1811" t="s">
        <v>943</v>
      </c>
      <c r="B21" s="1811" t="s">
        <v>1004</v>
      </c>
    </row>
    <row r="22" spans="1:2">
      <c r="A22" s="1811" t="s">
        <v>944</v>
      </c>
      <c r="B22" s="1811" t="s">
        <v>1004</v>
      </c>
    </row>
    <row r="23" spans="1:2">
      <c r="A23" s="1811" t="s">
        <v>945</v>
      </c>
      <c r="B23" s="1811" t="s">
        <v>1004</v>
      </c>
    </row>
    <row r="24" spans="1:2">
      <c r="A24" s="1811" t="s">
        <v>946</v>
      </c>
      <c r="B24" s="1811" t="s">
        <v>1004</v>
      </c>
    </row>
    <row r="25" spans="1:2">
      <c r="A25" s="1811" t="s">
        <v>932</v>
      </c>
      <c r="B25" s="1811" t="s">
        <v>1005</v>
      </c>
    </row>
    <row r="26" spans="1:2">
      <c r="A26" s="1811" t="s">
        <v>947</v>
      </c>
      <c r="B26" s="1811" t="s">
        <v>1006</v>
      </c>
    </row>
    <row r="27" spans="1:2">
      <c r="A27" s="1811" t="s">
        <v>948</v>
      </c>
      <c r="B27" s="1811" t="s">
        <v>1014</v>
      </c>
    </row>
    <row r="28" spans="1:2">
      <c r="A28" s="1811" t="s">
        <v>949</v>
      </c>
      <c r="B28" s="1811" t="s">
        <v>1014</v>
      </c>
    </row>
    <row r="29" spans="1:2">
      <c r="A29" s="1811" t="s">
        <v>950</v>
      </c>
      <c r="B29" s="1811" t="s">
        <v>1014</v>
      </c>
    </row>
    <row r="30" spans="1:2">
      <c r="A30" s="1811" t="s">
        <v>951</v>
      </c>
      <c r="B30" s="1811" t="s">
        <v>1014</v>
      </c>
    </row>
    <row r="31" spans="1:2">
      <c r="A31" s="1811" t="s">
        <v>952</v>
      </c>
      <c r="B31" s="1811" t="s">
        <v>1014</v>
      </c>
    </row>
    <row r="32" spans="1:2">
      <c r="A32" s="1811" t="s">
        <v>953</v>
      </c>
      <c r="B32" s="1811" t="s">
        <v>1014</v>
      </c>
    </row>
    <row r="33" spans="1:2">
      <c r="A33" s="1811" t="s">
        <v>955</v>
      </c>
      <c r="B33" s="1811" t="s">
        <v>1015</v>
      </c>
    </row>
    <row r="35" spans="1:2" ht="19.5">
      <c r="A35" s="1861" t="s">
        <v>1012</v>
      </c>
    </row>
    <row r="36" spans="1:2">
      <c r="A36" s="1811" t="s">
        <v>1013</v>
      </c>
    </row>
    <row r="37" spans="1:2">
      <c r="A37" s="1811" t="s">
        <v>1017</v>
      </c>
    </row>
    <row r="38" spans="1:2">
      <c r="A38" s="1811" t="s">
        <v>1016</v>
      </c>
    </row>
  </sheetData>
  <autoFilter ref="A9:B33"/>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M36"/>
  <sheetViews>
    <sheetView showGridLines="0" workbookViewId="0">
      <pane ySplit="1" topLeftCell="A14" activePane="bottomLeft" state="frozenSplit"/>
      <selection pane="bottomLeft" activeCell="B35" sqref="B35"/>
    </sheetView>
  </sheetViews>
  <sheetFormatPr defaultColWidth="18.28515625" defaultRowHeight="15"/>
  <cols>
    <col min="1" max="1" width="49" style="1811" customWidth="1"/>
    <col min="2" max="16384" width="18.28515625" style="1811"/>
  </cols>
  <sheetData>
    <row r="1" spans="1:7" ht="19.5">
      <c r="A1" s="1808" t="str">
        <f>"Method M ("&amp;Inputs!B19&amp;") for "&amp;Inputs!B6&amp;" in "&amp;Inputs!C6&amp;"  Status: "&amp;Inputs!D6&amp;""</f>
        <v>Method M (LR1) for WPD South West in 2014/15  Status: Indicative</v>
      </c>
      <c r="B1" s="1809"/>
      <c r="C1" s="1810"/>
    </row>
    <row r="2" spans="1:7">
      <c r="C2" s="1810"/>
    </row>
    <row r="3" spans="1:7" ht="17.25">
      <c r="A3" s="1812" t="s">
        <v>921</v>
      </c>
      <c r="B3" s="1813"/>
      <c r="C3" s="1810"/>
    </row>
    <row r="4" spans="1:7" ht="17.25">
      <c r="A4" s="1812"/>
      <c r="B4" s="1813"/>
      <c r="C4" s="1810"/>
    </row>
    <row r="5" spans="1:7">
      <c r="B5" s="1815" t="s">
        <v>926</v>
      </c>
      <c r="C5" s="1815" t="s">
        <v>927</v>
      </c>
      <c r="D5" s="1815" t="s">
        <v>928</v>
      </c>
    </row>
    <row r="6" spans="1:7" ht="17.25" customHeight="1">
      <c r="A6" s="1815" t="s">
        <v>921</v>
      </c>
      <c r="B6" s="1816" t="s">
        <v>1018</v>
      </c>
      <c r="C6" s="1816" t="s">
        <v>139</v>
      </c>
      <c r="D6" s="1816" t="s">
        <v>1019</v>
      </c>
    </row>
    <row r="7" spans="1:7">
      <c r="C7" s="1810"/>
    </row>
    <row r="8" spans="1:7" ht="17.25">
      <c r="A8" s="1812" t="s">
        <v>922</v>
      </c>
      <c r="B8" s="1813"/>
    </row>
    <row r="9" spans="1:7">
      <c r="A9" s="1811" t="s">
        <v>925</v>
      </c>
    </row>
    <row r="11" spans="1:7">
      <c r="B11" s="1814" t="s">
        <v>930</v>
      </c>
    </row>
    <row r="12" spans="1:7" ht="17.25" customHeight="1">
      <c r="A12" s="1815" t="s">
        <v>161</v>
      </c>
      <c r="B12" s="1855">
        <v>0.1145</v>
      </c>
    </row>
    <row r="13" spans="1:7" ht="17.25" customHeight="1">
      <c r="A13" s="1815" t="s">
        <v>329</v>
      </c>
      <c r="B13" s="1855">
        <v>0.4</v>
      </c>
    </row>
    <row r="16" spans="1:7" ht="17.25">
      <c r="A16" s="1812" t="s">
        <v>929</v>
      </c>
      <c r="B16" s="1813"/>
      <c r="D16" s="1817"/>
      <c r="E16" s="1818"/>
      <c r="F16" s="1819"/>
      <c r="G16" s="1819"/>
    </row>
    <row r="17" spans="1:13">
      <c r="A17" s="1294" t="s">
        <v>896</v>
      </c>
      <c r="B17" s="1294"/>
    </row>
    <row r="18" spans="1:13">
      <c r="A18" s="1294"/>
      <c r="B18" s="1294"/>
    </row>
    <row r="19" spans="1:13" s="1821" customFormat="1" ht="32.25" customHeight="1">
      <c r="A19" s="1811"/>
      <c r="B19" s="1820" t="str">
        <f>IF(B20,INDEX(C19:D19,B20),"No option selected")</f>
        <v>LR1</v>
      </c>
      <c r="C19" s="1814" t="s">
        <v>891</v>
      </c>
      <c r="D19" s="1814" t="s">
        <v>924</v>
      </c>
    </row>
    <row r="20" spans="1:13" s="1821" customFormat="1" ht="32.25" customHeight="1">
      <c r="A20" s="1815" t="s">
        <v>956</v>
      </c>
      <c r="B20" s="1822">
        <v>1</v>
      </c>
      <c r="C20" s="1823"/>
      <c r="D20" s="1823"/>
    </row>
    <row r="22" spans="1:13" ht="17.25">
      <c r="A22" s="1812" t="s">
        <v>954</v>
      </c>
    </row>
    <row r="23" spans="1:13" ht="17.25">
      <c r="A23" s="1812"/>
    </row>
    <row r="24" spans="1:13">
      <c r="A24" s="1813"/>
      <c r="B24" s="1815" t="s">
        <v>923</v>
      </c>
    </row>
    <row r="25" spans="1:13">
      <c r="A25" s="1815" t="s">
        <v>923</v>
      </c>
      <c r="B25" s="1824">
        <v>5.5449999999999999E-2</v>
      </c>
    </row>
    <row r="27" spans="1:13" customFormat="1" ht="17.25">
      <c r="A27" s="1812" t="s">
        <v>983</v>
      </c>
    </row>
    <row r="28" spans="1:13" customFormat="1" ht="12.75"/>
    <row r="29" spans="1:13" customFormat="1">
      <c r="B29" s="1840" t="s">
        <v>972</v>
      </c>
      <c r="C29" s="1840" t="s">
        <v>973</v>
      </c>
      <c r="D29" s="1840" t="s">
        <v>974</v>
      </c>
      <c r="E29" s="1840" t="s">
        <v>975</v>
      </c>
      <c r="F29" s="1840" t="s">
        <v>976</v>
      </c>
      <c r="G29" s="1840" t="s">
        <v>977</v>
      </c>
      <c r="H29" s="1840" t="s">
        <v>978</v>
      </c>
      <c r="I29" s="1840" t="s">
        <v>408</v>
      </c>
      <c r="J29" s="1840" t="s">
        <v>979</v>
      </c>
      <c r="K29" s="1840" t="s">
        <v>980</v>
      </c>
      <c r="L29" s="1840" t="s">
        <v>981</v>
      </c>
    </row>
    <row r="30" spans="1:13" customFormat="1" ht="30">
      <c r="A30" s="1841" t="s">
        <v>982</v>
      </c>
      <c r="B30" s="1842"/>
      <c r="C30" s="1842">
        <v>565516642.42233014</v>
      </c>
      <c r="D30" s="1842">
        <v>84230160.126228869</v>
      </c>
      <c r="E30" s="1842">
        <v>258461527.68169472</v>
      </c>
      <c r="F30" s="1842">
        <v>236609916.56966814</v>
      </c>
      <c r="G30" s="1842">
        <v>0</v>
      </c>
      <c r="H30" s="1842">
        <v>960780125.42293429</v>
      </c>
      <c r="I30" s="1842">
        <v>306550534.3897875</v>
      </c>
      <c r="J30" s="1842">
        <v>587893247.09709549</v>
      </c>
      <c r="K30" s="1842">
        <v>455894746.73825574</v>
      </c>
      <c r="L30" s="1842">
        <v>9057082.0904474463</v>
      </c>
      <c r="M30" s="1843"/>
    </row>
    <row r="31" spans="1:13" customFormat="1" ht="12.75"/>
    <row r="32" spans="1:13" customFormat="1" ht="17.25">
      <c r="A32" s="1812" t="s">
        <v>985</v>
      </c>
    </row>
    <row r="33" spans="1:3" customFormat="1" ht="12.75"/>
    <row r="34" spans="1:3" customFormat="1" ht="30">
      <c r="B34" s="1840" t="s">
        <v>984</v>
      </c>
    </row>
    <row r="35" spans="1:3" customFormat="1">
      <c r="A35" s="1841" t="s">
        <v>984</v>
      </c>
      <c r="B35" s="1842">
        <v>92814896.754028171</v>
      </c>
      <c r="C35" s="1843"/>
    </row>
    <row r="36" spans="1:3" customFormat="1" ht="12.75"/>
  </sheetData>
  <phoneticPr fontId="2"/>
  <dataValidations count="1">
    <dataValidation type="decimal" operator="greaterThanOrEqual" allowBlank="1" showInputMessage="1" showErrorMessage="1" sqref="B30:L30 B35">
      <formula1>0</formula1>
    </dataValidation>
  </dataValidations>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oddFooter>&amp;L&amp;Z&amp;F&amp;R&amp;D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8" r:id="rId4" name="Option Button 10">
              <controlPr defaultSize="0" autoFill="0" autoLine="0" autoPict="0">
                <anchor moveWithCells="1">
                  <from>
                    <xdr:col>2</xdr:col>
                    <xdr:colOff>314325</xdr:colOff>
                    <xdr:row>19</xdr:row>
                    <xdr:rowOff>47625</xdr:rowOff>
                  </from>
                  <to>
                    <xdr:col>2</xdr:col>
                    <xdr:colOff>1095375</xdr:colOff>
                    <xdr:row>19</xdr:row>
                    <xdr:rowOff>381000</xdr:rowOff>
                  </to>
                </anchor>
              </controlPr>
            </control>
          </mc:Choice>
        </mc:AlternateContent>
        <mc:AlternateContent xmlns:mc="http://schemas.openxmlformats.org/markup-compatibility/2006">
          <mc:Choice Requires="x14">
            <control shapeId="2059" r:id="rId5" name="Option Button 11">
              <controlPr defaultSize="0" autoFill="0" autoLine="0" autoPict="0">
                <anchor moveWithCells="1">
                  <from>
                    <xdr:col>3</xdr:col>
                    <xdr:colOff>28575</xdr:colOff>
                    <xdr:row>19</xdr:row>
                    <xdr:rowOff>47625</xdr:rowOff>
                  </from>
                  <to>
                    <xdr:col>4</xdr:col>
                    <xdr:colOff>0</xdr:colOff>
                    <xdr:row>19</xdr:row>
                    <xdr:rowOff>381000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1DFFF"/>
  </sheetPr>
  <dimension ref="A1:J33"/>
  <sheetViews>
    <sheetView workbookViewId="0">
      <selection activeCell="C3" sqref="C3:H30"/>
    </sheetView>
  </sheetViews>
  <sheetFormatPr defaultColWidth="8.85546875" defaultRowHeight="12.75"/>
  <cols>
    <col min="1" max="1" width="5" customWidth="1"/>
    <col min="2" max="2" width="38.140625" bestFit="1" customWidth="1"/>
    <col min="3" max="8" width="9.42578125" customWidth="1"/>
  </cols>
  <sheetData>
    <row r="1" spans="1:10">
      <c r="C1" s="252" t="s">
        <v>200</v>
      </c>
      <c r="D1" s="252" t="s">
        <v>196</v>
      </c>
      <c r="E1" s="252" t="s">
        <v>197</v>
      </c>
      <c r="F1" s="252" t="s">
        <v>198</v>
      </c>
      <c r="G1" s="252" t="s">
        <v>199</v>
      </c>
      <c r="H1" s="252" t="s">
        <v>35</v>
      </c>
      <c r="J1" s="253" t="s">
        <v>216</v>
      </c>
    </row>
    <row r="2" spans="1:10">
      <c r="C2" s="252" t="s">
        <v>201</v>
      </c>
      <c r="D2" s="252" t="s">
        <v>201</v>
      </c>
      <c r="E2" s="252" t="s">
        <v>201</v>
      </c>
      <c r="F2" s="252" t="s">
        <v>201</v>
      </c>
      <c r="G2" s="252" t="s">
        <v>201</v>
      </c>
      <c r="H2" s="252" t="s">
        <v>201</v>
      </c>
    </row>
    <row r="3" spans="1:10">
      <c r="A3">
        <v>1</v>
      </c>
      <c r="B3" t="s">
        <v>602</v>
      </c>
      <c r="C3" s="1286"/>
      <c r="D3" s="1287">
        <v>695.6</v>
      </c>
      <c r="E3" s="1287">
        <v>717.4</v>
      </c>
      <c r="F3" s="1287">
        <v>734</v>
      </c>
      <c r="G3" s="1287">
        <v>747</v>
      </c>
      <c r="H3" s="1287">
        <v>756.3</v>
      </c>
      <c r="I3" t="s">
        <v>859</v>
      </c>
    </row>
    <row r="4" spans="1:10">
      <c r="A4">
        <v>2</v>
      </c>
      <c r="B4" t="s">
        <v>604</v>
      </c>
      <c r="C4" s="1286"/>
      <c r="D4" s="1287">
        <v>72.099999999999994</v>
      </c>
      <c r="E4" s="1287">
        <v>72.099999999999994</v>
      </c>
      <c r="F4" s="1287">
        <v>72.099999999999994</v>
      </c>
      <c r="G4" s="1287">
        <v>72.099999999999994</v>
      </c>
      <c r="H4" s="1287">
        <v>72.099999999999994</v>
      </c>
      <c r="I4" t="s">
        <v>859</v>
      </c>
    </row>
    <row r="5" spans="1:10">
      <c r="A5">
        <v>3</v>
      </c>
      <c r="B5" t="s">
        <v>441</v>
      </c>
      <c r="C5" s="1286"/>
      <c r="D5" s="1287">
        <v>-50.3</v>
      </c>
      <c r="E5" s="1287">
        <v>-55.5</v>
      </c>
      <c r="F5" s="1287">
        <v>-59.1</v>
      </c>
      <c r="G5" s="1287">
        <v>-62.7</v>
      </c>
      <c r="H5" s="1287">
        <v>-66.3</v>
      </c>
      <c r="I5" t="s">
        <v>859</v>
      </c>
    </row>
    <row r="6" spans="1:10">
      <c r="A6">
        <v>4</v>
      </c>
      <c r="B6" t="s">
        <v>362</v>
      </c>
      <c r="C6" s="1286"/>
      <c r="D6" s="1287">
        <v>717.4</v>
      </c>
      <c r="E6" s="1287">
        <v>734</v>
      </c>
      <c r="F6" s="1287">
        <v>747</v>
      </c>
      <c r="G6" s="1287">
        <v>756.3</v>
      </c>
      <c r="H6" s="1287">
        <v>762.1</v>
      </c>
      <c r="I6" t="s">
        <v>859</v>
      </c>
    </row>
    <row r="7" spans="1:10">
      <c r="A7">
        <v>5</v>
      </c>
      <c r="B7" t="s">
        <v>149</v>
      </c>
      <c r="C7" s="1286"/>
      <c r="D7" s="1287">
        <v>695.6</v>
      </c>
      <c r="E7" s="1287"/>
      <c r="F7" s="1287" t="s">
        <v>859</v>
      </c>
      <c r="G7" s="1287"/>
      <c r="H7" s="1287">
        <v>581.79999999999995</v>
      </c>
    </row>
    <row r="8" spans="1:10">
      <c r="A8">
        <v>6</v>
      </c>
      <c r="B8" t="s">
        <v>195</v>
      </c>
      <c r="C8" s="1286"/>
      <c r="D8" s="1287"/>
      <c r="E8" s="1287" t="s">
        <v>859</v>
      </c>
      <c r="F8" s="1287"/>
      <c r="G8" s="1287"/>
      <c r="H8" s="1287">
        <v>113.7</v>
      </c>
    </row>
    <row r="9" spans="1:10">
      <c r="A9" s="510" t="s">
        <v>248</v>
      </c>
      <c r="D9" s="189"/>
      <c r="E9" s="189"/>
      <c r="F9" s="189"/>
      <c r="G9" s="189"/>
      <c r="H9" s="189"/>
    </row>
    <row r="10" spans="1:10">
      <c r="A10">
        <v>7</v>
      </c>
      <c r="B10" t="s">
        <v>150</v>
      </c>
      <c r="C10" s="1286"/>
      <c r="D10" s="1287">
        <v>53.2</v>
      </c>
      <c r="E10" s="1287">
        <v>55.2</v>
      </c>
      <c r="F10" s="1287">
        <v>56</v>
      </c>
      <c r="G10" s="1287">
        <v>55.5</v>
      </c>
      <c r="H10" s="1287">
        <v>55.1</v>
      </c>
      <c r="I10" t="s">
        <v>859</v>
      </c>
    </row>
    <row r="11" spans="1:10">
      <c r="A11">
        <v>8</v>
      </c>
      <c r="B11" t="s">
        <v>151</v>
      </c>
      <c r="C11" s="1286"/>
      <c r="D11" s="1287">
        <v>63.8</v>
      </c>
      <c r="E11" s="1287">
        <v>63.7</v>
      </c>
      <c r="F11" s="1287">
        <v>63.5</v>
      </c>
      <c r="G11" s="1287">
        <v>63.4</v>
      </c>
      <c r="H11" s="1287">
        <v>63.3</v>
      </c>
      <c r="I11" t="s">
        <v>859</v>
      </c>
    </row>
    <row r="12" spans="1:10">
      <c r="A12">
        <v>9</v>
      </c>
      <c r="B12" t="s">
        <v>152</v>
      </c>
      <c r="C12" s="1286"/>
      <c r="D12" s="1287">
        <v>14.4</v>
      </c>
      <c r="E12" s="1287">
        <v>14.6</v>
      </c>
      <c r="F12" s="1287">
        <v>14.8</v>
      </c>
      <c r="G12" s="1287">
        <v>15</v>
      </c>
      <c r="H12" s="1287">
        <v>15.2</v>
      </c>
      <c r="I12" t="s">
        <v>859</v>
      </c>
    </row>
    <row r="13" spans="1:10">
      <c r="A13">
        <v>10</v>
      </c>
      <c r="B13" t="s">
        <v>336</v>
      </c>
      <c r="C13" s="1286"/>
      <c r="D13" s="1287">
        <v>15.8</v>
      </c>
      <c r="E13" s="1287">
        <v>16.399999999999999</v>
      </c>
      <c r="F13" s="1287">
        <v>17.100000000000001</v>
      </c>
      <c r="G13" s="1287">
        <v>17.8</v>
      </c>
      <c r="H13" s="1287">
        <v>18.600000000000001</v>
      </c>
      <c r="I13" t="s">
        <v>859</v>
      </c>
    </row>
    <row r="14" spans="1:10">
      <c r="A14">
        <v>11</v>
      </c>
      <c r="B14" t="s">
        <v>153</v>
      </c>
      <c r="C14" s="1286"/>
      <c r="D14" s="1287">
        <v>4.5</v>
      </c>
      <c r="E14" s="1287">
        <v>4.0999999999999996</v>
      </c>
      <c r="F14" s="1287">
        <v>2.8</v>
      </c>
      <c r="G14" s="1287">
        <v>1.8</v>
      </c>
      <c r="H14" s="1287">
        <v>0.9</v>
      </c>
      <c r="I14" t="s">
        <v>859</v>
      </c>
    </row>
    <row r="15" spans="1:10">
      <c r="A15">
        <v>12</v>
      </c>
      <c r="B15" t="s">
        <v>154</v>
      </c>
      <c r="C15" s="1286"/>
      <c r="D15" s="1287">
        <v>1.4</v>
      </c>
      <c r="E15" s="1287">
        <v>1.5</v>
      </c>
      <c r="F15" s="1287">
        <v>1.5</v>
      </c>
      <c r="G15" s="1287">
        <v>1.5</v>
      </c>
      <c r="H15" s="1287">
        <v>1.5</v>
      </c>
      <c r="I15" t="s">
        <v>859</v>
      </c>
    </row>
    <row r="16" spans="1:10">
      <c r="A16">
        <v>13</v>
      </c>
      <c r="B16" t="s">
        <v>179</v>
      </c>
      <c r="C16" s="1286"/>
      <c r="D16" s="1288"/>
      <c r="E16" s="1288"/>
      <c r="F16" s="1288"/>
      <c r="G16" s="1288"/>
      <c r="H16" s="1288"/>
      <c r="I16" t="s">
        <v>859</v>
      </c>
    </row>
    <row r="17" spans="1:9">
      <c r="A17">
        <v>14</v>
      </c>
      <c r="B17" t="s">
        <v>180</v>
      </c>
      <c r="C17" s="1286"/>
      <c r="D17" s="1288">
        <v>1.7</v>
      </c>
      <c r="E17" s="1288">
        <v>1.7</v>
      </c>
      <c r="F17" s="1288">
        <v>1.7</v>
      </c>
      <c r="G17" s="1288">
        <v>1.7</v>
      </c>
      <c r="H17" s="1288">
        <v>1.7</v>
      </c>
      <c r="I17" t="s">
        <v>859</v>
      </c>
    </row>
    <row r="18" spans="1:9">
      <c r="A18">
        <v>15</v>
      </c>
      <c r="B18" t="s">
        <v>365</v>
      </c>
      <c r="C18" s="1286"/>
      <c r="D18" s="1288">
        <v>1.6</v>
      </c>
      <c r="E18" s="1288"/>
      <c r="F18" s="1288"/>
      <c r="G18" s="1288"/>
      <c r="H18" s="1288"/>
      <c r="I18" t="s">
        <v>859</v>
      </c>
    </row>
    <row r="19" spans="1:9">
      <c r="A19">
        <v>16</v>
      </c>
      <c r="B19" t="s">
        <v>657</v>
      </c>
      <c r="C19" s="1289"/>
      <c r="D19" s="1290">
        <v>156.5</v>
      </c>
      <c r="E19" s="1290">
        <v>157.19999999999999</v>
      </c>
      <c r="F19" s="1290">
        <v>157.4</v>
      </c>
      <c r="G19" s="1290">
        <v>156.80000000000001</v>
      </c>
      <c r="H19" s="1290">
        <v>156.30000000000001</v>
      </c>
      <c r="I19" t="s">
        <v>859</v>
      </c>
    </row>
    <row r="20" spans="1:9">
      <c r="A20">
        <v>17</v>
      </c>
      <c r="B20" t="s">
        <v>181</v>
      </c>
      <c r="C20" s="1286"/>
      <c r="D20" s="1287">
        <v>152.30000000000001</v>
      </c>
      <c r="E20" s="1287">
        <v>144.9</v>
      </c>
      <c r="F20" s="1287">
        <v>137.5</v>
      </c>
      <c r="G20" s="1287">
        <v>129.80000000000001</v>
      </c>
      <c r="H20" s="1287">
        <v>122.6</v>
      </c>
      <c r="I20" t="s">
        <v>859</v>
      </c>
    </row>
    <row r="21" spans="1:9">
      <c r="A21">
        <v>18</v>
      </c>
      <c r="B21" t="s">
        <v>366</v>
      </c>
      <c r="C21" s="1286"/>
      <c r="D21" s="1287"/>
      <c r="E21" s="1287" t="s">
        <v>859</v>
      </c>
      <c r="F21" s="1287"/>
      <c r="G21" s="1287"/>
      <c r="H21" s="1287">
        <v>113.7</v>
      </c>
    </row>
    <row r="22" spans="1:9">
      <c r="A22">
        <v>19</v>
      </c>
      <c r="B22" s="518" t="s">
        <v>182</v>
      </c>
      <c r="C22" s="1286"/>
      <c r="D22" s="1287"/>
      <c r="E22" s="1287"/>
      <c r="F22" s="1287"/>
      <c r="G22" s="1287"/>
      <c r="H22" s="1290">
        <v>800.9</v>
      </c>
    </row>
    <row r="23" spans="1:9">
      <c r="A23" s="510" t="s">
        <v>781</v>
      </c>
      <c r="D23" s="189"/>
      <c r="E23" s="189"/>
      <c r="F23" s="189"/>
      <c r="G23" s="189"/>
      <c r="H23" s="189"/>
    </row>
    <row r="24" spans="1:9">
      <c r="A24">
        <v>20</v>
      </c>
      <c r="B24" t="s">
        <v>438</v>
      </c>
      <c r="C24" s="1286"/>
      <c r="D24" s="1291">
        <v>1</v>
      </c>
      <c r="E24" s="1291">
        <v>1.0129999999999999</v>
      </c>
      <c r="F24" s="1291">
        <v>1.0269999999999999</v>
      </c>
      <c r="G24" s="1291">
        <v>1.038</v>
      </c>
      <c r="H24" s="1291">
        <v>1.0509999999999999</v>
      </c>
      <c r="I24" t="s">
        <v>859</v>
      </c>
    </row>
    <row r="25" spans="1:9">
      <c r="A25">
        <v>21</v>
      </c>
      <c r="B25" t="s">
        <v>439</v>
      </c>
      <c r="C25" s="1286"/>
      <c r="D25" s="1291">
        <v>0.97299999999999998</v>
      </c>
      <c r="E25" s="1291">
        <v>0.93400000000000005</v>
      </c>
      <c r="F25" s="1291">
        <v>0.89700000000000002</v>
      </c>
      <c r="G25" s="1291">
        <v>0.86</v>
      </c>
      <c r="H25" s="1291">
        <v>0.82499999999999996</v>
      </c>
      <c r="I25" t="s">
        <v>859</v>
      </c>
    </row>
    <row r="26" spans="1:9">
      <c r="A26">
        <v>22</v>
      </c>
      <c r="B26" t="s">
        <v>440</v>
      </c>
      <c r="C26" s="1286">
        <v>173.1</v>
      </c>
      <c r="D26" s="1287">
        <v>175.6</v>
      </c>
      <c r="E26" s="1287">
        <v>177.8</v>
      </c>
      <c r="F26" s="1287">
        <v>180.3</v>
      </c>
      <c r="G26" s="1287">
        <v>182.3</v>
      </c>
      <c r="H26" s="1287">
        <v>184.6</v>
      </c>
      <c r="I26" t="s">
        <v>859</v>
      </c>
    </row>
    <row r="27" spans="1:9">
      <c r="A27">
        <v>23</v>
      </c>
      <c r="B27" t="s">
        <v>183</v>
      </c>
      <c r="C27" s="1286"/>
      <c r="D27" s="1287">
        <v>2.9</v>
      </c>
      <c r="E27" s="1287">
        <v>2.9</v>
      </c>
      <c r="F27" s="1287">
        <v>2.9</v>
      </c>
      <c r="G27" s="1287">
        <v>2.9</v>
      </c>
      <c r="H27" s="1287">
        <v>2.9</v>
      </c>
      <c r="I27" t="s">
        <v>859</v>
      </c>
    </row>
    <row r="28" spans="1:9">
      <c r="A28">
        <v>24</v>
      </c>
      <c r="B28" t="s">
        <v>360</v>
      </c>
      <c r="C28" s="1286"/>
      <c r="D28" s="1287">
        <v>178.5</v>
      </c>
      <c r="E28" s="1287">
        <v>180.7</v>
      </c>
      <c r="F28" s="1287">
        <v>183.2</v>
      </c>
      <c r="G28" s="1287">
        <v>185.2</v>
      </c>
      <c r="H28" s="1287">
        <v>187.5</v>
      </c>
      <c r="I28" t="s">
        <v>859</v>
      </c>
    </row>
    <row r="29" spans="1:9">
      <c r="A29">
        <v>25</v>
      </c>
      <c r="B29" t="s">
        <v>184</v>
      </c>
      <c r="C29" s="1286"/>
      <c r="D29" s="1287">
        <v>173.7</v>
      </c>
      <c r="E29" s="1287">
        <v>166.7</v>
      </c>
      <c r="F29" s="1287">
        <v>160.1</v>
      </c>
      <c r="G29" s="1287">
        <v>153.30000000000001</v>
      </c>
      <c r="H29" s="1287">
        <v>147.1</v>
      </c>
      <c r="I29" t="s">
        <v>859</v>
      </c>
    </row>
    <row r="30" spans="1:9">
      <c r="A30">
        <v>26</v>
      </c>
      <c r="B30" t="s">
        <v>182</v>
      </c>
      <c r="C30" s="1286"/>
      <c r="D30" s="1287"/>
      <c r="E30" s="1287"/>
      <c r="F30" s="1287"/>
      <c r="G30" s="1287"/>
      <c r="H30" s="1290">
        <v>800.9</v>
      </c>
    </row>
    <row r="32" spans="1:9">
      <c r="A32" t="s">
        <v>131</v>
      </c>
    </row>
    <row r="33" spans="1:1">
      <c r="A33" s="524" t="s">
        <v>226</v>
      </c>
    </row>
  </sheetData>
  <phoneticPr fontId="0" type="noConversion"/>
  <hyperlinks>
    <hyperlink ref="A33" r:id="rId1"/>
    <hyperlink ref="J1" location="Inputs!A1" display="Index"/>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1DFFF"/>
  </sheetPr>
  <dimension ref="A1:AE147"/>
  <sheetViews>
    <sheetView zoomScale="80" zoomScaleNormal="80" zoomScalePageLayoutView="80" workbookViewId="0">
      <selection activeCell="F12" sqref="F12:AE147"/>
    </sheetView>
  </sheetViews>
  <sheetFormatPr defaultColWidth="8.85546875" defaultRowHeight="12.75"/>
  <cols>
    <col min="1" max="4" width="8.85546875" customWidth="1"/>
    <col min="5" max="5" width="33" customWidth="1"/>
    <col min="6" max="6" width="10.85546875" customWidth="1"/>
    <col min="7" max="10" width="8.85546875" customWidth="1"/>
    <col min="11" max="11" width="11.140625" customWidth="1"/>
    <col min="12" max="15" width="8.85546875" customWidth="1"/>
    <col min="16" max="16" width="11" customWidth="1"/>
    <col min="17" max="20" width="8.85546875" customWidth="1"/>
    <col min="21" max="21" width="11.42578125" customWidth="1"/>
    <col min="22" max="25" width="8.85546875" customWidth="1"/>
    <col min="26" max="26" width="11" customWidth="1"/>
    <col min="27" max="30" width="8.85546875" customWidth="1"/>
    <col min="31" max="31" width="12.28515625" customWidth="1"/>
  </cols>
  <sheetData>
    <row r="1" spans="1:31">
      <c r="A1" s="510" t="s">
        <v>858</v>
      </c>
      <c r="B1" s="510"/>
      <c r="F1" t="s">
        <v>859</v>
      </c>
      <c r="G1" s="253" t="s">
        <v>216</v>
      </c>
      <c r="I1" t="s">
        <v>859</v>
      </c>
      <c r="K1" t="s">
        <v>859</v>
      </c>
      <c r="L1" t="s">
        <v>859</v>
      </c>
      <c r="N1" t="s">
        <v>859</v>
      </c>
      <c r="P1" t="s">
        <v>859</v>
      </c>
      <c r="Q1" t="s">
        <v>859</v>
      </c>
      <c r="S1" t="s">
        <v>859</v>
      </c>
      <c r="U1" t="s">
        <v>859</v>
      </c>
      <c r="V1" t="s">
        <v>859</v>
      </c>
      <c r="X1" t="s">
        <v>859</v>
      </c>
      <c r="Z1" t="s">
        <v>859</v>
      </c>
      <c r="AA1" t="s">
        <v>859</v>
      </c>
      <c r="AC1" t="s">
        <v>859</v>
      </c>
      <c r="AE1" t="s">
        <v>859</v>
      </c>
    </row>
    <row r="2" spans="1:31">
      <c r="A2" s="510"/>
      <c r="B2" s="510"/>
    </row>
    <row r="3" spans="1:31">
      <c r="A3" s="510" t="s">
        <v>692</v>
      </c>
      <c r="B3" s="510"/>
    </row>
    <row r="4" spans="1:31">
      <c r="A4" s="510"/>
      <c r="B4" s="510"/>
    </row>
    <row r="5" spans="1:31">
      <c r="A5" s="510"/>
      <c r="B5" s="510" t="s">
        <v>693</v>
      </c>
    </row>
    <row r="6" spans="1:31" ht="13.5" thickBot="1"/>
    <row r="7" spans="1:31" ht="13.5" customHeight="1" thickBot="1">
      <c r="B7" s="1889" t="s">
        <v>641</v>
      </c>
      <c r="C7" s="1890"/>
      <c r="D7" s="1890"/>
      <c r="E7" s="1891"/>
      <c r="F7" s="1886" t="s">
        <v>694</v>
      </c>
      <c r="G7" s="1896" t="s">
        <v>32</v>
      </c>
      <c r="H7" s="1896"/>
      <c r="I7" s="1896"/>
      <c r="J7" s="1896"/>
      <c r="K7" s="1897"/>
      <c r="L7" s="1896" t="s">
        <v>33</v>
      </c>
      <c r="M7" s="1896"/>
      <c r="N7" s="1896"/>
      <c r="O7" s="1896"/>
      <c r="P7" s="1897"/>
      <c r="Q7" s="1895" t="s">
        <v>29</v>
      </c>
      <c r="R7" s="1896"/>
      <c r="S7" s="1896"/>
      <c r="T7" s="1896"/>
      <c r="U7" s="1897"/>
      <c r="V7" s="1895" t="s">
        <v>34</v>
      </c>
      <c r="W7" s="1896"/>
      <c r="X7" s="1896"/>
      <c r="Y7" s="1896"/>
      <c r="Z7" s="1897"/>
      <c r="AA7" s="1895" t="s">
        <v>35</v>
      </c>
      <c r="AB7" s="1896"/>
      <c r="AC7" s="1896"/>
      <c r="AD7" s="1896"/>
      <c r="AE7" s="1897"/>
    </row>
    <row r="8" spans="1:31" ht="38.25">
      <c r="B8" s="1884"/>
      <c r="C8" s="1883"/>
      <c r="D8" s="1883"/>
      <c r="E8" s="1885"/>
      <c r="F8" s="1887"/>
      <c r="G8" s="1883" t="s">
        <v>861</v>
      </c>
      <c r="H8" s="1883"/>
      <c r="I8" s="1884" t="s">
        <v>698</v>
      </c>
      <c r="J8" s="1883"/>
      <c r="K8" s="262" t="s">
        <v>699</v>
      </c>
      <c r="L8" s="1883" t="s">
        <v>861</v>
      </c>
      <c r="M8" s="1883"/>
      <c r="N8" s="1884" t="s">
        <v>698</v>
      </c>
      <c r="O8" s="1885"/>
      <c r="P8" s="263" t="s">
        <v>699</v>
      </c>
      <c r="Q8" s="1883" t="s">
        <v>861</v>
      </c>
      <c r="R8" s="1883"/>
      <c r="S8" s="1884" t="s">
        <v>698</v>
      </c>
      <c r="T8" s="1883"/>
      <c r="U8" s="262" t="s">
        <v>699</v>
      </c>
      <c r="V8" s="1883" t="s">
        <v>861</v>
      </c>
      <c r="W8" s="1883"/>
      <c r="X8" s="1884" t="s">
        <v>698</v>
      </c>
      <c r="Y8" s="1885"/>
      <c r="Z8" s="263" t="s">
        <v>699</v>
      </c>
      <c r="AA8" s="1883" t="s">
        <v>861</v>
      </c>
      <c r="AB8" s="1883"/>
      <c r="AC8" s="1884" t="s">
        <v>698</v>
      </c>
      <c r="AD8" s="1885"/>
      <c r="AE8" s="263" t="s">
        <v>546</v>
      </c>
    </row>
    <row r="9" spans="1:31" ht="16.5" customHeight="1" thickBot="1">
      <c r="B9" s="1892"/>
      <c r="C9" s="1893"/>
      <c r="D9" s="1893"/>
      <c r="E9" s="1894"/>
      <c r="F9" s="1888"/>
      <c r="G9" s="525" t="s">
        <v>547</v>
      </c>
      <c r="H9" s="526" t="s">
        <v>548</v>
      </c>
      <c r="I9" s="527" t="s">
        <v>547</v>
      </c>
      <c r="J9" s="528" t="s">
        <v>548</v>
      </c>
      <c r="K9" s="529" t="s">
        <v>32</v>
      </c>
      <c r="L9" s="525" t="s">
        <v>547</v>
      </c>
      <c r="M9" s="526" t="s">
        <v>548</v>
      </c>
      <c r="N9" s="527" t="s">
        <v>547</v>
      </c>
      <c r="O9" s="530" t="s">
        <v>548</v>
      </c>
      <c r="P9" s="531" t="s">
        <v>33</v>
      </c>
      <c r="Q9" s="525" t="s">
        <v>547</v>
      </c>
      <c r="R9" s="526" t="s">
        <v>548</v>
      </c>
      <c r="S9" s="527" t="s">
        <v>547</v>
      </c>
      <c r="T9" s="528" t="s">
        <v>548</v>
      </c>
      <c r="U9" s="529" t="s">
        <v>29</v>
      </c>
      <c r="V9" s="525" t="s">
        <v>547</v>
      </c>
      <c r="W9" s="526" t="s">
        <v>548</v>
      </c>
      <c r="X9" s="527" t="s">
        <v>547</v>
      </c>
      <c r="Y9" s="530" t="s">
        <v>548</v>
      </c>
      <c r="Z9" s="531" t="s">
        <v>34</v>
      </c>
      <c r="AA9" s="525" t="s">
        <v>547</v>
      </c>
      <c r="AB9" s="526" t="s">
        <v>548</v>
      </c>
      <c r="AC9" s="527" t="s">
        <v>547</v>
      </c>
      <c r="AD9" s="530" t="s">
        <v>548</v>
      </c>
      <c r="AE9" s="531" t="s">
        <v>35</v>
      </c>
    </row>
    <row r="10" spans="1:31">
      <c r="B10" s="266"/>
      <c r="C10" s="267" t="s">
        <v>465</v>
      </c>
      <c r="D10" s="267"/>
      <c r="E10" s="268"/>
      <c r="F10" s="269"/>
      <c r="G10" s="270"/>
      <c r="H10" s="271"/>
      <c r="I10" s="270"/>
      <c r="J10" s="272"/>
      <c r="K10" s="269"/>
      <c r="L10" s="270"/>
      <c r="M10" s="271"/>
      <c r="N10" s="270"/>
      <c r="O10" s="272"/>
      <c r="P10" s="269"/>
      <c r="Q10" s="270"/>
      <c r="R10" s="271"/>
      <c r="S10" s="270"/>
      <c r="T10" s="272"/>
      <c r="U10" s="269"/>
      <c r="V10" s="270"/>
      <c r="W10" s="271"/>
      <c r="X10" s="270"/>
      <c r="Y10" s="271"/>
      <c r="Z10" s="269"/>
      <c r="AA10" s="270"/>
      <c r="AB10" s="271"/>
      <c r="AC10" s="270"/>
      <c r="AD10" s="271"/>
      <c r="AE10" s="269"/>
    </row>
    <row r="11" spans="1:31">
      <c r="B11" s="266"/>
      <c r="C11" s="268"/>
      <c r="D11" s="273" t="s">
        <v>584</v>
      </c>
      <c r="E11" s="268"/>
      <c r="F11" s="274"/>
      <c r="G11" s="275"/>
      <c r="H11" s="276"/>
      <c r="I11" s="275"/>
      <c r="J11" s="277"/>
      <c r="K11" s="274"/>
      <c r="L11" s="275"/>
      <c r="M11" s="276"/>
      <c r="N11" s="275"/>
      <c r="O11" s="277"/>
      <c r="P11" s="274"/>
      <c r="Q11" s="275"/>
      <c r="R11" s="276"/>
      <c r="S11" s="275"/>
      <c r="T11" s="277"/>
      <c r="U11" s="278"/>
      <c r="V11" s="275"/>
      <c r="W11" s="276"/>
      <c r="X11" s="275"/>
      <c r="Y11" s="276"/>
      <c r="Z11" s="274"/>
      <c r="AA11" s="275"/>
      <c r="AB11" s="276"/>
      <c r="AC11" s="275"/>
      <c r="AD11" s="276"/>
      <c r="AE11" s="274"/>
    </row>
    <row r="12" spans="1:31">
      <c r="B12" s="279"/>
      <c r="C12" s="268"/>
      <c r="D12" s="268"/>
      <c r="E12" s="268" t="s">
        <v>466</v>
      </c>
      <c r="F12" s="280">
        <v>7568</v>
      </c>
      <c r="G12" s="281">
        <v>0</v>
      </c>
      <c r="H12" s="282">
        <v>0</v>
      </c>
      <c r="I12" s="281">
        <v>0</v>
      </c>
      <c r="J12" s="282">
        <v>0</v>
      </c>
      <c r="K12" s="280">
        <v>7568</v>
      </c>
      <c r="L12" s="281">
        <v>0</v>
      </c>
      <c r="M12" s="282">
        <v>155</v>
      </c>
      <c r="N12" s="281">
        <v>0</v>
      </c>
      <c r="O12" s="282">
        <v>113</v>
      </c>
      <c r="P12" s="280">
        <v>7526</v>
      </c>
      <c r="Q12" s="281">
        <v>0</v>
      </c>
      <c r="R12" s="282">
        <v>192</v>
      </c>
      <c r="S12" s="281">
        <v>0</v>
      </c>
      <c r="T12" s="282">
        <v>126</v>
      </c>
      <c r="U12" s="283">
        <v>7460</v>
      </c>
      <c r="V12" s="281">
        <v>0</v>
      </c>
      <c r="W12" s="282">
        <v>146</v>
      </c>
      <c r="X12" s="281">
        <v>0</v>
      </c>
      <c r="Y12" s="282">
        <v>141</v>
      </c>
      <c r="Z12" s="280">
        <v>7455</v>
      </c>
      <c r="AA12" s="281">
        <v>0</v>
      </c>
      <c r="AB12" s="282">
        <v>149</v>
      </c>
      <c r="AC12" s="281">
        <v>0</v>
      </c>
      <c r="AD12" s="282">
        <v>142</v>
      </c>
      <c r="AE12" s="280">
        <v>7448</v>
      </c>
    </row>
    <row r="13" spans="1:31">
      <c r="B13" s="279"/>
      <c r="C13" s="268"/>
      <c r="D13" s="268"/>
      <c r="E13" s="268" t="s">
        <v>467</v>
      </c>
      <c r="F13" s="280">
        <v>442000</v>
      </c>
      <c r="G13" s="281">
        <v>0</v>
      </c>
      <c r="H13" s="282">
        <v>10092</v>
      </c>
      <c r="I13" s="281">
        <v>0</v>
      </c>
      <c r="J13" s="284">
        <v>10092</v>
      </c>
      <c r="K13" s="280">
        <v>442000</v>
      </c>
      <c r="L13" s="281">
        <v>0</v>
      </c>
      <c r="M13" s="282">
        <v>9251</v>
      </c>
      <c r="N13" s="281">
        <v>0</v>
      </c>
      <c r="O13" s="284">
        <v>9251</v>
      </c>
      <c r="P13" s="280">
        <v>442000</v>
      </c>
      <c r="Q13" s="281">
        <v>0</v>
      </c>
      <c r="R13" s="282">
        <v>12616</v>
      </c>
      <c r="S13" s="281">
        <v>0</v>
      </c>
      <c r="T13" s="284">
        <v>12616</v>
      </c>
      <c r="U13" s="283">
        <v>442000</v>
      </c>
      <c r="V13" s="281">
        <v>0</v>
      </c>
      <c r="W13" s="282">
        <v>7000</v>
      </c>
      <c r="X13" s="281">
        <v>0</v>
      </c>
      <c r="Y13" s="282">
        <v>7000</v>
      </c>
      <c r="Z13" s="280">
        <v>442000</v>
      </c>
      <c r="AA13" s="281">
        <v>0</v>
      </c>
      <c r="AB13" s="282">
        <v>5000</v>
      </c>
      <c r="AC13" s="281">
        <v>0</v>
      </c>
      <c r="AD13" s="282">
        <v>5000</v>
      </c>
      <c r="AE13" s="280">
        <v>442000</v>
      </c>
    </row>
    <row r="14" spans="1:31">
      <c r="B14" s="279"/>
      <c r="C14" s="268"/>
      <c r="D14" s="268"/>
      <c r="E14" s="268"/>
      <c r="F14" s="285"/>
      <c r="G14" s="286"/>
      <c r="H14" s="287"/>
      <c r="I14" s="286"/>
      <c r="J14" s="288"/>
      <c r="K14" s="285"/>
      <c r="L14" s="286"/>
      <c r="M14" s="287"/>
      <c r="N14" s="286"/>
      <c r="O14" s="288"/>
      <c r="P14" s="285"/>
      <c r="Q14" s="286"/>
      <c r="R14" s="287"/>
      <c r="S14" s="286"/>
      <c r="T14" s="288"/>
      <c r="U14" s="289"/>
      <c r="V14" s="286"/>
      <c r="W14" s="287"/>
      <c r="X14" s="286"/>
      <c r="Y14" s="287"/>
      <c r="Z14" s="285"/>
      <c r="AA14" s="286"/>
      <c r="AB14" s="287"/>
      <c r="AC14" s="286"/>
      <c r="AD14" s="287"/>
      <c r="AE14" s="285"/>
    </row>
    <row r="15" spans="1:31">
      <c r="B15" s="279"/>
      <c r="C15" s="268"/>
      <c r="D15" s="273" t="s">
        <v>745</v>
      </c>
      <c r="E15" s="268"/>
      <c r="F15" s="285"/>
      <c r="G15" s="286"/>
      <c r="H15" s="287"/>
      <c r="I15" s="286"/>
      <c r="J15" s="288"/>
      <c r="K15" s="285"/>
      <c r="L15" s="286"/>
      <c r="M15" s="287"/>
      <c r="N15" s="286"/>
      <c r="O15" s="288"/>
      <c r="P15" s="285"/>
      <c r="Q15" s="286"/>
      <c r="R15" s="287"/>
      <c r="S15" s="286"/>
      <c r="T15" s="288"/>
      <c r="U15" s="289"/>
      <c r="V15" s="286"/>
      <c r="W15" s="287"/>
      <c r="X15" s="286"/>
      <c r="Y15" s="287"/>
      <c r="Z15" s="285"/>
      <c r="AA15" s="286"/>
      <c r="AB15" s="287"/>
      <c r="AC15" s="286"/>
      <c r="AD15" s="287"/>
      <c r="AE15" s="285"/>
    </row>
    <row r="16" spans="1:31">
      <c r="B16" s="279"/>
      <c r="C16" s="268"/>
      <c r="D16" s="268"/>
      <c r="E16" s="268" t="s">
        <v>746</v>
      </c>
      <c r="F16" s="280">
        <v>200230</v>
      </c>
      <c r="G16" s="281">
        <v>0</v>
      </c>
      <c r="H16" s="282">
        <v>1983</v>
      </c>
      <c r="I16" s="281">
        <v>0</v>
      </c>
      <c r="J16" s="284">
        <v>1966</v>
      </c>
      <c r="K16" s="280">
        <v>200213</v>
      </c>
      <c r="L16" s="281">
        <v>0</v>
      </c>
      <c r="M16" s="282">
        <v>2985</v>
      </c>
      <c r="N16" s="281">
        <v>0</v>
      </c>
      <c r="O16" s="284">
        <v>2470</v>
      </c>
      <c r="P16" s="280">
        <v>199698</v>
      </c>
      <c r="Q16" s="281">
        <v>0</v>
      </c>
      <c r="R16" s="282">
        <v>4498</v>
      </c>
      <c r="S16" s="281">
        <v>0</v>
      </c>
      <c r="T16" s="284">
        <v>3205</v>
      </c>
      <c r="U16" s="283">
        <v>198405</v>
      </c>
      <c r="V16" s="281">
        <v>0</v>
      </c>
      <c r="W16" s="282">
        <v>3040</v>
      </c>
      <c r="X16" s="281">
        <v>0</v>
      </c>
      <c r="Y16" s="282">
        <v>2940</v>
      </c>
      <c r="Z16" s="280">
        <v>198305</v>
      </c>
      <c r="AA16" s="281">
        <v>0</v>
      </c>
      <c r="AB16" s="282">
        <v>2900</v>
      </c>
      <c r="AC16" s="281">
        <v>0</v>
      </c>
      <c r="AD16" s="282">
        <v>2760</v>
      </c>
      <c r="AE16" s="280">
        <v>198165</v>
      </c>
    </row>
    <row r="17" spans="2:31">
      <c r="B17" s="279"/>
      <c r="C17" s="268"/>
      <c r="D17" s="268"/>
      <c r="E17" s="268"/>
      <c r="F17" s="285"/>
      <c r="G17" s="286"/>
      <c r="H17" s="287"/>
      <c r="I17" s="286"/>
      <c r="J17" s="288"/>
      <c r="K17" s="285"/>
      <c r="L17" s="286"/>
      <c r="M17" s="287"/>
      <c r="N17" s="286"/>
      <c r="O17" s="288"/>
      <c r="P17" s="285"/>
      <c r="Q17" s="286"/>
      <c r="R17" s="287"/>
      <c r="S17" s="286"/>
      <c r="T17" s="288"/>
      <c r="U17" s="289"/>
      <c r="V17" s="286"/>
      <c r="W17" s="287"/>
      <c r="X17" s="286"/>
      <c r="Y17" s="287"/>
      <c r="Z17" s="285"/>
      <c r="AA17" s="286"/>
      <c r="AB17" s="287"/>
      <c r="AC17" s="286"/>
      <c r="AD17" s="287"/>
      <c r="AE17" s="285"/>
    </row>
    <row r="18" spans="2:31">
      <c r="B18" s="279"/>
      <c r="C18" s="268"/>
      <c r="D18" s="273" t="s">
        <v>878</v>
      </c>
      <c r="E18" s="268"/>
      <c r="F18" s="285"/>
      <c r="G18" s="286"/>
      <c r="H18" s="287"/>
      <c r="I18" s="286"/>
      <c r="J18" s="288"/>
      <c r="K18" s="285"/>
      <c r="L18" s="286"/>
      <c r="M18" s="287"/>
      <c r="N18" s="286"/>
      <c r="O18" s="288"/>
      <c r="P18" s="285"/>
      <c r="Q18" s="286"/>
      <c r="R18" s="287"/>
      <c r="S18" s="286"/>
      <c r="T18" s="288"/>
      <c r="U18" s="289"/>
      <c r="V18" s="286"/>
      <c r="W18" s="287"/>
      <c r="X18" s="286"/>
      <c r="Y18" s="287"/>
      <c r="Z18" s="285"/>
      <c r="AA18" s="286"/>
      <c r="AB18" s="287"/>
      <c r="AC18" s="286"/>
      <c r="AD18" s="287"/>
      <c r="AE18" s="285"/>
    </row>
    <row r="19" spans="2:31">
      <c r="B19" s="279"/>
      <c r="C19" s="268"/>
      <c r="D19" s="273"/>
      <c r="E19" s="268" t="s">
        <v>773</v>
      </c>
      <c r="F19" s="280">
        <v>2821.0220000000004</v>
      </c>
      <c r="G19" s="281">
        <v>0</v>
      </c>
      <c r="H19" s="282">
        <v>6</v>
      </c>
      <c r="I19" s="281">
        <v>0</v>
      </c>
      <c r="J19" s="284">
        <v>0</v>
      </c>
      <c r="K19" s="280">
        <v>2815.0220000000004</v>
      </c>
      <c r="L19" s="281">
        <v>0</v>
      </c>
      <c r="M19" s="282">
        <v>14.8</v>
      </c>
      <c r="N19" s="281">
        <v>0</v>
      </c>
      <c r="O19" s="284">
        <v>0</v>
      </c>
      <c r="P19" s="280">
        <v>2800.2220000000002</v>
      </c>
      <c r="Q19" s="281">
        <v>0</v>
      </c>
      <c r="R19" s="282">
        <v>12.4</v>
      </c>
      <c r="S19" s="281">
        <v>0</v>
      </c>
      <c r="T19" s="284">
        <v>0</v>
      </c>
      <c r="U19" s="283">
        <v>2787.8220000000001</v>
      </c>
      <c r="V19" s="281">
        <v>0</v>
      </c>
      <c r="W19" s="282">
        <v>30</v>
      </c>
      <c r="X19" s="281">
        <v>0</v>
      </c>
      <c r="Y19" s="282">
        <v>0</v>
      </c>
      <c r="Z19" s="280">
        <v>2757.8220000000001</v>
      </c>
      <c r="AA19" s="281">
        <v>0</v>
      </c>
      <c r="AB19" s="282">
        <v>30</v>
      </c>
      <c r="AC19" s="281">
        <v>0</v>
      </c>
      <c r="AD19" s="282">
        <v>0</v>
      </c>
      <c r="AE19" s="280">
        <v>2727.8220000000001</v>
      </c>
    </row>
    <row r="20" spans="2:31">
      <c r="B20" s="279"/>
      <c r="C20" s="268"/>
      <c r="D20" s="273"/>
      <c r="E20" s="268" t="s">
        <v>634</v>
      </c>
      <c r="F20" s="280">
        <v>3658.9999999999991</v>
      </c>
      <c r="G20" s="281">
        <v>0</v>
      </c>
      <c r="H20" s="282">
        <v>0</v>
      </c>
      <c r="I20" s="281">
        <v>471</v>
      </c>
      <c r="J20" s="284">
        <v>6</v>
      </c>
      <c r="K20" s="280">
        <v>4135.9999999999991</v>
      </c>
      <c r="L20" s="281">
        <v>0</v>
      </c>
      <c r="M20" s="282">
        <v>0.9</v>
      </c>
      <c r="N20" s="281">
        <v>217.7</v>
      </c>
      <c r="O20" s="284">
        <v>24.9</v>
      </c>
      <c r="P20" s="280">
        <v>4377.7</v>
      </c>
      <c r="Q20" s="281">
        <v>0</v>
      </c>
      <c r="R20" s="282">
        <v>1.5</v>
      </c>
      <c r="S20" s="281">
        <v>161.6</v>
      </c>
      <c r="T20" s="284">
        <v>25.4</v>
      </c>
      <c r="U20" s="283">
        <v>4563.2</v>
      </c>
      <c r="V20" s="281">
        <v>0</v>
      </c>
      <c r="W20" s="282">
        <v>0</v>
      </c>
      <c r="X20" s="281">
        <v>162</v>
      </c>
      <c r="Y20" s="282">
        <v>38</v>
      </c>
      <c r="Z20" s="280">
        <v>4763.2</v>
      </c>
      <c r="AA20" s="281">
        <v>0</v>
      </c>
      <c r="AB20" s="282">
        <v>0</v>
      </c>
      <c r="AC20" s="281">
        <v>154</v>
      </c>
      <c r="AD20" s="282">
        <v>40</v>
      </c>
      <c r="AE20" s="280">
        <v>4957.2</v>
      </c>
    </row>
    <row r="21" spans="2:31">
      <c r="B21" s="279"/>
      <c r="C21" s="268"/>
      <c r="D21" s="273"/>
      <c r="E21" s="268" t="s">
        <v>635</v>
      </c>
      <c r="F21" s="280">
        <v>6418</v>
      </c>
      <c r="G21" s="281">
        <v>0</v>
      </c>
      <c r="H21" s="282">
        <v>0</v>
      </c>
      <c r="I21" s="281">
        <v>0</v>
      </c>
      <c r="J21" s="284">
        <v>0</v>
      </c>
      <c r="K21" s="280">
        <v>6418</v>
      </c>
      <c r="L21" s="281">
        <v>0</v>
      </c>
      <c r="M21" s="282">
        <v>9.1999999999999993</v>
      </c>
      <c r="N21" s="281">
        <v>0</v>
      </c>
      <c r="O21" s="284">
        <v>0</v>
      </c>
      <c r="P21" s="280">
        <v>6408.8</v>
      </c>
      <c r="Q21" s="281">
        <v>0</v>
      </c>
      <c r="R21" s="282">
        <v>11.5</v>
      </c>
      <c r="S21" s="281">
        <v>0</v>
      </c>
      <c r="T21" s="284">
        <v>0</v>
      </c>
      <c r="U21" s="283">
        <v>6397.3</v>
      </c>
      <c r="V21" s="281">
        <v>0</v>
      </c>
      <c r="W21" s="282">
        <v>3</v>
      </c>
      <c r="X21" s="281">
        <v>0</v>
      </c>
      <c r="Y21" s="282">
        <v>0</v>
      </c>
      <c r="Z21" s="280">
        <v>6394.3</v>
      </c>
      <c r="AA21" s="281">
        <v>0</v>
      </c>
      <c r="AB21" s="282">
        <v>3</v>
      </c>
      <c r="AC21" s="281">
        <v>0</v>
      </c>
      <c r="AD21" s="282">
        <v>0</v>
      </c>
      <c r="AE21" s="280">
        <v>6391.3</v>
      </c>
    </row>
    <row r="22" spans="2:31">
      <c r="B22" s="279"/>
      <c r="C22" s="268"/>
      <c r="D22" s="273"/>
      <c r="E22" s="268" t="s">
        <v>636</v>
      </c>
      <c r="F22" s="280">
        <v>1010046</v>
      </c>
      <c r="G22" s="281">
        <v>0</v>
      </c>
      <c r="H22" s="282">
        <v>0</v>
      </c>
      <c r="I22" s="281">
        <v>17154</v>
      </c>
      <c r="J22" s="284">
        <v>0</v>
      </c>
      <c r="K22" s="280">
        <v>1027200</v>
      </c>
      <c r="L22" s="281">
        <v>0</v>
      </c>
      <c r="M22" s="282">
        <v>0</v>
      </c>
      <c r="N22" s="281">
        <v>19392</v>
      </c>
      <c r="O22" s="284">
        <v>0</v>
      </c>
      <c r="P22" s="280">
        <v>1046592</v>
      </c>
      <c r="Q22" s="281">
        <v>0</v>
      </c>
      <c r="R22" s="282">
        <v>0</v>
      </c>
      <c r="S22" s="281">
        <v>16006</v>
      </c>
      <c r="T22" s="284">
        <v>0</v>
      </c>
      <c r="U22" s="283">
        <v>1062598</v>
      </c>
      <c r="V22" s="281">
        <v>0</v>
      </c>
      <c r="W22" s="282">
        <v>3000</v>
      </c>
      <c r="X22" s="281">
        <v>15042</v>
      </c>
      <c r="Y22" s="282">
        <v>3000</v>
      </c>
      <c r="Z22" s="280">
        <v>1077640</v>
      </c>
      <c r="AA22" s="281">
        <v>0</v>
      </c>
      <c r="AB22" s="282">
        <v>3000</v>
      </c>
      <c r="AC22" s="281">
        <v>14283</v>
      </c>
      <c r="AD22" s="282">
        <v>3000</v>
      </c>
      <c r="AE22" s="280">
        <v>1091923</v>
      </c>
    </row>
    <row r="23" spans="2:31">
      <c r="B23" s="279"/>
      <c r="C23" s="268"/>
      <c r="D23" s="268"/>
      <c r="E23" s="268"/>
      <c r="F23" s="285"/>
      <c r="G23" s="286"/>
      <c r="H23" s="287"/>
      <c r="I23" s="286"/>
      <c r="J23" s="288"/>
      <c r="K23" s="285"/>
      <c r="L23" s="286"/>
      <c r="M23" s="287"/>
      <c r="N23" s="286"/>
      <c r="O23" s="288"/>
      <c r="P23" s="285"/>
      <c r="Q23" s="286"/>
      <c r="R23" s="287"/>
      <c r="S23" s="286"/>
      <c r="T23" s="288"/>
      <c r="U23" s="289"/>
      <c r="V23" s="286"/>
      <c r="W23" s="287"/>
      <c r="X23" s="286"/>
      <c r="Y23" s="287"/>
      <c r="Z23" s="285"/>
      <c r="AA23" s="286"/>
      <c r="AB23" s="287"/>
      <c r="AC23" s="286"/>
      <c r="AD23" s="287"/>
      <c r="AE23" s="285"/>
    </row>
    <row r="24" spans="2:31">
      <c r="B24" s="279"/>
      <c r="C24" s="268"/>
      <c r="D24" s="273" t="s">
        <v>637</v>
      </c>
      <c r="E24" s="268"/>
      <c r="F24" s="285"/>
      <c r="G24" s="286"/>
      <c r="H24" s="287"/>
      <c r="I24" s="286"/>
      <c r="J24" s="288"/>
      <c r="K24" s="285"/>
      <c r="L24" s="286"/>
      <c r="M24" s="287"/>
      <c r="N24" s="286"/>
      <c r="O24" s="288"/>
      <c r="P24" s="285"/>
      <c r="Q24" s="286"/>
      <c r="R24" s="287"/>
      <c r="S24" s="286"/>
      <c r="T24" s="288"/>
      <c r="U24" s="289"/>
      <c r="V24" s="286"/>
      <c r="W24" s="287"/>
      <c r="X24" s="286"/>
      <c r="Y24" s="287"/>
      <c r="Z24" s="285"/>
      <c r="AA24" s="286"/>
      <c r="AB24" s="287"/>
      <c r="AC24" s="286"/>
      <c r="AD24" s="287"/>
      <c r="AE24" s="285"/>
    </row>
    <row r="25" spans="2:31">
      <c r="B25" s="279"/>
      <c r="C25" s="268"/>
      <c r="D25" s="273"/>
      <c r="E25" s="268" t="s">
        <v>638</v>
      </c>
      <c r="F25" s="280">
        <v>6133</v>
      </c>
      <c r="G25" s="281">
        <v>0</v>
      </c>
      <c r="H25" s="282">
        <v>1</v>
      </c>
      <c r="I25" s="281">
        <v>85</v>
      </c>
      <c r="J25" s="284">
        <v>146</v>
      </c>
      <c r="K25" s="280">
        <v>6363</v>
      </c>
      <c r="L25" s="281">
        <v>0</v>
      </c>
      <c r="M25" s="282">
        <v>13</v>
      </c>
      <c r="N25" s="281">
        <v>61</v>
      </c>
      <c r="O25" s="284">
        <v>124</v>
      </c>
      <c r="P25" s="280">
        <v>6535</v>
      </c>
      <c r="Q25" s="281">
        <v>0</v>
      </c>
      <c r="R25" s="282">
        <v>29</v>
      </c>
      <c r="S25" s="281">
        <v>93</v>
      </c>
      <c r="T25" s="284">
        <v>140</v>
      </c>
      <c r="U25" s="283">
        <v>6739</v>
      </c>
      <c r="V25" s="281">
        <v>0</v>
      </c>
      <c r="W25" s="282">
        <v>0</v>
      </c>
      <c r="X25" s="281">
        <v>64</v>
      </c>
      <c r="Y25" s="282">
        <v>0</v>
      </c>
      <c r="Z25" s="280">
        <v>6803</v>
      </c>
      <c r="AA25" s="281">
        <v>0</v>
      </c>
      <c r="AB25" s="282">
        <v>0</v>
      </c>
      <c r="AC25" s="281">
        <v>61</v>
      </c>
      <c r="AD25" s="282">
        <v>0</v>
      </c>
      <c r="AE25" s="280">
        <v>6864</v>
      </c>
    </row>
    <row r="26" spans="2:31">
      <c r="B26" s="279"/>
      <c r="C26" s="268"/>
      <c r="D26" s="273"/>
      <c r="E26" s="268" t="s">
        <v>639</v>
      </c>
      <c r="F26" s="280">
        <v>3572</v>
      </c>
      <c r="G26" s="281">
        <v>43</v>
      </c>
      <c r="H26" s="282">
        <v>19</v>
      </c>
      <c r="I26" s="281">
        <v>1</v>
      </c>
      <c r="J26" s="284">
        <v>19</v>
      </c>
      <c r="K26" s="280">
        <v>3530</v>
      </c>
      <c r="L26" s="281">
        <v>54</v>
      </c>
      <c r="M26" s="282">
        <v>24</v>
      </c>
      <c r="N26" s="281">
        <v>1</v>
      </c>
      <c r="O26" s="284">
        <v>24</v>
      </c>
      <c r="P26" s="280">
        <v>3477</v>
      </c>
      <c r="Q26" s="281">
        <v>59</v>
      </c>
      <c r="R26" s="282">
        <v>26</v>
      </c>
      <c r="S26" s="281">
        <v>1</v>
      </c>
      <c r="T26" s="284">
        <v>26</v>
      </c>
      <c r="U26" s="283">
        <v>3419</v>
      </c>
      <c r="V26" s="281">
        <v>48</v>
      </c>
      <c r="W26" s="282">
        <v>25</v>
      </c>
      <c r="X26" s="281">
        <v>1</v>
      </c>
      <c r="Y26" s="282">
        <v>25</v>
      </c>
      <c r="Z26" s="280">
        <v>3372</v>
      </c>
      <c r="AA26" s="281">
        <v>45</v>
      </c>
      <c r="AB26" s="282">
        <v>25</v>
      </c>
      <c r="AC26" s="281">
        <v>1</v>
      </c>
      <c r="AD26" s="282">
        <v>25</v>
      </c>
      <c r="AE26" s="280">
        <v>3328</v>
      </c>
    </row>
    <row r="27" spans="2:31">
      <c r="B27" s="279"/>
      <c r="C27" s="268"/>
      <c r="D27" s="273"/>
      <c r="E27" s="268" t="s">
        <v>758</v>
      </c>
      <c r="F27" s="280">
        <v>1567</v>
      </c>
      <c r="G27" s="281">
        <v>5</v>
      </c>
      <c r="H27" s="282">
        <v>8</v>
      </c>
      <c r="I27" s="281">
        <v>4</v>
      </c>
      <c r="J27" s="284">
        <v>8</v>
      </c>
      <c r="K27" s="280">
        <v>1566</v>
      </c>
      <c r="L27" s="281">
        <v>4</v>
      </c>
      <c r="M27" s="282">
        <v>11</v>
      </c>
      <c r="N27" s="281">
        <v>7</v>
      </c>
      <c r="O27" s="284">
        <v>11</v>
      </c>
      <c r="P27" s="280">
        <v>1569</v>
      </c>
      <c r="Q27" s="281">
        <v>0</v>
      </c>
      <c r="R27" s="282">
        <v>6</v>
      </c>
      <c r="S27" s="281">
        <v>3</v>
      </c>
      <c r="T27" s="284">
        <v>9</v>
      </c>
      <c r="U27" s="283">
        <v>1575</v>
      </c>
      <c r="V27" s="281">
        <v>2</v>
      </c>
      <c r="W27" s="282">
        <v>0</v>
      </c>
      <c r="X27" s="281">
        <v>4</v>
      </c>
      <c r="Y27" s="282">
        <v>0</v>
      </c>
      <c r="Z27" s="280">
        <v>1577</v>
      </c>
      <c r="AA27" s="281">
        <v>2</v>
      </c>
      <c r="AB27" s="282">
        <v>0</v>
      </c>
      <c r="AC27" s="281">
        <v>4</v>
      </c>
      <c r="AD27" s="282">
        <v>0</v>
      </c>
      <c r="AE27" s="280">
        <v>1579</v>
      </c>
    </row>
    <row r="28" spans="2:31">
      <c r="B28" s="279"/>
      <c r="C28" s="268"/>
      <c r="D28" s="273"/>
      <c r="E28" s="268" t="s">
        <v>759</v>
      </c>
      <c r="F28" s="280">
        <v>11426</v>
      </c>
      <c r="G28" s="281">
        <v>40</v>
      </c>
      <c r="H28" s="282">
        <v>0</v>
      </c>
      <c r="I28" s="281">
        <v>59</v>
      </c>
      <c r="J28" s="284">
        <v>67</v>
      </c>
      <c r="K28" s="280">
        <v>11512</v>
      </c>
      <c r="L28" s="281">
        <v>0</v>
      </c>
      <c r="M28" s="282">
        <v>32</v>
      </c>
      <c r="N28" s="281">
        <v>47</v>
      </c>
      <c r="O28" s="284">
        <v>57</v>
      </c>
      <c r="P28" s="280">
        <v>11584</v>
      </c>
      <c r="Q28" s="281">
        <v>0</v>
      </c>
      <c r="R28" s="282">
        <v>23</v>
      </c>
      <c r="S28" s="281">
        <v>52</v>
      </c>
      <c r="T28" s="284">
        <v>56</v>
      </c>
      <c r="U28" s="283">
        <v>11669</v>
      </c>
      <c r="V28" s="281">
        <v>0</v>
      </c>
      <c r="W28" s="282">
        <v>0</v>
      </c>
      <c r="X28" s="281">
        <v>42</v>
      </c>
      <c r="Y28" s="282">
        <v>0</v>
      </c>
      <c r="Z28" s="280">
        <v>11711</v>
      </c>
      <c r="AA28" s="281">
        <v>0</v>
      </c>
      <c r="AB28" s="282">
        <v>0</v>
      </c>
      <c r="AC28" s="281">
        <v>40</v>
      </c>
      <c r="AD28" s="282">
        <v>0</v>
      </c>
      <c r="AE28" s="280">
        <v>11751</v>
      </c>
    </row>
    <row r="29" spans="2:31">
      <c r="B29" s="279"/>
      <c r="C29" s="268"/>
      <c r="D29" s="273"/>
      <c r="E29" s="268" t="s">
        <v>41</v>
      </c>
      <c r="F29" s="280">
        <v>37452</v>
      </c>
      <c r="G29" s="281">
        <v>347</v>
      </c>
      <c r="H29" s="282">
        <v>0</v>
      </c>
      <c r="I29" s="281">
        <v>776</v>
      </c>
      <c r="J29" s="284">
        <v>0</v>
      </c>
      <c r="K29" s="280">
        <v>37881</v>
      </c>
      <c r="L29" s="281">
        <v>0</v>
      </c>
      <c r="M29" s="282">
        <v>0</v>
      </c>
      <c r="N29" s="281">
        <v>0</v>
      </c>
      <c r="O29" s="284">
        <v>0</v>
      </c>
      <c r="P29" s="280">
        <v>37881</v>
      </c>
      <c r="Q29" s="281">
        <v>0</v>
      </c>
      <c r="R29" s="282">
        <v>0</v>
      </c>
      <c r="S29" s="281">
        <v>0</v>
      </c>
      <c r="T29" s="284">
        <v>0</v>
      </c>
      <c r="U29" s="283">
        <v>37881</v>
      </c>
      <c r="V29" s="281">
        <v>0</v>
      </c>
      <c r="W29" s="282">
        <v>0</v>
      </c>
      <c r="X29" s="281">
        <v>0</v>
      </c>
      <c r="Y29" s="282">
        <v>0</v>
      </c>
      <c r="Z29" s="280">
        <v>37881</v>
      </c>
      <c r="AA29" s="281">
        <v>0</v>
      </c>
      <c r="AB29" s="282">
        <v>0</v>
      </c>
      <c r="AC29" s="281">
        <v>0</v>
      </c>
      <c r="AD29" s="282">
        <v>0</v>
      </c>
      <c r="AE29" s="280">
        <v>37881</v>
      </c>
    </row>
    <row r="30" spans="2:31">
      <c r="B30" s="279"/>
      <c r="C30" s="268"/>
      <c r="D30" s="273"/>
      <c r="E30" s="268" t="s">
        <v>42</v>
      </c>
      <c r="F30" s="280">
        <v>899</v>
      </c>
      <c r="G30" s="281">
        <v>8</v>
      </c>
      <c r="H30" s="282">
        <v>0</v>
      </c>
      <c r="I30" s="281">
        <v>0</v>
      </c>
      <c r="J30" s="284">
        <v>0</v>
      </c>
      <c r="K30" s="280">
        <v>891</v>
      </c>
      <c r="L30" s="281">
        <v>18</v>
      </c>
      <c r="M30" s="282">
        <v>0</v>
      </c>
      <c r="N30" s="281">
        <v>0</v>
      </c>
      <c r="O30" s="284">
        <v>0</v>
      </c>
      <c r="P30" s="280">
        <v>873</v>
      </c>
      <c r="Q30" s="281">
        <v>0</v>
      </c>
      <c r="R30" s="282">
        <v>0</v>
      </c>
      <c r="S30" s="281">
        <v>0</v>
      </c>
      <c r="T30" s="284">
        <v>1</v>
      </c>
      <c r="U30" s="283">
        <v>874</v>
      </c>
      <c r="V30" s="281">
        <v>8</v>
      </c>
      <c r="W30" s="282">
        <v>0</v>
      </c>
      <c r="X30" s="281">
        <v>0</v>
      </c>
      <c r="Y30" s="282">
        <v>0</v>
      </c>
      <c r="Z30" s="280">
        <v>866</v>
      </c>
      <c r="AA30" s="281">
        <v>8</v>
      </c>
      <c r="AB30" s="282">
        <v>0</v>
      </c>
      <c r="AC30" s="281">
        <v>0</v>
      </c>
      <c r="AD30" s="282">
        <v>0</v>
      </c>
      <c r="AE30" s="280">
        <v>858</v>
      </c>
    </row>
    <row r="31" spans="2:31" ht="13.5" thickBot="1">
      <c r="B31" s="264"/>
      <c r="C31" s="265"/>
      <c r="D31" s="265"/>
      <c r="E31" s="265"/>
      <c r="F31" s="290"/>
      <c r="G31" s="291"/>
      <c r="H31" s="292"/>
      <c r="I31" s="291"/>
      <c r="J31" s="293"/>
      <c r="K31" s="294"/>
      <c r="L31" s="291"/>
      <c r="M31" s="292"/>
      <c r="N31" s="291"/>
      <c r="O31" s="293"/>
      <c r="P31" s="294"/>
      <c r="Q31" s="291"/>
      <c r="R31" s="292"/>
      <c r="S31" s="291"/>
      <c r="T31" s="293"/>
      <c r="U31" s="295"/>
      <c r="V31" s="291"/>
      <c r="W31" s="292"/>
      <c r="X31" s="291"/>
      <c r="Y31" s="292"/>
      <c r="Z31" s="294"/>
      <c r="AA31" s="291"/>
      <c r="AB31" s="292"/>
      <c r="AC31" s="291"/>
      <c r="AD31" s="292"/>
      <c r="AE31" s="294"/>
    </row>
    <row r="32" spans="2:31">
      <c r="B32" s="296"/>
      <c r="C32" s="297" t="s">
        <v>43</v>
      </c>
      <c r="D32" s="297"/>
      <c r="E32" s="298"/>
      <c r="F32" s="285"/>
      <c r="G32" s="286"/>
      <c r="H32" s="287"/>
      <c r="I32" s="286"/>
      <c r="J32" s="288"/>
      <c r="K32" s="285"/>
      <c r="L32" s="286"/>
      <c r="M32" s="287"/>
      <c r="N32" s="286"/>
      <c r="O32" s="288"/>
      <c r="P32" s="285"/>
      <c r="Q32" s="286"/>
      <c r="R32" s="287"/>
      <c r="S32" s="286"/>
      <c r="T32" s="288"/>
      <c r="U32" s="289"/>
      <c r="V32" s="286"/>
      <c r="W32" s="287"/>
      <c r="X32" s="286"/>
      <c r="Y32" s="287"/>
      <c r="Z32" s="285"/>
      <c r="AA32" s="286"/>
      <c r="AB32" s="287"/>
      <c r="AC32" s="286"/>
      <c r="AD32" s="287"/>
      <c r="AE32" s="285"/>
    </row>
    <row r="33" spans="2:31">
      <c r="B33" s="279"/>
      <c r="C33" s="268"/>
      <c r="D33" s="273" t="s">
        <v>584</v>
      </c>
      <c r="E33" s="268"/>
      <c r="F33" s="285"/>
      <c r="G33" s="286"/>
      <c r="H33" s="287"/>
      <c r="I33" s="286"/>
      <c r="J33" s="288"/>
      <c r="K33" s="285"/>
      <c r="L33" s="286"/>
      <c r="M33" s="287"/>
      <c r="N33" s="286"/>
      <c r="O33" s="288"/>
      <c r="P33" s="285"/>
      <c r="Q33" s="286"/>
      <c r="R33" s="287"/>
      <c r="S33" s="286"/>
      <c r="T33" s="288"/>
      <c r="U33" s="289"/>
      <c r="V33" s="286"/>
      <c r="W33" s="287"/>
      <c r="X33" s="286"/>
      <c r="Y33" s="287"/>
      <c r="Z33" s="285"/>
      <c r="AA33" s="286"/>
      <c r="AB33" s="287"/>
      <c r="AC33" s="286"/>
      <c r="AD33" s="287"/>
      <c r="AE33" s="285"/>
    </row>
    <row r="34" spans="2:31">
      <c r="B34" s="279"/>
      <c r="C34" s="268"/>
      <c r="D34" s="273"/>
      <c r="E34" s="268" t="s">
        <v>44</v>
      </c>
      <c r="F34" s="280">
        <v>16628</v>
      </c>
      <c r="G34" s="281">
        <v>0</v>
      </c>
      <c r="H34" s="282">
        <v>34</v>
      </c>
      <c r="I34" s="281">
        <v>0</v>
      </c>
      <c r="J34" s="284">
        <v>25</v>
      </c>
      <c r="K34" s="280">
        <v>16619</v>
      </c>
      <c r="L34" s="281">
        <v>0</v>
      </c>
      <c r="M34" s="282">
        <v>181</v>
      </c>
      <c r="N34" s="281">
        <v>0</v>
      </c>
      <c r="O34" s="284">
        <v>178</v>
      </c>
      <c r="P34" s="280">
        <v>16616</v>
      </c>
      <c r="Q34" s="281">
        <v>0</v>
      </c>
      <c r="R34" s="282">
        <v>111</v>
      </c>
      <c r="S34" s="281">
        <v>0</v>
      </c>
      <c r="T34" s="284">
        <v>86</v>
      </c>
      <c r="U34" s="283">
        <v>16591</v>
      </c>
      <c r="V34" s="281">
        <v>0</v>
      </c>
      <c r="W34" s="282">
        <v>180</v>
      </c>
      <c r="X34" s="281">
        <v>0</v>
      </c>
      <c r="Y34" s="282">
        <v>180</v>
      </c>
      <c r="Z34" s="280">
        <v>16591</v>
      </c>
      <c r="AA34" s="281">
        <v>0</v>
      </c>
      <c r="AB34" s="282">
        <v>180</v>
      </c>
      <c r="AC34" s="281">
        <v>0</v>
      </c>
      <c r="AD34" s="282">
        <v>180</v>
      </c>
      <c r="AE34" s="280">
        <v>16591</v>
      </c>
    </row>
    <row r="35" spans="2:31">
      <c r="B35" s="279"/>
      <c r="C35" s="268"/>
      <c r="D35" s="273"/>
      <c r="E35" s="268" t="s">
        <v>45</v>
      </c>
      <c r="F35" s="280">
        <v>0</v>
      </c>
      <c r="G35" s="281">
        <v>0</v>
      </c>
      <c r="H35" s="282">
        <v>0</v>
      </c>
      <c r="I35" s="281">
        <v>0</v>
      </c>
      <c r="J35" s="284">
        <v>0</v>
      </c>
      <c r="K35" s="280">
        <v>0</v>
      </c>
      <c r="L35" s="281">
        <v>0</v>
      </c>
      <c r="M35" s="282">
        <v>0</v>
      </c>
      <c r="N35" s="281">
        <v>0</v>
      </c>
      <c r="O35" s="284">
        <v>0</v>
      </c>
      <c r="P35" s="280">
        <v>0</v>
      </c>
      <c r="Q35" s="281">
        <v>0</v>
      </c>
      <c r="R35" s="282">
        <v>0</v>
      </c>
      <c r="S35" s="281">
        <v>0</v>
      </c>
      <c r="T35" s="284">
        <v>0</v>
      </c>
      <c r="U35" s="283">
        <v>0</v>
      </c>
      <c r="V35" s="281">
        <v>0</v>
      </c>
      <c r="W35" s="282">
        <v>0</v>
      </c>
      <c r="X35" s="281">
        <v>0</v>
      </c>
      <c r="Y35" s="282">
        <v>0</v>
      </c>
      <c r="Z35" s="280">
        <v>0</v>
      </c>
      <c r="AA35" s="281">
        <v>0</v>
      </c>
      <c r="AB35" s="282">
        <v>0</v>
      </c>
      <c r="AC35" s="281">
        <v>0</v>
      </c>
      <c r="AD35" s="282">
        <v>0</v>
      </c>
      <c r="AE35" s="280">
        <v>0</v>
      </c>
    </row>
    <row r="36" spans="2:31">
      <c r="B36" s="279"/>
      <c r="C36" s="268"/>
      <c r="D36" s="268"/>
      <c r="E36" s="268" t="s">
        <v>46</v>
      </c>
      <c r="F36" s="280">
        <v>0</v>
      </c>
      <c r="G36" s="281">
        <v>0</v>
      </c>
      <c r="H36" s="282">
        <v>0</v>
      </c>
      <c r="I36" s="281">
        <v>0</v>
      </c>
      <c r="J36" s="284">
        <v>0</v>
      </c>
      <c r="K36" s="280">
        <v>0</v>
      </c>
      <c r="L36" s="281">
        <v>0</v>
      </c>
      <c r="M36" s="282">
        <v>0</v>
      </c>
      <c r="N36" s="281">
        <v>0</v>
      </c>
      <c r="O36" s="284">
        <v>0</v>
      </c>
      <c r="P36" s="280">
        <v>0</v>
      </c>
      <c r="Q36" s="281">
        <v>0</v>
      </c>
      <c r="R36" s="282">
        <v>0</v>
      </c>
      <c r="S36" s="281">
        <v>0</v>
      </c>
      <c r="T36" s="284">
        <v>0</v>
      </c>
      <c r="U36" s="283">
        <v>0</v>
      </c>
      <c r="V36" s="281">
        <v>0</v>
      </c>
      <c r="W36" s="282">
        <v>0</v>
      </c>
      <c r="X36" s="281">
        <v>0</v>
      </c>
      <c r="Y36" s="282">
        <v>0</v>
      </c>
      <c r="Z36" s="280">
        <v>0</v>
      </c>
      <c r="AA36" s="281">
        <v>0</v>
      </c>
      <c r="AB36" s="282">
        <v>0</v>
      </c>
      <c r="AC36" s="281">
        <v>0</v>
      </c>
      <c r="AD36" s="282">
        <v>0</v>
      </c>
      <c r="AE36" s="280">
        <v>0</v>
      </c>
    </row>
    <row r="37" spans="2:31">
      <c r="B37" s="279"/>
      <c r="C37" s="268"/>
      <c r="D37" s="268"/>
      <c r="E37" s="268" t="s">
        <v>649</v>
      </c>
      <c r="F37" s="280">
        <v>0</v>
      </c>
      <c r="G37" s="281">
        <v>0</v>
      </c>
      <c r="H37" s="282">
        <v>0</v>
      </c>
      <c r="I37" s="281">
        <v>0</v>
      </c>
      <c r="J37" s="284">
        <v>0</v>
      </c>
      <c r="K37" s="280">
        <v>0</v>
      </c>
      <c r="L37" s="281">
        <v>0</v>
      </c>
      <c r="M37" s="282">
        <v>0</v>
      </c>
      <c r="N37" s="281">
        <v>0</v>
      </c>
      <c r="O37" s="284">
        <v>0</v>
      </c>
      <c r="P37" s="280">
        <v>0</v>
      </c>
      <c r="Q37" s="281">
        <v>0</v>
      </c>
      <c r="R37" s="282">
        <v>0</v>
      </c>
      <c r="S37" s="281">
        <v>0</v>
      </c>
      <c r="T37" s="284">
        <v>0</v>
      </c>
      <c r="U37" s="283">
        <v>0</v>
      </c>
      <c r="V37" s="281">
        <v>0</v>
      </c>
      <c r="W37" s="282">
        <v>0</v>
      </c>
      <c r="X37" s="281">
        <v>0</v>
      </c>
      <c r="Y37" s="282">
        <v>0</v>
      </c>
      <c r="Z37" s="280">
        <v>0</v>
      </c>
      <c r="AA37" s="281">
        <v>0</v>
      </c>
      <c r="AB37" s="282">
        <v>0</v>
      </c>
      <c r="AC37" s="281">
        <v>0</v>
      </c>
      <c r="AD37" s="282">
        <v>0</v>
      </c>
      <c r="AE37" s="280">
        <v>0</v>
      </c>
    </row>
    <row r="38" spans="2:31">
      <c r="B38" s="279"/>
      <c r="C38" s="268"/>
      <c r="D38" s="268"/>
      <c r="E38" s="268"/>
      <c r="F38" s="285"/>
      <c r="G38" s="286"/>
      <c r="H38" s="287"/>
      <c r="I38" s="286"/>
      <c r="J38" s="288"/>
      <c r="K38" s="285"/>
      <c r="L38" s="286"/>
      <c r="M38" s="287"/>
      <c r="N38" s="286"/>
      <c r="O38" s="288"/>
      <c r="P38" s="285"/>
      <c r="Q38" s="286"/>
      <c r="R38" s="287"/>
      <c r="S38" s="286"/>
      <c r="T38" s="288"/>
      <c r="U38" s="289"/>
      <c r="V38" s="286"/>
      <c r="W38" s="287"/>
      <c r="X38" s="286"/>
      <c r="Y38" s="287"/>
      <c r="Z38" s="285"/>
      <c r="AA38" s="286"/>
      <c r="AB38" s="287"/>
      <c r="AC38" s="286"/>
      <c r="AD38" s="287"/>
      <c r="AE38" s="285"/>
    </row>
    <row r="39" spans="2:31">
      <c r="B39" s="279"/>
      <c r="C39" s="268"/>
      <c r="D39" s="273" t="s">
        <v>745</v>
      </c>
      <c r="E39" s="268"/>
      <c r="F39" s="285"/>
      <c r="G39" s="286"/>
      <c r="H39" s="287"/>
      <c r="I39" s="286"/>
      <c r="J39" s="288"/>
      <c r="K39" s="285"/>
      <c r="L39" s="286"/>
      <c r="M39" s="287"/>
      <c r="N39" s="286"/>
      <c r="O39" s="288"/>
      <c r="P39" s="285"/>
      <c r="Q39" s="286"/>
      <c r="R39" s="287"/>
      <c r="S39" s="286"/>
      <c r="T39" s="288"/>
      <c r="U39" s="289"/>
      <c r="V39" s="286"/>
      <c r="W39" s="287"/>
      <c r="X39" s="286"/>
      <c r="Y39" s="287"/>
      <c r="Z39" s="285"/>
      <c r="AA39" s="286"/>
      <c r="AB39" s="287"/>
      <c r="AC39" s="286"/>
      <c r="AD39" s="287"/>
      <c r="AE39" s="285"/>
    </row>
    <row r="40" spans="2:31">
      <c r="B40" s="279"/>
      <c r="C40" s="268"/>
      <c r="D40" s="298"/>
      <c r="E40" s="268" t="s">
        <v>767</v>
      </c>
      <c r="F40" s="280">
        <v>213524</v>
      </c>
      <c r="G40" s="281">
        <v>0</v>
      </c>
      <c r="H40" s="282">
        <v>1860</v>
      </c>
      <c r="I40" s="281">
        <v>0</v>
      </c>
      <c r="J40" s="284">
        <v>1774</v>
      </c>
      <c r="K40" s="280">
        <v>213438</v>
      </c>
      <c r="L40" s="281">
        <v>0</v>
      </c>
      <c r="M40" s="282">
        <v>2602</v>
      </c>
      <c r="N40" s="281">
        <v>0</v>
      </c>
      <c r="O40" s="284">
        <v>2580</v>
      </c>
      <c r="P40" s="280">
        <v>213416</v>
      </c>
      <c r="Q40" s="281">
        <v>0</v>
      </c>
      <c r="R40" s="282">
        <v>2415</v>
      </c>
      <c r="S40" s="281">
        <v>0</v>
      </c>
      <c r="T40" s="284">
        <v>2167</v>
      </c>
      <c r="U40" s="283">
        <v>213168</v>
      </c>
      <c r="V40" s="281">
        <v>0</v>
      </c>
      <c r="W40" s="282">
        <v>2970</v>
      </c>
      <c r="X40" s="281">
        <v>0</v>
      </c>
      <c r="Y40" s="282">
        <v>2970</v>
      </c>
      <c r="Z40" s="280">
        <v>213168</v>
      </c>
      <c r="AA40" s="281">
        <v>0</v>
      </c>
      <c r="AB40" s="282">
        <v>2970</v>
      </c>
      <c r="AC40" s="281">
        <v>0</v>
      </c>
      <c r="AD40" s="282">
        <v>2970</v>
      </c>
      <c r="AE40" s="280">
        <v>213168</v>
      </c>
    </row>
    <row r="41" spans="2:31">
      <c r="B41" s="279"/>
      <c r="C41" s="268"/>
      <c r="D41" s="273"/>
      <c r="E41" s="268" t="s">
        <v>768</v>
      </c>
      <c r="F41" s="280">
        <v>0</v>
      </c>
      <c r="G41" s="281">
        <v>0</v>
      </c>
      <c r="H41" s="282">
        <v>0</v>
      </c>
      <c r="I41" s="281">
        <v>0</v>
      </c>
      <c r="J41" s="284">
        <v>0</v>
      </c>
      <c r="K41" s="280">
        <v>0</v>
      </c>
      <c r="L41" s="281">
        <v>0</v>
      </c>
      <c r="M41" s="282">
        <v>0</v>
      </c>
      <c r="N41" s="281">
        <v>0</v>
      </c>
      <c r="O41" s="284">
        <v>0</v>
      </c>
      <c r="P41" s="280">
        <v>0</v>
      </c>
      <c r="Q41" s="281">
        <v>0</v>
      </c>
      <c r="R41" s="282">
        <v>0</v>
      </c>
      <c r="S41" s="281">
        <v>0</v>
      </c>
      <c r="T41" s="284">
        <v>0</v>
      </c>
      <c r="U41" s="283">
        <v>0</v>
      </c>
      <c r="V41" s="281">
        <v>0</v>
      </c>
      <c r="W41" s="282">
        <v>0</v>
      </c>
      <c r="X41" s="281">
        <v>0</v>
      </c>
      <c r="Y41" s="282">
        <v>0</v>
      </c>
      <c r="Z41" s="280">
        <v>0</v>
      </c>
      <c r="AA41" s="281">
        <v>0</v>
      </c>
      <c r="AB41" s="282">
        <v>0</v>
      </c>
      <c r="AC41" s="281">
        <v>0</v>
      </c>
      <c r="AD41" s="282">
        <v>0</v>
      </c>
      <c r="AE41" s="280">
        <v>0</v>
      </c>
    </row>
    <row r="42" spans="2:31">
      <c r="B42" s="279"/>
      <c r="C42" s="268"/>
      <c r="D42" s="268"/>
      <c r="E42" s="268"/>
      <c r="F42" s="285"/>
      <c r="G42" s="286"/>
      <c r="H42" s="287"/>
      <c r="I42" s="286"/>
      <c r="J42" s="288"/>
      <c r="K42" s="285"/>
      <c r="L42" s="286"/>
      <c r="M42" s="287"/>
      <c r="N42" s="286"/>
      <c r="O42" s="288"/>
      <c r="P42" s="285"/>
      <c r="Q42" s="286"/>
      <c r="R42" s="287"/>
      <c r="S42" s="286"/>
      <c r="T42" s="288"/>
      <c r="U42" s="289"/>
      <c r="V42" s="286"/>
      <c r="W42" s="287"/>
      <c r="X42" s="286"/>
      <c r="Y42" s="287"/>
      <c r="Z42" s="285"/>
      <c r="AA42" s="286"/>
      <c r="AB42" s="287"/>
      <c r="AC42" s="286"/>
      <c r="AD42" s="287"/>
      <c r="AE42" s="285"/>
    </row>
    <row r="43" spans="2:31">
      <c r="B43" s="279"/>
      <c r="C43" s="268"/>
      <c r="D43" s="273" t="s">
        <v>769</v>
      </c>
      <c r="E43" s="268"/>
      <c r="F43" s="285"/>
      <c r="G43" s="286"/>
      <c r="H43" s="287"/>
      <c r="I43" s="286"/>
      <c r="J43" s="288"/>
      <c r="K43" s="285"/>
      <c r="L43" s="286"/>
      <c r="M43" s="287"/>
      <c r="N43" s="286"/>
      <c r="O43" s="288"/>
      <c r="P43" s="285"/>
      <c r="Q43" s="286"/>
      <c r="R43" s="287"/>
      <c r="S43" s="286"/>
      <c r="T43" s="288"/>
      <c r="U43" s="289"/>
      <c r="V43" s="286"/>
      <c r="W43" s="287"/>
      <c r="X43" s="286"/>
      <c r="Y43" s="287"/>
      <c r="Z43" s="285"/>
      <c r="AA43" s="286"/>
      <c r="AB43" s="287"/>
      <c r="AC43" s="286"/>
      <c r="AD43" s="287"/>
      <c r="AE43" s="285"/>
    </row>
    <row r="44" spans="2:31">
      <c r="B44" s="279"/>
      <c r="C44" s="268"/>
      <c r="D44" s="273"/>
      <c r="E44" s="268" t="s">
        <v>770</v>
      </c>
      <c r="F44" s="280">
        <v>6137.2999999999993</v>
      </c>
      <c r="G44" s="281">
        <v>0</v>
      </c>
      <c r="H44" s="282">
        <v>4</v>
      </c>
      <c r="I44" s="281">
        <v>142</v>
      </c>
      <c r="J44" s="284">
        <v>4</v>
      </c>
      <c r="K44" s="280">
        <v>6279.2999999999993</v>
      </c>
      <c r="L44" s="281">
        <v>0</v>
      </c>
      <c r="M44" s="282">
        <v>15</v>
      </c>
      <c r="N44" s="281">
        <v>82.6</v>
      </c>
      <c r="O44" s="284">
        <v>15</v>
      </c>
      <c r="P44" s="280">
        <v>6361.9</v>
      </c>
      <c r="Q44" s="281">
        <v>0</v>
      </c>
      <c r="R44" s="282">
        <v>4.2</v>
      </c>
      <c r="S44" s="281">
        <v>103.4</v>
      </c>
      <c r="T44" s="284">
        <v>4.2</v>
      </c>
      <c r="U44" s="283">
        <v>6465.3</v>
      </c>
      <c r="V44" s="281">
        <v>0</v>
      </c>
      <c r="W44" s="282">
        <v>13</v>
      </c>
      <c r="X44" s="281">
        <v>78</v>
      </c>
      <c r="Y44" s="282">
        <v>13</v>
      </c>
      <c r="Z44" s="280">
        <v>6543.3</v>
      </c>
      <c r="AA44" s="281">
        <v>0</v>
      </c>
      <c r="AB44" s="282">
        <v>13</v>
      </c>
      <c r="AC44" s="281">
        <v>74</v>
      </c>
      <c r="AD44" s="282">
        <v>13</v>
      </c>
      <c r="AE44" s="280">
        <v>6617.3</v>
      </c>
    </row>
    <row r="45" spans="2:31">
      <c r="B45" s="279"/>
      <c r="C45" s="268"/>
      <c r="D45" s="273"/>
      <c r="E45" s="268" t="s">
        <v>771</v>
      </c>
      <c r="F45" s="280">
        <v>0</v>
      </c>
      <c r="G45" s="281">
        <v>0</v>
      </c>
      <c r="H45" s="282">
        <v>0</v>
      </c>
      <c r="I45" s="281">
        <v>0</v>
      </c>
      <c r="J45" s="284">
        <v>0</v>
      </c>
      <c r="K45" s="280">
        <v>0</v>
      </c>
      <c r="L45" s="281">
        <v>0</v>
      </c>
      <c r="M45" s="282">
        <v>0</v>
      </c>
      <c r="N45" s="281">
        <v>0</v>
      </c>
      <c r="O45" s="284">
        <v>0</v>
      </c>
      <c r="P45" s="280">
        <v>0</v>
      </c>
      <c r="Q45" s="281">
        <v>0</v>
      </c>
      <c r="R45" s="282">
        <v>0</v>
      </c>
      <c r="S45" s="281">
        <v>0</v>
      </c>
      <c r="T45" s="284">
        <v>0</v>
      </c>
      <c r="U45" s="283">
        <v>0</v>
      </c>
      <c r="V45" s="281">
        <v>0</v>
      </c>
      <c r="W45" s="282">
        <v>0</v>
      </c>
      <c r="X45" s="281">
        <v>0</v>
      </c>
      <c r="Y45" s="282">
        <v>0</v>
      </c>
      <c r="Z45" s="280">
        <v>0</v>
      </c>
      <c r="AA45" s="281">
        <v>0</v>
      </c>
      <c r="AB45" s="282">
        <v>0</v>
      </c>
      <c r="AC45" s="281">
        <v>0</v>
      </c>
      <c r="AD45" s="282">
        <v>0</v>
      </c>
      <c r="AE45" s="280">
        <v>0</v>
      </c>
    </row>
    <row r="46" spans="2:31">
      <c r="B46" s="279"/>
      <c r="C46" s="268"/>
      <c r="D46" s="273"/>
      <c r="E46" s="268"/>
      <c r="F46" s="285"/>
      <c r="G46" s="286"/>
      <c r="H46" s="287"/>
      <c r="I46" s="286"/>
      <c r="J46" s="288"/>
      <c r="K46" s="285"/>
      <c r="L46" s="286"/>
      <c r="M46" s="287"/>
      <c r="N46" s="286"/>
      <c r="O46" s="288"/>
      <c r="P46" s="285"/>
      <c r="Q46" s="286"/>
      <c r="R46" s="287"/>
      <c r="S46" s="286"/>
      <c r="T46" s="288"/>
      <c r="U46" s="289"/>
      <c r="V46" s="286"/>
      <c r="W46" s="287"/>
      <c r="X46" s="286"/>
      <c r="Y46" s="287"/>
      <c r="Z46" s="285"/>
      <c r="AA46" s="286"/>
      <c r="AB46" s="287"/>
      <c r="AC46" s="286"/>
      <c r="AD46" s="287"/>
      <c r="AE46" s="285"/>
    </row>
    <row r="47" spans="2:31">
      <c r="B47" s="279"/>
      <c r="C47" s="268"/>
      <c r="D47" s="273" t="s">
        <v>68</v>
      </c>
      <c r="E47" s="268"/>
      <c r="F47" s="285"/>
      <c r="G47" s="286"/>
      <c r="H47" s="287"/>
      <c r="I47" s="286"/>
      <c r="J47" s="288"/>
      <c r="K47" s="285"/>
      <c r="L47" s="286"/>
      <c r="M47" s="287"/>
      <c r="N47" s="286"/>
      <c r="O47" s="288"/>
      <c r="P47" s="285"/>
      <c r="Q47" s="286"/>
      <c r="R47" s="287"/>
      <c r="S47" s="286"/>
      <c r="T47" s="288"/>
      <c r="U47" s="289"/>
      <c r="V47" s="286"/>
      <c r="W47" s="287"/>
      <c r="X47" s="286"/>
      <c r="Y47" s="287"/>
      <c r="Z47" s="285"/>
      <c r="AA47" s="286"/>
      <c r="AB47" s="287"/>
      <c r="AC47" s="286"/>
      <c r="AD47" s="287"/>
      <c r="AE47" s="285"/>
    </row>
    <row r="48" spans="2:31">
      <c r="B48" s="279"/>
      <c r="C48" s="268"/>
      <c r="D48" s="273"/>
      <c r="E48" s="268" t="s">
        <v>69</v>
      </c>
      <c r="F48" s="280">
        <v>20</v>
      </c>
      <c r="G48" s="281">
        <v>0</v>
      </c>
      <c r="H48" s="282">
        <v>0</v>
      </c>
      <c r="I48" s="281">
        <v>0</v>
      </c>
      <c r="J48" s="284">
        <v>0</v>
      </c>
      <c r="K48" s="280">
        <v>20</v>
      </c>
      <c r="L48" s="281">
        <v>0</v>
      </c>
      <c r="M48" s="282">
        <v>0</v>
      </c>
      <c r="N48" s="281">
        <v>0</v>
      </c>
      <c r="O48" s="284">
        <v>0</v>
      </c>
      <c r="P48" s="280">
        <v>20</v>
      </c>
      <c r="Q48" s="281">
        <v>0</v>
      </c>
      <c r="R48" s="282">
        <v>0</v>
      </c>
      <c r="S48" s="281">
        <v>0</v>
      </c>
      <c r="T48" s="284">
        <v>0</v>
      </c>
      <c r="U48" s="283">
        <v>20</v>
      </c>
      <c r="V48" s="281">
        <v>0</v>
      </c>
      <c r="W48" s="282">
        <v>0</v>
      </c>
      <c r="X48" s="281">
        <v>0</v>
      </c>
      <c r="Y48" s="282">
        <v>0</v>
      </c>
      <c r="Z48" s="280">
        <v>20</v>
      </c>
      <c r="AA48" s="281">
        <v>0</v>
      </c>
      <c r="AB48" s="282">
        <v>0</v>
      </c>
      <c r="AC48" s="281">
        <v>0</v>
      </c>
      <c r="AD48" s="282">
        <v>0</v>
      </c>
      <c r="AE48" s="280">
        <v>20</v>
      </c>
    </row>
    <row r="49" spans="2:31">
      <c r="B49" s="279"/>
      <c r="C49" s="268"/>
      <c r="D49" s="273"/>
      <c r="E49" s="268"/>
      <c r="F49" s="285"/>
      <c r="G49" s="286"/>
      <c r="H49" s="287"/>
      <c r="I49" s="286"/>
      <c r="J49" s="288"/>
      <c r="K49" s="285"/>
      <c r="L49" s="286"/>
      <c r="M49" s="287"/>
      <c r="N49" s="286"/>
      <c r="O49" s="288"/>
      <c r="P49" s="285"/>
      <c r="Q49" s="286"/>
      <c r="R49" s="287"/>
      <c r="S49" s="286"/>
      <c r="T49" s="288"/>
      <c r="U49" s="289"/>
      <c r="V49" s="286"/>
      <c r="W49" s="287"/>
      <c r="X49" s="286"/>
      <c r="Y49" s="287"/>
      <c r="Z49" s="285"/>
      <c r="AA49" s="286"/>
      <c r="AB49" s="287"/>
      <c r="AC49" s="286"/>
      <c r="AD49" s="287"/>
      <c r="AE49" s="285"/>
    </row>
    <row r="50" spans="2:31">
      <c r="B50" s="279"/>
      <c r="C50" s="268"/>
      <c r="D50" s="273" t="s">
        <v>637</v>
      </c>
      <c r="E50" s="268"/>
      <c r="F50" s="285"/>
      <c r="G50" s="286"/>
      <c r="H50" s="287"/>
      <c r="I50" s="286"/>
      <c r="J50" s="288"/>
      <c r="K50" s="285"/>
      <c r="L50" s="286"/>
      <c r="M50" s="287"/>
      <c r="N50" s="286"/>
      <c r="O50" s="288"/>
      <c r="P50" s="285"/>
      <c r="Q50" s="286"/>
      <c r="R50" s="287"/>
      <c r="S50" s="286"/>
      <c r="T50" s="288"/>
      <c r="U50" s="289"/>
      <c r="V50" s="286"/>
      <c r="W50" s="287"/>
      <c r="X50" s="286"/>
      <c r="Y50" s="287"/>
      <c r="Z50" s="285"/>
      <c r="AA50" s="286"/>
      <c r="AB50" s="287"/>
      <c r="AC50" s="286"/>
      <c r="AD50" s="287"/>
      <c r="AE50" s="285"/>
    </row>
    <row r="51" spans="2:31">
      <c r="B51" s="279"/>
      <c r="C51" s="268"/>
      <c r="D51" s="273"/>
      <c r="E51" s="268" t="s">
        <v>70</v>
      </c>
      <c r="F51" s="280">
        <v>299</v>
      </c>
      <c r="G51" s="281">
        <v>0</v>
      </c>
      <c r="H51" s="282">
        <v>12</v>
      </c>
      <c r="I51" s="281">
        <v>0</v>
      </c>
      <c r="J51" s="284">
        <v>141</v>
      </c>
      <c r="K51" s="280">
        <v>428</v>
      </c>
      <c r="L51" s="281">
        <v>0</v>
      </c>
      <c r="M51" s="282">
        <v>0</v>
      </c>
      <c r="N51" s="281">
        <v>0</v>
      </c>
      <c r="O51" s="284">
        <v>95</v>
      </c>
      <c r="P51" s="280">
        <v>523</v>
      </c>
      <c r="Q51" s="281">
        <v>0</v>
      </c>
      <c r="R51" s="282">
        <v>6</v>
      </c>
      <c r="S51" s="281">
        <v>0</v>
      </c>
      <c r="T51" s="284">
        <v>180</v>
      </c>
      <c r="U51" s="283">
        <v>697</v>
      </c>
      <c r="V51" s="281">
        <v>0</v>
      </c>
      <c r="W51" s="282">
        <v>64</v>
      </c>
      <c r="X51" s="281">
        <v>0</v>
      </c>
      <c r="Y51" s="282">
        <v>64</v>
      </c>
      <c r="Z51" s="280">
        <v>697</v>
      </c>
      <c r="AA51" s="281">
        <v>0</v>
      </c>
      <c r="AB51" s="282">
        <v>45</v>
      </c>
      <c r="AC51" s="281">
        <v>0</v>
      </c>
      <c r="AD51" s="282">
        <v>45</v>
      </c>
      <c r="AE51" s="280">
        <v>697</v>
      </c>
    </row>
    <row r="52" spans="2:31">
      <c r="B52" s="279"/>
      <c r="C52" s="268"/>
      <c r="D52" s="273"/>
      <c r="E52" s="268" t="s">
        <v>80</v>
      </c>
      <c r="F52" s="280">
        <v>4035</v>
      </c>
      <c r="G52" s="281">
        <v>0</v>
      </c>
      <c r="H52" s="282">
        <v>89</v>
      </c>
      <c r="I52" s="281">
        <v>34</v>
      </c>
      <c r="J52" s="284">
        <v>89</v>
      </c>
      <c r="K52" s="280">
        <v>4069</v>
      </c>
      <c r="L52" s="281">
        <v>44</v>
      </c>
      <c r="M52" s="282">
        <v>108</v>
      </c>
      <c r="N52" s="281">
        <v>32</v>
      </c>
      <c r="O52" s="284">
        <v>108</v>
      </c>
      <c r="P52" s="280">
        <v>4057</v>
      </c>
      <c r="Q52" s="281">
        <v>0</v>
      </c>
      <c r="R52" s="282">
        <v>69</v>
      </c>
      <c r="S52" s="281">
        <v>41</v>
      </c>
      <c r="T52" s="284">
        <v>83</v>
      </c>
      <c r="U52" s="283">
        <v>4112</v>
      </c>
      <c r="V52" s="281">
        <v>20</v>
      </c>
      <c r="W52" s="282">
        <v>55</v>
      </c>
      <c r="X52" s="281">
        <v>31</v>
      </c>
      <c r="Y52" s="282">
        <v>55</v>
      </c>
      <c r="Z52" s="280">
        <v>4123</v>
      </c>
      <c r="AA52" s="281">
        <v>19</v>
      </c>
      <c r="AB52" s="282">
        <v>70</v>
      </c>
      <c r="AC52" s="281">
        <v>29</v>
      </c>
      <c r="AD52" s="282">
        <v>70</v>
      </c>
      <c r="AE52" s="280">
        <v>4133</v>
      </c>
    </row>
    <row r="53" spans="2:31">
      <c r="B53" s="279"/>
      <c r="C53" s="268"/>
      <c r="D53" s="273"/>
      <c r="E53" s="268" t="s">
        <v>81</v>
      </c>
      <c r="F53" s="280">
        <v>197</v>
      </c>
      <c r="G53" s="281">
        <v>0</v>
      </c>
      <c r="H53" s="282">
        <v>4</v>
      </c>
      <c r="I53" s="281">
        <v>0</v>
      </c>
      <c r="J53" s="284">
        <v>32</v>
      </c>
      <c r="K53" s="280">
        <v>225</v>
      </c>
      <c r="L53" s="281">
        <v>0</v>
      </c>
      <c r="M53" s="282">
        <v>8</v>
      </c>
      <c r="N53" s="281">
        <v>0</v>
      </c>
      <c r="O53" s="284">
        <v>17</v>
      </c>
      <c r="P53" s="280">
        <v>234</v>
      </c>
      <c r="Q53" s="281">
        <v>53</v>
      </c>
      <c r="R53" s="282">
        <v>9</v>
      </c>
      <c r="S53" s="281">
        <v>0</v>
      </c>
      <c r="T53" s="284">
        <v>9</v>
      </c>
      <c r="U53" s="283">
        <v>181</v>
      </c>
      <c r="V53" s="281">
        <v>21</v>
      </c>
      <c r="W53" s="282">
        <v>43</v>
      </c>
      <c r="X53" s="281">
        <v>0</v>
      </c>
      <c r="Y53" s="282">
        <v>43</v>
      </c>
      <c r="Z53" s="280">
        <v>160</v>
      </c>
      <c r="AA53" s="281">
        <v>20</v>
      </c>
      <c r="AB53" s="282">
        <v>31</v>
      </c>
      <c r="AC53" s="281">
        <v>0</v>
      </c>
      <c r="AD53" s="282">
        <v>31</v>
      </c>
      <c r="AE53" s="280">
        <v>140</v>
      </c>
    </row>
    <row r="54" spans="2:31">
      <c r="B54" s="279"/>
      <c r="C54" s="268"/>
      <c r="D54" s="273"/>
      <c r="E54" s="268" t="s">
        <v>82</v>
      </c>
      <c r="F54" s="280">
        <v>9227</v>
      </c>
      <c r="G54" s="281">
        <v>69</v>
      </c>
      <c r="H54" s="282">
        <v>19</v>
      </c>
      <c r="I54" s="281">
        <v>5</v>
      </c>
      <c r="J54" s="284">
        <v>19</v>
      </c>
      <c r="K54" s="280">
        <v>9163</v>
      </c>
      <c r="L54" s="281">
        <v>140</v>
      </c>
      <c r="M54" s="282">
        <v>21</v>
      </c>
      <c r="N54" s="281">
        <v>5</v>
      </c>
      <c r="O54" s="284">
        <v>21</v>
      </c>
      <c r="P54" s="280">
        <v>9028</v>
      </c>
      <c r="Q54" s="281">
        <v>124</v>
      </c>
      <c r="R54" s="282">
        <v>17</v>
      </c>
      <c r="S54" s="281">
        <v>4</v>
      </c>
      <c r="T54" s="284">
        <v>17</v>
      </c>
      <c r="U54" s="283">
        <v>8908</v>
      </c>
      <c r="V54" s="281">
        <v>112</v>
      </c>
      <c r="W54" s="282">
        <v>30</v>
      </c>
      <c r="X54" s="281">
        <v>4</v>
      </c>
      <c r="Y54" s="282">
        <v>30</v>
      </c>
      <c r="Z54" s="280">
        <v>8800</v>
      </c>
      <c r="AA54" s="281">
        <v>106</v>
      </c>
      <c r="AB54" s="282">
        <v>100</v>
      </c>
      <c r="AC54" s="281">
        <v>4</v>
      </c>
      <c r="AD54" s="282">
        <v>100</v>
      </c>
      <c r="AE54" s="280">
        <v>8698</v>
      </c>
    </row>
    <row r="55" spans="2:31">
      <c r="B55" s="279"/>
      <c r="C55" s="268"/>
      <c r="D55" s="273"/>
      <c r="E55" s="268" t="s">
        <v>782</v>
      </c>
      <c r="F55" s="280">
        <v>6406</v>
      </c>
      <c r="G55" s="281">
        <v>0</v>
      </c>
      <c r="H55" s="282">
        <v>24</v>
      </c>
      <c r="I55" s="281">
        <v>139</v>
      </c>
      <c r="J55" s="284">
        <v>92</v>
      </c>
      <c r="K55" s="280">
        <v>6613</v>
      </c>
      <c r="L55" s="281">
        <v>0</v>
      </c>
      <c r="M55" s="282">
        <v>23</v>
      </c>
      <c r="N55" s="281">
        <v>104</v>
      </c>
      <c r="O55" s="284">
        <v>72</v>
      </c>
      <c r="P55" s="280">
        <v>6766</v>
      </c>
      <c r="Q55" s="281">
        <v>0</v>
      </c>
      <c r="R55" s="282">
        <v>22</v>
      </c>
      <c r="S55" s="281">
        <v>127</v>
      </c>
      <c r="T55" s="284">
        <v>81</v>
      </c>
      <c r="U55" s="283">
        <v>6952</v>
      </c>
      <c r="V55" s="281">
        <v>0</v>
      </c>
      <c r="W55" s="282">
        <v>132</v>
      </c>
      <c r="X55" s="281">
        <v>97</v>
      </c>
      <c r="Y55" s="282">
        <v>132</v>
      </c>
      <c r="Z55" s="280">
        <v>7049</v>
      </c>
      <c r="AA55" s="281">
        <v>0</v>
      </c>
      <c r="AB55" s="282">
        <v>196</v>
      </c>
      <c r="AC55" s="281">
        <v>92</v>
      </c>
      <c r="AD55" s="282">
        <v>196</v>
      </c>
      <c r="AE55" s="280">
        <v>7141</v>
      </c>
    </row>
    <row r="56" spans="2:31">
      <c r="B56" s="279"/>
      <c r="C56" s="268"/>
      <c r="D56" s="273"/>
      <c r="E56" s="268" t="s">
        <v>783</v>
      </c>
      <c r="F56" s="280">
        <v>22705</v>
      </c>
      <c r="G56" s="281">
        <v>0</v>
      </c>
      <c r="H56" s="282">
        <v>85</v>
      </c>
      <c r="I56" s="281">
        <v>18</v>
      </c>
      <c r="J56" s="284">
        <v>233</v>
      </c>
      <c r="K56" s="280">
        <v>22871</v>
      </c>
      <c r="L56" s="281">
        <v>0</v>
      </c>
      <c r="M56" s="282">
        <v>170</v>
      </c>
      <c r="N56" s="281">
        <v>37</v>
      </c>
      <c r="O56" s="284">
        <v>522</v>
      </c>
      <c r="P56" s="280">
        <v>23260</v>
      </c>
      <c r="Q56" s="281">
        <v>0</v>
      </c>
      <c r="R56" s="282">
        <v>168</v>
      </c>
      <c r="S56" s="281">
        <v>40</v>
      </c>
      <c r="T56" s="284">
        <v>469</v>
      </c>
      <c r="U56" s="283">
        <v>23601</v>
      </c>
      <c r="V56" s="281">
        <v>0</v>
      </c>
      <c r="W56" s="282">
        <v>0</v>
      </c>
      <c r="X56" s="281">
        <v>32</v>
      </c>
      <c r="Y56" s="282">
        <v>0</v>
      </c>
      <c r="Z56" s="280">
        <v>23633</v>
      </c>
      <c r="AA56" s="281">
        <v>0</v>
      </c>
      <c r="AB56" s="282">
        <v>0</v>
      </c>
      <c r="AC56" s="281">
        <v>31</v>
      </c>
      <c r="AD56" s="282">
        <v>0</v>
      </c>
      <c r="AE56" s="280">
        <v>23664</v>
      </c>
    </row>
    <row r="57" spans="2:31">
      <c r="B57" s="279"/>
      <c r="C57" s="268"/>
      <c r="D57" s="273"/>
      <c r="E57" s="268" t="s">
        <v>72</v>
      </c>
      <c r="F57" s="280">
        <v>20</v>
      </c>
      <c r="G57" s="281">
        <v>0</v>
      </c>
      <c r="H57" s="282">
        <v>0</v>
      </c>
      <c r="I57" s="281">
        <v>0</v>
      </c>
      <c r="J57" s="284">
        <v>0</v>
      </c>
      <c r="K57" s="280">
        <v>20</v>
      </c>
      <c r="L57" s="281">
        <v>0</v>
      </c>
      <c r="M57" s="282">
        <v>1</v>
      </c>
      <c r="N57" s="281">
        <v>0</v>
      </c>
      <c r="O57" s="284">
        <v>2</v>
      </c>
      <c r="P57" s="280">
        <v>21</v>
      </c>
      <c r="Q57" s="281">
        <v>0</v>
      </c>
      <c r="R57" s="282">
        <v>0</v>
      </c>
      <c r="S57" s="281">
        <v>0</v>
      </c>
      <c r="T57" s="284">
        <v>0</v>
      </c>
      <c r="U57" s="283">
        <v>21</v>
      </c>
      <c r="V57" s="281">
        <v>0</v>
      </c>
      <c r="W57" s="282">
        <v>0</v>
      </c>
      <c r="X57" s="281">
        <v>0</v>
      </c>
      <c r="Y57" s="282">
        <v>0</v>
      </c>
      <c r="Z57" s="280">
        <v>21</v>
      </c>
      <c r="AA57" s="281">
        <v>0</v>
      </c>
      <c r="AB57" s="282">
        <v>0</v>
      </c>
      <c r="AC57" s="281">
        <v>0</v>
      </c>
      <c r="AD57" s="282">
        <v>0</v>
      </c>
      <c r="AE57" s="280">
        <v>21</v>
      </c>
    </row>
    <row r="58" spans="2:31">
      <c r="B58" s="279"/>
      <c r="C58" s="268"/>
      <c r="D58" s="268"/>
      <c r="E58" s="268" t="s">
        <v>662</v>
      </c>
      <c r="F58" s="280">
        <v>0</v>
      </c>
      <c r="G58" s="281">
        <v>0</v>
      </c>
      <c r="H58" s="282">
        <v>0</v>
      </c>
      <c r="I58" s="281">
        <v>0</v>
      </c>
      <c r="J58" s="284">
        <v>0</v>
      </c>
      <c r="K58" s="280">
        <v>0</v>
      </c>
      <c r="L58" s="281">
        <v>0</v>
      </c>
      <c r="M58" s="282">
        <v>0</v>
      </c>
      <c r="N58" s="281">
        <v>0</v>
      </c>
      <c r="O58" s="284">
        <v>0</v>
      </c>
      <c r="P58" s="280">
        <v>0</v>
      </c>
      <c r="Q58" s="281">
        <v>0</v>
      </c>
      <c r="R58" s="282">
        <v>0</v>
      </c>
      <c r="S58" s="281">
        <v>0</v>
      </c>
      <c r="T58" s="284">
        <v>0</v>
      </c>
      <c r="U58" s="283">
        <v>0</v>
      </c>
      <c r="V58" s="281">
        <v>0</v>
      </c>
      <c r="W58" s="282">
        <v>0</v>
      </c>
      <c r="X58" s="281">
        <v>0</v>
      </c>
      <c r="Y58" s="282">
        <v>0</v>
      </c>
      <c r="Z58" s="280">
        <v>0</v>
      </c>
      <c r="AA58" s="281">
        <v>0</v>
      </c>
      <c r="AB58" s="282">
        <v>0</v>
      </c>
      <c r="AC58" s="281">
        <v>0</v>
      </c>
      <c r="AD58" s="282">
        <v>0</v>
      </c>
      <c r="AE58" s="280">
        <v>0</v>
      </c>
    </row>
    <row r="59" spans="2:31">
      <c r="B59" s="279"/>
      <c r="C59" s="268"/>
      <c r="D59" s="268"/>
      <c r="E59" s="268" t="s">
        <v>501</v>
      </c>
      <c r="F59" s="280">
        <v>0</v>
      </c>
      <c r="G59" s="281">
        <v>0</v>
      </c>
      <c r="H59" s="282">
        <v>0</v>
      </c>
      <c r="I59" s="281">
        <v>0</v>
      </c>
      <c r="J59" s="284">
        <v>0</v>
      </c>
      <c r="K59" s="280">
        <v>0</v>
      </c>
      <c r="L59" s="281">
        <v>0</v>
      </c>
      <c r="M59" s="282">
        <v>0</v>
      </c>
      <c r="N59" s="281">
        <v>0</v>
      </c>
      <c r="O59" s="284">
        <v>0</v>
      </c>
      <c r="P59" s="280">
        <v>0</v>
      </c>
      <c r="Q59" s="281">
        <v>0</v>
      </c>
      <c r="R59" s="282">
        <v>0</v>
      </c>
      <c r="S59" s="281">
        <v>0</v>
      </c>
      <c r="T59" s="284">
        <v>0</v>
      </c>
      <c r="U59" s="283">
        <v>0</v>
      </c>
      <c r="V59" s="281">
        <v>0</v>
      </c>
      <c r="W59" s="282">
        <v>0</v>
      </c>
      <c r="X59" s="281">
        <v>0</v>
      </c>
      <c r="Y59" s="282">
        <v>0</v>
      </c>
      <c r="Z59" s="280">
        <v>0</v>
      </c>
      <c r="AA59" s="281">
        <v>0</v>
      </c>
      <c r="AB59" s="282">
        <v>0</v>
      </c>
      <c r="AC59" s="281">
        <v>0</v>
      </c>
      <c r="AD59" s="282">
        <v>0</v>
      </c>
      <c r="AE59" s="280">
        <v>0</v>
      </c>
    </row>
    <row r="60" spans="2:31">
      <c r="B60" s="279"/>
      <c r="C60" s="268"/>
      <c r="D60" s="273"/>
      <c r="E60" s="268" t="s">
        <v>502</v>
      </c>
      <c r="F60" s="280">
        <v>0</v>
      </c>
      <c r="G60" s="281">
        <v>0</v>
      </c>
      <c r="H60" s="282">
        <v>0</v>
      </c>
      <c r="I60" s="281">
        <v>0</v>
      </c>
      <c r="J60" s="284">
        <v>0</v>
      </c>
      <c r="K60" s="280">
        <v>0</v>
      </c>
      <c r="L60" s="281">
        <v>0</v>
      </c>
      <c r="M60" s="282">
        <v>0</v>
      </c>
      <c r="N60" s="281">
        <v>0</v>
      </c>
      <c r="O60" s="284">
        <v>0</v>
      </c>
      <c r="P60" s="280">
        <v>0</v>
      </c>
      <c r="Q60" s="281">
        <v>0</v>
      </c>
      <c r="R60" s="282">
        <v>0</v>
      </c>
      <c r="S60" s="281">
        <v>0</v>
      </c>
      <c r="T60" s="284">
        <v>0</v>
      </c>
      <c r="U60" s="283">
        <v>0</v>
      </c>
      <c r="V60" s="281">
        <v>0</v>
      </c>
      <c r="W60" s="282">
        <v>0</v>
      </c>
      <c r="X60" s="281">
        <v>0</v>
      </c>
      <c r="Y60" s="282">
        <v>0</v>
      </c>
      <c r="Z60" s="280">
        <v>0</v>
      </c>
      <c r="AA60" s="281">
        <v>0</v>
      </c>
      <c r="AB60" s="282">
        <v>0</v>
      </c>
      <c r="AC60" s="281">
        <v>0</v>
      </c>
      <c r="AD60" s="282">
        <v>0</v>
      </c>
      <c r="AE60" s="280">
        <v>0</v>
      </c>
    </row>
    <row r="61" spans="2:31">
      <c r="B61" s="279"/>
      <c r="C61" s="268"/>
      <c r="D61" s="273"/>
      <c r="E61" s="268" t="s">
        <v>503</v>
      </c>
      <c r="F61" s="280">
        <v>0</v>
      </c>
      <c r="G61" s="281">
        <v>0</v>
      </c>
      <c r="H61" s="282">
        <v>0</v>
      </c>
      <c r="I61" s="281">
        <v>0</v>
      </c>
      <c r="J61" s="284">
        <v>0</v>
      </c>
      <c r="K61" s="280">
        <v>0</v>
      </c>
      <c r="L61" s="281">
        <v>0</v>
      </c>
      <c r="M61" s="282">
        <v>0</v>
      </c>
      <c r="N61" s="281">
        <v>0</v>
      </c>
      <c r="O61" s="284">
        <v>0</v>
      </c>
      <c r="P61" s="280">
        <v>0</v>
      </c>
      <c r="Q61" s="281">
        <v>0</v>
      </c>
      <c r="R61" s="282">
        <v>0</v>
      </c>
      <c r="S61" s="281">
        <v>0</v>
      </c>
      <c r="T61" s="284">
        <v>0</v>
      </c>
      <c r="U61" s="283">
        <v>0</v>
      </c>
      <c r="V61" s="281">
        <v>0</v>
      </c>
      <c r="W61" s="282">
        <v>0</v>
      </c>
      <c r="X61" s="281">
        <v>0</v>
      </c>
      <c r="Y61" s="282">
        <v>0</v>
      </c>
      <c r="Z61" s="280">
        <v>0</v>
      </c>
      <c r="AA61" s="281">
        <v>0</v>
      </c>
      <c r="AB61" s="282">
        <v>0</v>
      </c>
      <c r="AC61" s="281">
        <v>0</v>
      </c>
      <c r="AD61" s="282">
        <v>0</v>
      </c>
      <c r="AE61" s="280">
        <v>0</v>
      </c>
    </row>
    <row r="62" spans="2:31">
      <c r="B62" s="279"/>
      <c r="C62" s="268"/>
      <c r="D62" s="273"/>
      <c r="E62" s="268" t="s">
        <v>506</v>
      </c>
      <c r="F62" s="280">
        <v>0</v>
      </c>
      <c r="G62" s="281">
        <v>0</v>
      </c>
      <c r="H62" s="282">
        <v>0</v>
      </c>
      <c r="I62" s="281">
        <v>0</v>
      </c>
      <c r="J62" s="284">
        <v>0</v>
      </c>
      <c r="K62" s="280">
        <v>0</v>
      </c>
      <c r="L62" s="281">
        <v>0</v>
      </c>
      <c r="M62" s="282">
        <v>0</v>
      </c>
      <c r="N62" s="281">
        <v>0</v>
      </c>
      <c r="O62" s="284">
        <v>0</v>
      </c>
      <c r="P62" s="280">
        <v>0</v>
      </c>
      <c r="Q62" s="281">
        <v>0</v>
      </c>
      <c r="R62" s="282">
        <v>0</v>
      </c>
      <c r="S62" s="281">
        <v>0</v>
      </c>
      <c r="T62" s="284">
        <v>0</v>
      </c>
      <c r="U62" s="283">
        <v>0</v>
      </c>
      <c r="V62" s="281">
        <v>0</v>
      </c>
      <c r="W62" s="282">
        <v>0</v>
      </c>
      <c r="X62" s="281">
        <v>0</v>
      </c>
      <c r="Y62" s="282">
        <v>0</v>
      </c>
      <c r="Z62" s="280">
        <v>0</v>
      </c>
      <c r="AA62" s="281">
        <v>0</v>
      </c>
      <c r="AB62" s="282">
        <v>0</v>
      </c>
      <c r="AC62" s="281">
        <v>0</v>
      </c>
      <c r="AD62" s="282">
        <v>0</v>
      </c>
      <c r="AE62" s="280">
        <v>0</v>
      </c>
    </row>
    <row r="63" spans="2:31">
      <c r="B63" s="279"/>
      <c r="C63" s="268"/>
      <c r="D63" s="273"/>
      <c r="E63" s="268" t="s">
        <v>665</v>
      </c>
      <c r="F63" s="280">
        <v>0</v>
      </c>
      <c r="G63" s="281">
        <v>0</v>
      </c>
      <c r="H63" s="282">
        <v>0</v>
      </c>
      <c r="I63" s="281">
        <v>0</v>
      </c>
      <c r="J63" s="284">
        <v>0</v>
      </c>
      <c r="K63" s="280">
        <v>0</v>
      </c>
      <c r="L63" s="281">
        <v>0</v>
      </c>
      <c r="M63" s="282">
        <v>0</v>
      </c>
      <c r="N63" s="281">
        <v>0</v>
      </c>
      <c r="O63" s="284">
        <v>0</v>
      </c>
      <c r="P63" s="280">
        <v>0</v>
      </c>
      <c r="Q63" s="281">
        <v>0</v>
      </c>
      <c r="R63" s="282">
        <v>0</v>
      </c>
      <c r="S63" s="281">
        <v>0</v>
      </c>
      <c r="T63" s="284">
        <v>0</v>
      </c>
      <c r="U63" s="283">
        <v>0</v>
      </c>
      <c r="V63" s="281">
        <v>0</v>
      </c>
      <c r="W63" s="282">
        <v>0</v>
      </c>
      <c r="X63" s="281">
        <v>0</v>
      </c>
      <c r="Y63" s="282">
        <v>0</v>
      </c>
      <c r="Z63" s="280">
        <v>0</v>
      </c>
      <c r="AA63" s="281">
        <v>0</v>
      </c>
      <c r="AB63" s="282">
        <v>0</v>
      </c>
      <c r="AC63" s="281">
        <v>0</v>
      </c>
      <c r="AD63" s="282">
        <v>0</v>
      </c>
      <c r="AE63" s="280">
        <v>0</v>
      </c>
    </row>
    <row r="64" spans="2:31">
      <c r="B64" s="279"/>
      <c r="C64" s="268"/>
      <c r="D64" s="273"/>
      <c r="E64" s="268" t="s">
        <v>511</v>
      </c>
      <c r="F64" s="280">
        <v>0</v>
      </c>
      <c r="G64" s="281">
        <v>0</v>
      </c>
      <c r="H64" s="282">
        <v>0</v>
      </c>
      <c r="I64" s="281">
        <v>0</v>
      </c>
      <c r="J64" s="284">
        <v>0</v>
      </c>
      <c r="K64" s="280">
        <v>0</v>
      </c>
      <c r="L64" s="281">
        <v>0</v>
      </c>
      <c r="M64" s="282">
        <v>0</v>
      </c>
      <c r="N64" s="281">
        <v>0</v>
      </c>
      <c r="O64" s="284">
        <v>0</v>
      </c>
      <c r="P64" s="280">
        <v>0</v>
      </c>
      <c r="Q64" s="281">
        <v>0</v>
      </c>
      <c r="R64" s="282">
        <v>0</v>
      </c>
      <c r="S64" s="281">
        <v>0</v>
      </c>
      <c r="T64" s="284">
        <v>0</v>
      </c>
      <c r="U64" s="283">
        <v>0</v>
      </c>
      <c r="V64" s="281">
        <v>0</v>
      </c>
      <c r="W64" s="282">
        <v>0</v>
      </c>
      <c r="X64" s="281">
        <v>0</v>
      </c>
      <c r="Y64" s="282">
        <v>0</v>
      </c>
      <c r="Z64" s="280">
        <v>0</v>
      </c>
      <c r="AA64" s="281">
        <v>0</v>
      </c>
      <c r="AB64" s="282">
        <v>0</v>
      </c>
      <c r="AC64" s="281">
        <v>0</v>
      </c>
      <c r="AD64" s="282">
        <v>0</v>
      </c>
      <c r="AE64" s="280">
        <v>0</v>
      </c>
    </row>
    <row r="65" spans="2:31">
      <c r="B65" s="279"/>
      <c r="C65" s="268"/>
      <c r="D65" s="273"/>
      <c r="E65" s="268"/>
      <c r="F65" s="285"/>
      <c r="G65" s="286"/>
      <c r="H65" s="287"/>
      <c r="I65" s="286"/>
      <c r="J65" s="288"/>
      <c r="K65" s="285"/>
      <c r="L65" s="286"/>
      <c r="M65" s="287"/>
      <c r="N65" s="286"/>
      <c r="O65" s="288"/>
      <c r="P65" s="285"/>
      <c r="Q65" s="286"/>
      <c r="R65" s="287"/>
      <c r="S65" s="286"/>
      <c r="T65" s="288"/>
      <c r="U65" s="289"/>
      <c r="V65" s="286"/>
      <c r="W65" s="287"/>
      <c r="X65" s="286"/>
      <c r="Y65" s="287"/>
      <c r="Z65" s="285"/>
      <c r="AA65" s="286"/>
      <c r="AB65" s="287"/>
      <c r="AC65" s="286"/>
      <c r="AD65" s="287"/>
      <c r="AE65" s="285"/>
    </row>
    <row r="66" spans="2:31">
      <c r="B66" s="279"/>
      <c r="C66" s="268"/>
      <c r="D66" s="273" t="s">
        <v>512</v>
      </c>
      <c r="E66" s="268"/>
      <c r="F66" s="285"/>
      <c r="G66" s="286"/>
      <c r="H66" s="287"/>
      <c r="I66" s="286"/>
      <c r="J66" s="288"/>
      <c r="K66" s="285"/>
      <c r="L66" s="286"/>
      <c r="M66" s="287"/>
      <c r="N66" s="286"/>
      <c r="O66" s="288"/>
      <c r="P66" s="285"/>
      <c r="Q66" s="286"/>
      <c r="R66" s="287"/>
      <c r="S66" s="286"/>
      <c r="T66" s="288"/>
      <c r="U66" s="289"/>
      <c r="V66" s="286"/>
      <c r="W66" s="287"/>
      <c r="X66" s="286"/>
      <c r="Y66" s="287"/>
      <c r="Z66" s="285"/>
      <c r="AA66" s="286"/>
      <c r="AB66" s="287"/>
      <c r="AC66" s="286"/>
      <c r="AD66" s="287"/>
      <c r="AE66" s="285"/>
    </row>
    <row r="67" spans="2:31">
      <c r="B67" s="279"/>
      <c r="C67" s="268"/>
      <c r="D67" s="273"/>
      <c r="E67" s="268" t="s">
        <v>513</v>
      </c>
      <c r="F67" s="280">
        <v>37239</v>
      </c>
      <c r="G67" s="281">
        <v>0</v>
      </c>
      <c r="H67" s="282">
        <v>347</v>
      </c>
      <c r="I67" s="281">
        <v>210</v>
      </c>
      <c r="J67" s="284">
        <v>566</v>
      </c>
      <c r="K67" s="280">
        <v>37668</v>
      </c>
      <c r="L67" s="281">
        <v>97</v>
      </c>
      <c r="M67" s="282">
        <v>625</v>
      </c>
      <c r="N67" s="281">
        <v>231</v>
      </c>
      <c r="O67" s="284">
        <v>625</v>
      </c>
      <c r="P67" s="280">
        <v>37802</v>
      </c>
      <c r="Q67" s="281">
        <v>84</v>
      </c>
      <c r="R67" s="282">
        <v>535</v>
      </c>
      <c r="S67" s="281">
        <v>199</v>
      </c>
      <c r="T67" s="284">
        <v>535</v>
      </c>
      <c r="U67" s="283">
        <v>37917</v>
      </c>
      <c r="V67" s="281">
        <v>77</v>
      </c>
      <c r="W67" s="282">
        <v>190</v>
      </c>
      <c r="X67" s="281">
        <v>182</v>
      </c>
      <c r="Y67" s="282">
        <v>190</v>
      </c>
      <c r="Z67" s="280">
        <v>38022</v>
      </c>
      <c r="AA67" s="281">
        <v>73</v>
      </c>
      <c r="AB67" s="282">
        <v>190</v>
      </c>
      <c r="AC67" s="281">
        <v>173</v>
      </c>
      <c r="AD67" s="282">
        <v>190</v>
      </c>
      <c r="AE67" s="280">
        <v>38122</v>
      </c>
    </row>
    <row r="68" spans="2:31">
      <c r="B68" s="279"/>
      <c r="C68" s="268"/>
      <c r="D68" s="273"/>
      <c r="E68" s="268" t="s">
        <v>514</v>
      </c>
      <c r="F68" s="280">
        <v>12157</v>
      </c>
      <c r="G68" s="281">
        <v>0</v>
      </c>
      <c r="H68" s="282">
        <v>96</v>
      </c>
      <c r="I68" s="281">
        <v>150</v>
      </c>
      <c r="J68" s="284">
        <v>161</v>
      </c>
      <c r="K68" s="280">
        <v>12372</v>
      </c>
      <c r="L68" s="281">
        <v>0</v>
      </c>
      <c r="M68" s="282">
        <v>146</v>
      </c>
      <c r="N68" s="281">
        <v>143</v>
      </c>
      <c r="O68" s="284">
        <v>154</v>
      </c>
      <c r="P68" s="280">
        <v>12523</v>
      </c>
      <c r="Q68" s="281">
        <v>0</v>
      </c>
      <c r="R68" s="282">
        <v>136</v>
      </c>
      <c r="S68" s="281">
        <v>137</v>
      </c>
      <c r="T68" s="284">
        <v>147</v>
      </c>
      <c r="U68" s="283">
        <v>12671</v>
      </c>
      <c r="V68" s="281">
        <v>0</v>
      </c>
      <c r="W68" s="282">
        <v>40</v>
      </c>
      <c r="X68" s="281">
        <v>118</v>
      </c>
      <c r="Y68" s="282">
        <v>40</v>
      </c>
      <c r="Z68" s="280">
        <v>12789</v>
      </c>
      <c r="AA68" s="281">
        <v>0</v>
      </c>
      <c r="AB68" s="282">
        <v>40</v>
      </c>
      <c r="AC68" s="281">
        <v>112</v>
      </c>
      <c r="AD68" s="282">
        <v>40</v>
      </c>
      <c r="AE68" s="280">
        <v>12901</v>
      </c>
    </row>
    <row r="69" spans="2:31">
      <c r="B69" s="279"/>
      <c r="C69" s="268"/>
      <c r="D69" s="273"/>
      <c r="E69" s="268" t="s">
        <v>515</v>
      </c>
      <c r="F69" s="280">
        <v>0</v>
      </c>
      <c r="G69" s="281">
        <v>0</v>
      </c>
      <c r="H69" s="282">
        <v>0</v>
      </c>
      <c r="I69" s="281">
        <v>0</v>
      </c>
      <c r="J69" s="284">
        <v>0</v>
      </c>
      <c r="K69" s="280">
        <v>0</v>
      </c>
      <c r="L69" s="281">
        <v>0</v>
      </c>
      <c r="M69" s="282">
        <v>0</v>
      </c>
      <c r="N69" s="281">
        <v>0</v>
      </c>
      <c r="O69" s="284">
        <v>0</v>
      </c>
      <c r="P69" s="280">
        <v>0</v>
      </c>
      <c r="Q69" s="281">
        <v>0</v>
      </c>
      <c r="R69" s="282">
        <v>0</v>
      </c>
      <c r="S69" s="281">
        <v>0</v>
      </c>
      <c r="T69" s="284">
        <v>0</v>
      </c>
      <c r="U69" s="283">
        <v>0</v>
      </c>
      <c r="V69" s="281">
        <v>0</v>
      </c>
      <c r="W69" s="282">
        <v>0</v>
      </c>
      <c r="X69" s="281">
        <v>0</v>
      </c>
      <c r="Y69" s="282">
        <v>0</v>
      </c>
      <c r="Z69" s="280">
        <v>0</v>
      </c>
      <c r="AA69" s="281">
        <v>0</v>
      </c>
      <c r="AB69" s="282">
        <v>0</v>
      </c>
      <c r="AC69" s="281">
        <v>0</v>
      </c>
      <c r="AD69" s="282">
        <v>0</v>
      </c>
      <c r="AE69" s="280">
        <v>0</v>
      </c>
    </row>
    <row r="70" spans="2:31">
      <c r="B70" s="279"/>
      <c r="C70" s="268"/>
      <c r="D70" s="273"/>
      <c r="E70" s="268" t="s">
        <v>516</v>
      </c>
      <c r="F70" s="280">
        <v>0</v>
      </c>
      <c r="G70" s="281">
        <v>0</v>
      </c>
      <c r="H70" s="282">
        <v>0</v>
      </c>
      <c r="I70" s="281">
        <v>0</v>
      </c>
      <c r="J70" s="284">
        <v>0</v>
      </c>
      <c r="K70" s="280">
        <v>0</v>
      </c>
      <c r="L70" s="281">
        <v>0</v>
      </c>
      <c r="M70" s="282">
        <v>0</v>
      </c>
      <c r="N70" s="281">
        <v>0</v>
      </c>
      <c r="O70" s="284">
        <v>0</v>
      </c>
      <c r="P70" s="280">
        <v>0</v>
      </c>
      <c r="Q70" s="281">
        <v>0</v>
      </c>
      <c r="R70" s="282">
        <v>0</v>
      </c>
      <c r="S70" s="281">
        <v>0</v>
      </c>
      <c r="T70" s="284">
        <v>0</v>
      </c>
      <c r="U70" s="283">
        <v>0</v>
      </c>
      <c r="V70" s="281">
        <v>0</v>
      </c>
      <c r="W70" s="282">
        <v>0</v>
      </c>
      <c r="X70" s="281">
        <v>0</v>
      </c>
      <c r="Y70" s="282">
        <v>0</v>
      </c>
      <c r="Z70" s="280">
        <v>0</v>
      </c>
      <c r="AA70" s="281">
        <v>0</v>
      </c>
      <c r="AB70" s="282">
        <v>0</v>
      </c>
      <c r="AC70" s="281">
        <v>0</v>
      </c>
      <c r="AD70" s="282">
        <v>0</v>
      </c>
      <c r="AE70" s="280">
        <v>0</v>
      </c>
    </row>
    <row r="71" spans="2:31" ht="13.5" thickBot="1">
      <c r="B71" s="264"/>
      <c r="C71" s="265"/>
      <c r="D71" s="265"/>
      <c r="E71" s="265"/>
      <c r="F71" s="290"/>
      <c r="G71" s="291"/>
      <c r="H71" s="292"/>
      <c r="I71" s="291"/>
      <c r="J71" s="293"/>
      <c r="K71" s="294"/>
      <c r="L71" s="291"/>
      <c r="M71" s="292"/>
      <c r="N71" s="291"/>
      <c r="O71" s="293"/>
      <c r="P71" s="294"/>
      <c r="Q71" s="291"/>
      <c r="R71" s="292"/>
      <c r="S71" s="291"/>
      <c r="T71" s="293"/>
      <c r="U71" s="295"/>
      <c r="V71" s="291"/>
      <c r="W71" s="292"/>
      <c r="X71" s="291"/>
      <c r="Y71" s="292"/>
      <c r="Z71" s="294"/>
      <c r="AA71" s="291"/>
      <c r="AB71" s="292"/>
      <c r="AC71" s="291"/>
      <c r="AD71" s="292"/>
      <c r="AE71" s="294"/>
    </row>
    <row r="72" spans="2:31">
      <c r="B72" s="296"/>
      <c r="C72" s="297" t="s">
        <v>530</v>
      </c>
      <c r="D72" s="297"/>
      <c r="E72" s="298"/>
      <c r="F72" s="299"/>
      <c r="G72" s="300"/>
      <c r="H72" s="301"/>
      <c r="I72" s="300"/>
      <c r="J72" s="302"/>
      <c r="K72" s="299"/>
      <c r="L72" s="300"/>
      <c r="M72" s="301"/>
      <c r="N72" s="300"/>
      <c r="O72" s="302"/>
      <c r="P72" s="299"/>
      <c r="Q72" s="300"/>
      <c r="R72" s="301"/>
      <c r="S72" s="300"/>
      <c r="T72" s="302"/>
      <c r="U72" s="303"/>
      <c r="V72" s="300"/>
      <c r="W72" s="301"/>
      <c r="X72" s="300"/>
      <c r="Y72" s="301"/>
      <c r="Z72" s="299"/>
      <c r="AA72" s="300"/>
      <c r="AB72" s="301"/>
      <c r="AC72" s="300"/>
      <c r="AD72" s="301"/>
      <c r="AE72" s="299"/>
    </row>
    <row r="73" spans="2:31">
      <c r="B73" s="279"/>
      <c r="C73" s="268"/>
      <c r="D73" s="273" t="s">
        <v>584</v>
      </c>
      <c r="E73" s="268"/>
      <c r="F73" s="285"/>
      <c r="G73" s="286"/>
      <c r="H73" s="287"/>
      <c r="I73" s="286"/>
      <c r="J73" s="288"/>
      <c r="K73" s="285"/>
      <c r="L73" s="286"/>
      <c r="M73" s="287"/>
      <c r="N73" s="286"/>
      <c r="O73" s="288"/>
      <c r="P73" s="285"/>
      <c r="Q73" s="286"/>
      <c r="R73" s="287"/>
      <c r="S73" s="286"/>
      <c r="T73" s="288"/>
      <c r="U73" s="289"/>
      <c r="V73" s="286"/>
      <c r="W73" s="287"/>
      <c r="X73" s="286"/>
      <c r="Y73" s="287"/>
      <c r="Z73" s="285"/>
      <c r="AA73" s="286"/>
      <c r="AB73" s="287"/>
      <c r="AC73" s="286"/>
      <c r="AD73" s="287"/>
      <c r="AE73" s="285"/>
    </row>
    <row r="74" spans="2:31">
      <c r="B74" s="279"/>
      <c r="C74" s="268"/>
      <c r="D74" s="268"/>
      <c r="E74" s="268" t="s">
        <v>531</v>
      </c>
      <c r="F74" s="280">
        <v>2792</v>
      </c>
      <c r="G74" s="281">
        <v>0</v>
      </c>
      <c r="H74" s="282">
        <v>3</v>
      </c>
      <c r="I74" s="281">
        <v>0</v>
      </c>
      <c r="J74" s="284">
        <v>3</v>
      </c>
      <c r="K74" s="280">
        <v>2792</v>
      </c>
      <c r="L74" s="281">
        <v>0</v>
      </c>
      <c r="M74" s="282">
        <v>51</v>
      </c>
      <c r="N74" s="281">
        <v>0</v>
      </c>
      <c r="O74" s="284">
        <v>45</v>
      </c>
      <c r="P74" s="280">
        <v>2786</v>
      </c>
      <c r="Q74" s="281">
        <v>0</v>
      </c>
      <c r="R74" s="282">
        <v>30</v>
      </c>
      <c r="S74" s="281">
        <v>13</v>
      </c>
      <c r="T74" s="284">
        <v>30</v>
      </c>
      <c r="U74" s="283">
        <v>2799</v>
      </c>
      <c r="V74" s="281">
        <v>0</v>
      </c>
      <c r="W74" s="282">
        <v>0</v>
      </c>
      <c r="X74" s="281">
        <v>6</v>
      </c>
      <c r="Y74" s="282">
        <v>0</v>
      </c>
      <c r="Z74" s="280">
        <v>2805</v>
      </c>
      <c r="AA74" s="281">
        <v>0</v>
      </c>
      <c r="AB74" s="282">
        <v>0</v>
      </c>
      <c r="AC74" s="281">
        <v>3</v>
      </c>
      <c r="AD74" s="282">
        <v>0</v>
      </c>
      <c r="AE74" s="280">
        <v>2808</v>
      </c>
    </row>
    <row r="75" spans="2:31">
      <c r="B75" s="279"/>
      <c r="C75" s="268"/>
      <c r="D75" s="273"/>
      <c r="E75" s="268" t="s">
        <v>532</v>
      </c>
      <c r="F75" s="280">
        <v>101</v>
      </c>
      <c r="G75" s="281">
        <v>0</v>
      </c>
      <c r="H75" s="282">
        <v>0</v>
      </c>
      <c r="I75" s="281">
        <v>0</v>
      </c>
      <c r="J75" s="284">
        <v>0</v>
      </c>
      <c r="K75" s="280">
        <v>101</v>
      </c>
      <c r="L75" s="281">
        <v>0</v>
      </c>
      <c r="M75" s="282">
        <v>0</v>
      </c>
      <c r="N75" s="281">
        <v>0</v>
      </c>
      <c r="O75" s="284">
        <v>0</v>
      </c>
      <c r="P75" s="280">
        <v>101</v>
      </c>
      <c r="Q75" s="281">
        <v>0</v>
      </c>
      <c r="R75" s="282">
        <v>0</v>
      </c>
      <c r="S75" s="281">
        <v>0</v>
      </c>
      <c r="T75" s="284">
        <v>0</v>
      </c>
      <c r="U75" s="283">
        <v>101</v>
      </c>
      <c r="V75" s="281">
        <v>0</v>
      </c>
      <c r="W75" s="282">
        <v>0</v>
      </c>
      <c r="X75" s="281">
        <v>0</v>
      </c>
      <c r="Y75" s="282">
        <v>0</v>
      </c>
      <c r="Z75" s="280">
        <v>101</v>
      </c>
      <c r="AA75" s="281">
        <v>0</v>
      </c>
      <c r="AB75" s="282">
        <v>0</v>
      </c>
      <c r="AC75" s="281">
        <v>0</v>
      </c>
      <c r="AD75" s="282">
        <v>0</v>
      </c>
      <c r="AE75" s="280">
        <v>101</v>
      </c>
    </row>
    <row r="76" spans="2:31">
      <c r="B76" s="279"/>
      <c r="C76" s="268"/>
      <c r="D76" s="273"/>
      <c r="E76" s="268" t="s">
        <v>533</v>
      </c>
      <c r="F76" s="280">
        <v>0</v>
      </c>
      <c r="G76" s="281">
        <v>0</v>
      </c>
      <c r="H76" s="282">
        <v>0</v>
      </c>
      <c r="I76" s="281">
        <v>0</v>
      </c>
      <c r="J76" s="284">
        <v>0</v>
      </c>
      <c r="K76" s="280">
        <v>0</v>
      </c>
      <c r="L76" s="281">
        <v>0</v>
      </c>
      <c r="M76" s="282">
        <v>0</v>
      </c>
      <c r="N76" s="281">
        <v>0</v>
      </c>
      <c r="O76" s="284">
        <v>0</v>
      </c>
      <c r="P76" s="280">
        <v>0</v>
      </c>
      <c r="Q76" s="281">
        <v>0</v>
      </c>
      <c r="R76" s="282">
        <v>0</v>
      </c>
      <c r="S76" s="281">
        <v>0</v>
      </c>
      <c r="T76" s="284">
        <v>0</v>
      </c>
      <c r="U76" s="283">
        <v>0</v>
      </c>
      <c r="V76" s="281">
        <v>0</v>
      </c>
      <c r="W76" s="282">
        <v>0</v>
      </c>
      <c r="X76" s="281">
        <v>0</v>
      </c>
      <c r="Y76" s="282">
        <v>0</v>
      </c>
      <c r="Z76" s="280">
        <v>0</v>
      </c>
      <c r="AA76" s="281">
        <v>0</v>
      </c>
      <c r="AB76" s="282">
        <v>0</v>
      </c>
      <c r="AC76" s="281">
        <v>0</v>
      </c>
      <c r="AD76" s="282">
        <v>0</v>
      </c>
      <c r="AE76" s="280">
        <v>0</v>
      </c>
    </row>
    <row r="77" spans="2:31">
      <c r="B77" s="279"/>
      <c r="C77" s="268"/>
      <c r="D77" s="273"/>
      <c r="E77" s="268" t="s">
        <v>534</v>
      </c>
      <c r="F77" s="280">
        <v>0</v>
      </c>
      <c r="G77" s="281">
        <v>0</v>
      </c>
      <c r="H77" s="282">
        <v>0</v>
      </c>
      <c r="I77" s="281">
        <v>0</v>
      </c>
      <c r="J77" s="284">
        <v>0</v>
      </c>
      <c r="K77" s="280">
        <v>0</v>
      </c>
      <c r="L77" s="281">
        <v>0</v>
      </c>
      <c r="M77" s="282">
        <v>0</v>
      </c>
      <c r="N77" s="281">
        <v>0</v>
      </c>
      <c r="O77" s="284">
        <v>0</v>
      </c>
      <c r="P77" s="280">
        <v>0</v>
      </c>
      <c r="Q77" s="281">
        <v>0</v>
      </c>
      <c r="R77" s="282">
        <v>0</v>
      </c>
      <c r="S77" s="281">
        <v>0</v>
      </c>
      <c r="T77" s="284">
        <v>0</v>
      </c>
      <c r="U77" s="283">
        <v>0</v>
      </c>
      <c r="V77" s="281">
        <v>0</v>
      </c>
      <c r="W77" s="282">
        <v>0</v>
      </c>
      <c r="X77" s="281">
        <v>0</v>
      </c>
      <c r="Y77" s="282">
        <v>0</v>
      </c>
      <c r="Z77" s="280">
        <v>0</v>
      </c>
      <c r="AA77" s="281">
        <v>0</v>
      </c>
      <c r="AB77" s="282">
        <v>0</v>
      </c>
      <c r="AC77" s="281">
        <v>0</v>
      </c>
      <c r="AD77" s="282">
        <v>0</v>
      </c>
      <c r="AE77" s="280">
        <v>0</v>
      </c>
    </row>
    <row r="78" spans="2:31">
      <c r="B78" s="279"/>
      <c r="C78" s="268"/>
      <c r="D78" s="273"/>
      <c r="E78" s="268"/>
      <c r="F78" s="285"/>
      <c r="G78" s="286"/>
      <c r="H78" s="287"/>
      <c r="I78" s="286"/>
      <c r="J78" s="288"/>
      <c r="K78" s="285"/>
      <c r="L78" s="286"/>
      <c r="M78" s="287"/>
      <c r="N78" s="286"/>
      <c r="O78" s="288"/>
      <c r="P78" s="285"/>
      <c r="Q78" s="286"/>
      <c r="R78" s="287"/>
      <c r="S78" s="286"/>
      <c r="T78" s="288"/>
      <c r="U78" s="289"/>
      <c r="V78" s="286"/>
      <c r="W78" s="287"/>
      <c r="X78" s="286"/>
      <c r="Y78" s="287"/>
      <c r="Z78" s="285"/>
      <c r="AA78" s="286"/>
      <c r="AB78" s="287"/>
      <c r="AC78" s="286"/>
      <c r="AD78" s="287"/>
      <c r="AE78" s="285"/>
    </row>
    <row r="79" spans="2:31">
      <c r="B79" s="279"/>
      <c r="C79" s="268"/>
      <c r="D79" s="273" t="s">
        <v>745</v>
      </c>
      <c r="E79" s="268"/>
      <c r="F79" s="285"/>
      <c r="G79" s="286"/>
      <c r="H79" s="287"/>
      <c r="I79" s="286"/>
      <c r="J79" s="288"/>
      <c r="K79" s="285"/>
      <c r="L79" s="286"/>
      <c r="M79" s="287"/>
      <c r="N79" s="286"/>
      <c r="O79" s="288"/>
      <c r="P79" s="285"/>
      <c r="Q79" s="286"/>
      <c r="R79" s="287"/>
      <c r="S79" s="286"/>
      <c r="T79" s="288"/>
      <c r="U79" s="289"/>
      <c r="V79" s="286"/>
      <c r="W79" s="287"/>
      <c r="X79" s="286"/>
      <c r="Y79" s="287"/>
      <c r="Z79" s="285"/>
      <c r="AA79" s="286"/>
      <c r="AB79" s="287"/>
      <c r="AC79" s="286"/>
      <c r="AD79" s="287"/>
      <c r="AE79" s="285"/>
    </row>
    <row r="80" spans="2:31">
      <c r="B80" s="279"/>
      <c r="C80" s="268"/>
      <c r="D80" s="268"/>
      <c r="E80" s="268" t="s">
        <v>535</v>
      </c>
      <c r="F80" s="280">
        <v>29222</v>
      </c>
      <c r="G80" s="281">
        <v>0</v>
      </c>
      <c r="H80" s="282">
        <v>228</v>
      </c>
      <c r="I80" s="281">
        <v>0</v>
      </c>
      <c r="J80" s="284">
        <v>220</v>
      </c>
      <c r="K80" s="280">
        <v>29214</v>
      </c>
      <c r="L80" s="281">
        <v>0</v>
      </c>
      <c r="M80" s="282">
        <v>339</v>
      </c>
      <c r="N80" s="281">
        <v>0</v>
      </c>
      <c r="O80" s="284">
        <v>281</v>
      </c>
      <c r="P80" s="280">
        <v>29156</v>
      </c>
      <c r="Q80" s="281">
        <v>0</v>
      </c>
      <c r="R80" s="282">
        <v>196</v>
      </c>
      <c r="S80" s="281">
        <v>130</v>
      </c>
      <c r="T80" s="284">
        <v>196</v>
      </c>
      <c r="U80" s="283">
        <v>29286</v>
      </c>
      <c r="V80" s="281">
        <v>0</v>
      </c>
      <c r="W80" s="282">
        <v>200</v>
      </c>
      <c r="X80" s="281">
        <v>48</v>
      </c>
      <c r="Y80" s="282">
        <v>200</v>
      </c>
      <c r="Z80" s="280">
        <v>29334</v>
      </c>
      <c r="AA80" s="281">
        <v>0</v>
      </c>
      <c r="AB80" s="282">
        <v>160</v>
      </c>
      <c r="AC80" s="281">
        <v>24</v>
      </c>
      <c r="AD80" s="282">
        <v>160</v>
      </c>
      <c r="AE80" s="280">
        <v>29358</v>
      </c>
    </row>
    <row r="81" spans="2:31">
      <c r="B81" s="279"/>
      <c r="C81" s="268"/>
      <c r="D81" s="268"/>
      <c r="E81" s="268" t="s">
        <v>536</v>
      </c>
      <c r="F81" s="280">
        <v>431</v>
      </c>
      <c r="G81" s="281">
        <v>0</v>
      </c>
      <c r="H81" s="282">
        <v>0</v>
      </c>
      <c r="I81" s="281">
        <v>0</v>
      </c>
      <c r="J81" s="284">
        <v>0</v>
      </c>
      <c r="K81" s="280">
        <v>431</v>
      </c>
      <c r="L81" s="281">
        <v>0</v>
      </c>
      <c r="M81" s="282">
        <v>0</v>
      </c>
      <c r="N81" s="281">
        <v>0</v>
      </c>
      <c r="O81" s="284">
        <v>0</v>
      </c>
      <c r="P81" s="280">
        <v>431</v>
      </c>
      <c r="Q81" s="281">
        <v>0</v>
      </c>
      <c r="R81" s="282">
        <v>0</v>
      </c>
      <c r="S81" s="281">
        <v>0</v>
      </c>
      <c r="T81" s="284">
        <v>0</v>
      </c>
      <c r="U81" s="283">
        <v>431</v>
      </c>
      <c r="V81" s="281">
        <v>0</v>
      </c>
      <c r="W81" s="282">
        <v>0</v>
      </c>
      <c r="X81" s="281">
        <v>0</v>
      </c>
      <c r="Y81" s="282">
        <v>0</v>
      </c>
      <c r="Z81" s="280">
        <v>431</v>
      </c>
      <c r="AA81" s="281">
        <v>0</v>
      </c>
      <c r="AB81" s="282">
        <v>0</v>
      </c>
      <c r="AC81" s="281">
        <v>0</v>
      </c>
      <c r="AD81" s="282">
        <v>0</v>
      </c>
      <c r="AE81" s="280">
        <v>431</v>
      </c>
    </row>
    <row r="82" spans="2:31">
      <c r="B82" s="279"/>
      <c r="C82" s="268"/>
      <c r="D82" s="273"/>
      <c r="E82" s="268" t="s">
        <v>537</v>
      </c>
      <c r="F82" s="280">
        <v>0</v>
      </c>
      <c r="G82" s="281">
        <v>0</v>
      </c>
      <c r="H82" s="282">
        <v>0</v>
      </c>
      <c r="I82" s="281">
        <v>0</v>
      </c>
      <c r="J82" s="284">
        <v>0</v>
      </c>
      <c r="K82" s="280">
        <v>0</v>
      </c>
      <c r="L82" s="281">
        <v>0</v>
      </c>
      <c r="M82" s="282">
        <v>0</v>
      </c>
      <c r="N82" s="281">
        <v>0</v>
      </c>
      <c r="O82" s="284">
        <v>0</v>
      </c>
      <c r="P82" s="280">
        <v>0</v>
      </c>
      <c r="Q82" s="281">
        <v>0</v>
      </c>
      <c r="R82" s="282">
        <v>0</v>
      </c>
      <c r="S82" s="281">
        <v>0</v>
      </c>
      <c r="T82" s="284">
        <v>0</v>
      </c>
      <c r="U82" s="283">
        <v>0</v>
      </c>
      <c r="V82" s="281">
        <v>0</v>
      </c>
      <c r="W82" s="282">
        <v>0</v>
      </c>
      <c r="X82" s="281">
        <v>0</v>
      </c>
      <c r="Y82" s="282">
        <v>0</v>
      </c>
      <c r="Z82" s="280">
        <v>0</v>
      </c>
      <c r="AA82" s="281">
        <v>0</v>
      </c>
      <c r="AB82" s="282">
        <v>0</v>
      </c>
      <c r="AC82" s="281">
        <v>0</v>
      </c>
      <c r="AD82" s="282">
        <v>0</v>
      </c>
      <c r="AE82" s="280">
        <v>0</v>
      </c>
    </row>
    <row r="83" spans="2:31">
      <c r="B83" s="279"/>
      <c r="C83" s="268"/>
      <c r="D83" s="273"/>
      <c r="E83" s="268" t="s">
        <v>538</v>
      </c>
      <c r="F83" s="280">
        <v>0</v>
      </c>
      <c r="G83" s="281">
        <v>0</v>
      </c>
      <c r="H83" s="282">
        <v>0</v>
      </c>
      <c r="I83" s="281">
        <v>0</v>
      </c>
      <c r="J83" s="284">
        <v>0</v>
      </c>
      <c r="K83" s="280">
        <v>0</v>
      </c>
      <c r="L83" s="281">
        <v>0</v>
      </c>
      <c r="M83" s="282">
        <v>0</v>
      </c>
      <c r="N83" s="281">
        <v>0</v>
      </c>
      <c r="O83" s="284">
        <v>0</v>
      </c>
      <c r="P83" s="280">
        <v>0</v>
      </c>
      <c r="Q83" s="281">
        <v>0</v>
      </c>
      <c r="R83" s="282">
        <v>0</v>
      </c>
      <c r="S83" s="281">
        <v>0</v>
      </c>
      <c r="T83" s="284">
        <v>0</v>
      </c>
      <c r="U83" s="283">
        <v>0</v>
      </c>
      <c r="V83" s="281">
        <v>0</v>
      </c>
      <c r="W83" s="282">
        <v>0</v>
      </c>
      <c r="X83" s="281">
        <v>0</v>
      </c>
      <c r="Y83" s="282">
        <v>0</v>
      </c>
      <c r="Z83" s="280">
        <v>0</v>
      </c>
      <c r="AA83" s="281">
        <v>0</v>
      </c>
      <c r="AB83" s="282">
        <v>0</v>
      </c>
      <c r="AC83" s="281">
        <v>0</v>
      </c>
      <c r="AD83" s="282">
        <v>0</v>
      </c>
      <c r="AE83" s="280">
        <v>0</v>
      </c>
    </row>
    <row r="84" spans="2:31">
      <c r="B84" s="279"/>
      <c r="C84" s="268"/>
      <c r="D84" s="268"/>
      <c r="E84" s="268"/>
      <c r="F84" s="285"/>
      <c r="G84" s="286"/>
      <c r="H84" s="287"/>
      <c r="I84" s="286"/>
      <c r="J84" s="288"/>
      <c r="K84" s="285"/>
      <c r="L84" s="286"/>
      <c r="M84" s="287"/>
      <c r="N84" s="286"/>
      <c r="O84" s="288"/>
      <c r="P84" s="285"/>
      <c r="Q84" s="286"/>
      <c r="R84" s="287"/>
      <c r="S84" s="286"/>
      <c r="T84" s="288"/>
      <c r="U84" s="289"/>
      <c r="V84" s="286"/>
      <c r="W84" s="287"/>
      <c r="X84" s="286"/>
      <c r="Y84" s="287"/>
      <c r="Z84" s="285"/>
      <c r="AA84" s="286"/>
      <c r="AB84" s="287"/>
      <c r="AC84" s="286"/>
      <c r="AD84" s="287"/>
      <c r="AE84" s="285"/>
    </row>
    <row r="85" spans="2:31">
      <c r="B85" s="266"/>
      <c r="C85" s="268"/>
      <c r="D85" s="273" t="s">
        <v>769</v>
      </c>
      <c r="E85" s="268"/>
      <c r="F85" s="285"/>
      <c r="G85" s="286"/>
      <c r="H85" s="287"/>
      <c r="I85" s="286"/>
      <c r="J85" s="288"/>
      <c r="K85" s="285"/>
      <c r="L85" s="286"/>
      <c r="M85" s="287"/>
      <c r="N85" s="286"/>
      <c r="O85" s="288"/>
      <c r="P85" s="285"/>
      <c r="Q85" s="286"/>
      <c r="R85" s="287"/>
      <c r="S85" s="286"/>
      <c r="T85" s="288"/>
      <c r="U85" s="289"/>
      <c r="V85" s="286"/>
      <c r="W85" s="287"/>
      <c r="X85" s="286"/>
      <c r="Y85" s="287"/>
      <c r="Z85" s="285"/>
      <c r="AA85" s="286"/>
      <c r="AB85" s="287"/>
      <c r="AC85" s="286"/>
      <c r="AD85" s="287"/>
      <c r="AE85" s="285"/>
    </row>
    <row r="86" spans="2:31">
      <c r="B86" s="266"/>
      <c r="C86" s="268"/>
      <c r="D86" s="273"/>
      <c r="E86" s="268" t="s">
        <v>417</v>
      </c>
      <c r="F86" s="280">
        <v>706.17</v>
      </c>
      <c r="G86" s="281">
        <v>0</v>
      </c>
      <c r="H86" s="282">
        <v>1</v>
      </c>
      <c r="I86" s="281">
        <v>14</v>
      </c>
      <c r="J86" s="284">
        <v>1</v>
      </c>
      <c r="K86" s="280">
        <v>720.17</v>
      </c>
      <c r="L86" s="281">
        <v>0</v>
      </c>
      <c r="M86" s="282">
        <v>0.3</v>
      </c>
      <c r="N86" s="281">
        <v>12.2</v>
      </c>
      <c r="O86" s="284">
        <v>1.2</v>
      </c>
      <c r="P86" s="280">
        <v>733.27</v>
      </c>
      <c r="Q86" s="281">
        <v>0</v>
      </c>
      <c r="R86" s="282">
        <v>0.5</v>
      </c>
      <c r="S86" s="281">
        <v>5.9</v>
      </c>
      <c r="T86" s="284">
        <v>0.5</v>
      </c>
      <c r="U86" s="283">
        <v>739.17</v>
      </c>
      <c r="V86" s="281">
        <v>0</v>
      </c>
      <c r="W86" s="282">
        <v>0</v>
      </c>
      <c r="X86" s="281">
        <v>8</v>
      </c>
      <c r="Y86" s="282">
        <v>4</v>
      </c>
      <c r="Z86" s="280">
        <v>751.17</v>
      </c>
      <c r="AA86" s="281">
        <v>0</v>
      </c>
      <c r="AB86" s="282">
        <v>0</v>
      </c>
      <c r="AC86" s="281">
        <v>12</v>
      </c>
      <c r="AD86" s="282">
        <v>4</v>
      </c>
      <c r="AE86" s="280">
        <v>767.17</v>
      </c>
    </row>
    <row r="87" spans="2:31">
      <c r="B87" s="266"/>
      <c r="C87" s="268"/>
      <c r="D87" s="273"/>
      <c r="E87" s="268" t="s">
        <v>418</v>
      </c>
      <c r="F87" s="280">
        <v>71.135000000000005</v>
      </c>
      <c r="G87" s="281">
        <v>0</v>
      </c>
      <c r="H87" s="282">
        <v>0</v>
      </c>
      <c r="I87" s="281">
        <v>0</v>
      </c>
      <c r="J87" s="284">
        <v>0</v>
      </c>
      <c r="K87" s="280">
        <v>71.135000000000005</v>
      </c>
      <c r="L87" s="281">
        <v>0</v>
      </c>
      <c r="M87" s="282">
        <v>0</v>
      </c>
      <c r="N87" s="281">
        <v>0</v>
      </c>
      <c r="O87" s="284">
        <v>0</v>
      </c>
      <c r="P87" s="280">
        <v>71.135000000000005</v>
      </c>
      <c r="Q87" s="281">
        <v>0</v>
      </c>
      <c r="R87" s="282">
        <v>0</v>
      </c>
      <c r="S87" s="281">
        <v>0</v>
      </c>
      <c r="T87" s="284">
        <v>0</v>
      </c>
      <c r="U87" s="283">
        <v>71.135000000000005</v>
      </c>
      <c r="V87" s="281">
        <v>0</v>
      </c>
      <c r="W87" s="282">
        <v>4</v>
      </c>
      <c r="X87" s="281">
        <v>0</v>
      </c>
      <c r="Y87" s="282">
        <v>0</v>
      </c>
      <c r="Z87" s="280">
        <v>67.135000000000005</v>
      </c>
      <c r="AA87" s="281">
        <v>0</v>
      </c>
      <c r="AB87" s="282">
        <v>4</v>
      </c>
      <c r="AC87" s="281">
        <v>0</v>
      </c>
      <c r="AD87" s="282">
        <v>0</v>
      </c>
      <c r="AE87" s="280">
        <v>63.135000000000005</v>
      </c>
    </row>
    <row r="88" spans="2:31">
      <c r="B88" s="266"/>
      <c r="C88" s="268"/>
      <c r="D88" s="273"/>
      <c r="E88" s="268" t="s">
        <v>419</v>
      </c>
      <c r="F88" s="280">
        <v>34</v>
      </c>
      <c r="G88" s="281">
        <v>0</v>
      </c>
      <c r="H88" s="282">
        <v>0</v>
      </c>
      <c r="I88" s="281">
        <v>0</v>
      </c>
      <c r="J88" s="284">
        <v>0</v>
      </c>
      <c r="K88" s="280">
        <v>34</v>
      </c>
      <c r="L88" s="281">
        <v>0</v>
      </c>
      <c r="M88" s="282">
        <v>0</v>
      </c>
      <c r="N88" s="281">
        <v>0</v>
      </c>
      <c r="O88" s="284">
        <v>0</v>
      </c>
      <c r="P88" s="280">
        <v>34</v>
      </c>
      <c r="Q88" s="281">
        <v>0</v>
      </c>
      <c r="R88" s="282">
        <v>0</v>
      </c>
      <c r="S88" s="281">
        <v>0</v>
      </c>
      <c r="T88" s="284">
        <v>0</v>
      </c>
      <c r="U88" s="283">
        <v>34</v>
      </c>
      <c r="V88" s="281">
        <v>0</v>
      </c>
      <c r="W88" s="282">
        <v>0</v>
      </c>
      <c r="X88" s="281">
        <v>0</v>
      </c>
      <c r="Y88" s="282">
        <v>0</v>
      </c>
      <c r="Z88" s="280">
        <v>34</v>
      </c>
      <c r="AA88" s="281">
        <v>0</v>
      </c>
      <c r="AB88" s="282">
        <v>0</v>
      </c>
      <c r="AC88" s="281">
        <v>0</v>
      </c>
      <c r="AD88" s="282">
        <v>0</v>
      </c>
      <c r="AE88" s="280">
        <v>34</v>
      </c>
    </row>
    <row r="89" spans="2:31">
      <c r="B89" s="266"/>
      <c r="C89" s="268"/>
      <c r="D89" s="273"/>
      <c r="E89" s="268" t="s">
        <v>543</v>
      </c>
      <c r="F89" s="280">
        <v>0</v>
      </c>
      <c r="G89" s="281">
        <v>0</v>
      </c>
      <c r="H89" s="282">
        <v>0</v>
      </c>
      <c r="I89" s="281">
        <v>0</v>
      </c>
      <c r="J89" s="284">
        <v>0</v>
      </c>
      <c r="K89" s="280">
        <v>0</v>
      </c>
      <c r="L89" s="281">
        <v>0</v>
      </c>
      <c r="M89" s="282">
        <v>0</v>
      </c>
      <c r="N89" s="281">
        <v>0</v>
      </c>
      <c r="O89" s="284">
        <v>0</v>
      </c>
      <c r="P89" s="280">
        <v>0</v>
      </c>
      <c r="Q89" s="281">
        <v>0</v>
      </c>
      <c r="R89" s="282">
        <v>0</v>
      </c>
      <c r="S89" s="281">
        <v>0</v>
      </c>
      <c r="T89" s="284">
        <v>0</v>
      </c>
      <c r="U89" s="283">
        <v>0</v>
      </c>
      <c r="V89" s="281">
        <v>0</v>
      </c>
      <c r="W89" s="282">
        <v>0</v>
      </c>
      <c r="X89" s="281">
        <v>0</v>
      </c>
      <c r="Y89" s="282">
        <v>0</v>
      </c>
      <c r="Z89" s="280">
        <v>0</v>
      </c>
      <c r="AA89" s="281">
        <v>0</v>
      </c>
      <c r="AB89" s="282">
        <v>0</v>
      </c>
      <c r="AC89" s="281">
        <v>0</v>
      </c>
      <c r="AD89" s="282">
        <v>0</v>
      </c>
      <c r="AE89" s="280">
        <v>0</v>
      </c>
    </row>
    <row r="90" spans="2:31">
      <c r="B90" s="266"/>
      <c r="C90" s="268"/>
      <c r="D90" s="273"/>
      <c r="E90" s="268" t="s">
        <v>429</v>
      </c>
      <c r="F90" s="280">
        <v>0</v>
      </c>
      <c r="G90" s="281">
        <v>0</v>
      </c>
      <c r="H90" s="282">
        <v>0</v>
      </c>
      <c r="I90" s="281">
        <v>0</v>
      </c>
      <c r="J90" s="284">
        <v>0</v>
      </c>
      <c r="K90" s="280">
        <v>0</v>
      </c>
      <c r="L90" s="281">
        <v>0</v>
      </c>
      <c r="M90" s="282">
        <v>0</v>
      </c>
      <c r="N90" s="281">
        <v>0</v>
      </c>
      <c r="O90" s="284">
        <v>0</v>
      </c>
      <c r="P90" s="280">
        <v>0</v>
      </c>
      <c r="Q90" s="281">
        <v>0</v>
      </c>
      <c r="R90" s="282">
        <v>0</v>
      </c>
      <c r="S90" s="281">
        <v>0</v>
      </c>
      <c r="T90" s="284">
        <v>0</v>
      </c>
      <c r="U90" s="283">
        <v>0</v>
      </c>
      <c r="V90" s="281">
        <v>0</v>
      </c>
      <c r="W90" s="282">
        <v>0</v>
      </c>
      <c r="X90" s="281">
        <v>0</v>
      </c>
      <c r="Y90" s="282">
        <v>0</v>
      </c>
      <c r="Z90" s="280">
        <v>0</v>
      </c>
      <c r="AA90" s="281">
        <v>0</v>
      </c>
      <c r="AB90" s="282">
        <v>0</v>
      </c>
      <c r="AC90" s="281">
        <v>0</v>
      </c>
      <c r="AD90" s="282">
        <v>0</v>
      </c>
      <c r="AE90" s="280">
        <v>0</v>
      </c>
    </row>
    <row r="91" spans="2:31">
      <c r="B91" s="266"/>
      <c r="C91" s="268"/>
      <c r="D91" s="273"/>
      <c r="E91" s="268" t="s">
        <v>430</v>
      </c>
      <c r="F91" s="280">
        <v>0</v>
      </c>
      <c r="G91" s="281">
        <v>0</v>
      </c>
      <c r="H91" s="282">
        <v>0</v>
      </c>
      <c r="I91" s="281">
        <v>0</v>
      </c>
      <c r="J91" s="284">
        <v>0</v>
      </c>
      <c r="K91" s="280">
        <v>0</v>
      </c>
      <c r="L91" s="281">
        <v>0</v>
      </c>
      <c r="M91" s="282">
        <v>0</v>
      </c>
      <c r="N91" s="281">
        <v>0</v>
      </c>
      <c r="O91" s="284">
        <v>0</v>
      </c>
      <c r="P91" s="280">
        <v>0</v>
      </c>
      <c r="Q91" s="281">
        <v>0</v>
      </c>
      <c r="R91" s="282">
        <v>0</v>
      </c>
      <c r="S91" s="281">
        <v>0</v>
      </c>
      <c r="T91" s="284">
        <v>0</v>
      </c>
      <c r="U91" s="283">
        <v>0</v>
      </c>
      <c r="V91" s="281">
        <v>0</v>
      </c>
      <c r="W91" s="282">
        <v>0</v>
      </c>
      <c r="X91" s="281">
        <v>0</v>
      </c>
      <c r="Y91" s="282">
        <v>0</v>
      </c>
      <c r="Z91" s="280">
        <v>0</v>
      </c>
      <c r="AA91" s="281">
        <v>0</v>
      </c>
      <c r="AB91" s="282">
        <v>0</v>
      </c>
      <c r="AC91" s="281">
        <v>0</v>
      </c>
      <c r="AD91" s="282">
        <v>0</v>
      </c>
      <c r="AE91" s="280">
        <v>0</v>
      </c>
    </row>
    <row r="92" spans="2:31">
      <c r="B92" s="266"/>
      <c r="C92" s="268"/>
      <c r="D92" s="268"/>
      <c r="E92" s="268"/>
      <c r="F92" s="285"/>
      <c r="G92" s="286"/>
      <c r="H92" s="287"/>
      <c r="I92" s="286"/>
      <c r="J92" s="288"/>
      <c r="K92" s="285"/>
      <c r="L92" s="286"/>
      <c r="M92" s="287"/>
      <c r="N92" s="286"/>
      <c r="O92" s="288"/>
      <c r="P92" s="285"/>
      <c r="Q92" s="286"/>
      <c r="R92" s="287"/>
      <c r="S92" s="286"/>
      <c r="T92" s="288"/>
      <c r="U92" s="289"/>
      <c r="V92" s="286"/>
      <c r="W92" s="287"/>
      <c r="X92" s="286"/>
      <c r="Y92" s="287"/>
      <c r="Z92" s="285"/>
      <c r="AA92" s="286"/>
      <c r="AB92" s="287"/>
      <c r="AC92" s="286"/>
      <c r="AD92" s="287"/>
      <c r="AE92" s="285"/>
    </row>
    <row r="93" spans="2:31">
      <c r="B93" s="266"/>
      <c r="C93" s="268"/>
      <c r="D93" s="273" t="s">
        <v>68</v>
      </c>
      <c r="E93" s="268"/>
      <c r="F93" s="285"/>
      <c r="G93" s="286"/>
      <c r="H93" s="287"/>
      <c r="I93" s="286"/>
      <c r="J93" s="288"/>
      <c r="K93" s="285"/>
      <c r="L93" s="286"/>
      <c r="M93" s="287"/>
      <c r="N93" s="286"/>
      <c r="O93" s="288"/>
      <c r="P93" s="285"/>
      <c r="Q93" s="286"/>
      <c r="R93" s="287"/>
      <c r="S93" s="286"/>
      <c r="T93" s="288"/>
      <c r="U93" s="289"/>
      <c r="V93" s="286"/>
      <c r="W93" s="287"/>
      <c r="X93" s="286"/>
      <c r="Y93" s="287"/>
      <c r="Z93" s="285"/>
      <c r="AA93" s="286"/>
      <c r="AB93" s="287"/>
      <c r="AC93" s="286"/>
      <c r="AD93" s="287"/>
      <c r="AE93" s="285"/>
    </row>
    <row r="94" spans="2:31">
      <c r="B94" s="266"/>
      <c r="C94" s="268"/>
      <c r="D94" s="268"/>
      <c r="E94" s="268" t="s">
        <v>389</v>
      </c>
      <c r="F94" s="280">
        <v>66</v>
      </c>
      <c r="G94" s="281">
        <v>0</v>
      </c>
      <c r="H94" s="282">
        <v>0</v>
      </c>
      <c r="I94" s="281">
        <v>0</v>
      </c>
      <c r="J94" s="284">
        <v>0</v>
      </c>
      <c r="K94" s="280">
        <v>66</v>
      </c>
      <c r="L94" s="281">
        <v>0</v>
      </c>
      <c r="M94" s="282">
        <v>0</v>
      </c>
      <c r="N94" s="281">
        <v>0</v>
      </c>
      <c r="O94" s="284">
        <v>0</v>
      </c>
      <c r="P94" s="280">
        <v>66</v>
      </c>
      <c r="Q94" s="281">
        <v>0</v>
      </c>
      <c r="R94" s="282">
        <v>0</v>
      </c>
      <c r="S94" s="281">
        <v>0</v>
      </c>
      <c r="T94" s="284">
        <v>0</v>
      </c>
      <c r="U94" s="283">
        <v>66</v>
      </c>
      <c r="V94" s="281">
        <v>0</v>
      </c>
      <c r="W94" s="282">
        <v>0</v>
      </c>
      <c r="X94" s="281">
        <v>0</v>
      </c>
      <c r="Y94" s="282">
        <v>0</v>
      </c>
      <c r="Z94" s="280">
        <v>66</v>
      </c>
      <c r="AA94" s="281">
        <v>0</v>
      </c>
      <c r="AB94" s="282">
        <v>0</v>
      </c>
      <c r="AC94" s="281">
        <v>0</v>
      </c>
      <c r="AD94" s="282">
        <v>0</v>
      </c>
      <c r="AE94" s="280">
        <v>66</v>
      </c>
    </row>
    <row r="95" spans="2:31">
      <c r="B95" s="266"/>
      <c r="C95" s="268"/>
      <c r="D95" s="273"/>
      <c r="E95" s="268"/>
      <c r="F95" s="285"/>
      <c r="G95" s="286"/>
      <c r="H95" s="287"/>
      <c r="I95" s="286"/>
      <c r="J95" s="288"/>
      <c r="K95" s="285"/>
      <c r="L95" s="286"/>
      <c r="M95" s="287"/>
      <c r="N95" s="286"/>
      <c r="O95" s="288"/>
      <c r="P95" s="285"/>
      <c r="Q95" s="286"/>
      <c r="R95" s="287"/>
      <c r="S95" s="286"/>
      <c r="T95" s="288"/>
      <c r="U95" s="289"/>
      <c r="V95" s="286"/>
      <c r="W95" s="287"/>
      <c r="X95" s="286"/>
      <c r="Y95" s="287"/>
      <c r="Z95" s="285"/>
      <c r="AA95" s="286"/>
      <c r="AB95" s="287"/>
      <c r="AC95" s="286"/>
      <c r="AD95" s="287"/>
      <c r="AE95" s="285"/>
    </row>
    <row r="96" spans="2:31">
      <c r="B96" s="266"/>
      <c r="C96" s="268"/>
      <c r="D96" s="273" t="s">
        <v>637</v>
      </c>
      <c r="E96" s="268"/>
      <c r="F96" s="285"/>
      <c r="G96" s="286"/>
      <c r="H96" s="287"/>
      <c r="I96" s="286"/>
      <c r="J96" s="288"/>
      <c r="K96" s="285"/>
      <c r="L96" s="286"/>
      <c r="M96" s="287"/>
      <c r="N96" s="286"/>
      <c r="O96" s="288"/>
      <c r="P96" s="285"/>
      <c r="Q96" s="286"/>
      <c r="R96" s="287"/>
      <c r="S96" s="286"/>
      <c r="T96" s="288"/>
      <c r="U96" s="289"/>
      <c r="V96" s="286"/>
      <c r="W96" s="287"/>
      <c r="X96" s="286"/>
      <c r="Y96" s="287"/>
      <c r="Z96" s="285"/>
      <c r="AA96" s="286"/>
      <c r="AB96" s="287"/>
      <c r="AC96" s="286"/>
      <c r="AD96" s="287"/>
      <c r="AE96" s="285"/>
    </row>
    <row r="97" spans="2:31">
      <c r="B97" s="266"/>
      <c r="C97" s="268"/>
      <c r="D97" s="273"/>
      <c r="E97" s="298" t="s">
        <v>390</v>
      </c>
      <c r="F97" s="280">
        <v>271</v>
      </c>
      <c r="G97" s="281">
        <v>0</v>
      </c>
      <c r="H97" s="282">
        <v>0</v>
      </c>
      <c r="I97" s="281">
        <v>4</v>
      </c>
      <c r="J97" s="284">
        <v>0</v>
      </c>
      <c r="K97" s="280">
        <v>275</v>
      </c>
      <c r="L97" s="281">
        <v>0</v>
      </c>
      <c r="M97" s="282">
        <v>0</v>
      </c>
      <c r="N97" s="281">
        <v>11</v>
      </c>
      <c r="O97" s="284">
        <v>0</v>
      </c>
      <c r="P97" s="280">
        <v>286</v>
      </c>
      <c r="Q97" s="281">
        <v>0</v>
      </c>
      <c r="R97" s="282">
        <v>0</v>
      </c>
      <c r="S97" s="281">
        <v>0</v>
      </c>
      <c r="T97" s="284">
        <v>0</v>
      </c>
      <c r="U97" s="283">
        <v>286</v>
      </c>
      <c r="V97" s="281">
        <v>0</v>
      </c>
      <c r="W97" s="282">
        <v>19</v>
      </c>
      <c r="X97" s="281">
        <v>4</v>
      </c>
      <c r="Y97" s="282">
        <v>19</v>
      </c>
      <c r="Z97" s="280">
        <v>290</v>
      </c>
      <c r="AA97" s="281">
        <v>0</v>
      </c>
      <c r="AB97" s="282">
        <v>19</v>
      </c>
      <c r="AC97" s="281">
        <v>6</v>
      </c>
      <c r="AD97" s="282">
        <v>19</v>
      </c>
      <c r="AE97" s="280">
        <v>296</v>
      </c>
    </row>
    <row r="98" spans="2:31">
      <c r="B98" s="266"/>
      <c r="C98" s="268"/>
      <c r="D98" s="273"/>
      <c r="E98" s="298" t="s">
        <v>391</v>
      </c>
      <c r="F98" s="280">
        <v>666</v>
      </c>
      <c r="G98" s="281">
        <v>7</v>
      </c>
      <c r="H98" s="282">
        <v>20</v>
      </c>
      <c r="I98" s="281">
        <v>2</v>
      </c>
      <c r="J98" s="284">
        <v>20</v>
      </c>
      <c r="K98" s="280">
        <v>661</v>
      </c>
      <c r="L98" s="281">
        <v>0</v>
      </c>
      <c r="M98" s="282">
        <v>7</v>
      </c>
      <c r="N98" s="281">
        <v>2</v>
      </c>
      <c r="O98" s="284">
        <v>15</v>
      </c>
      <c r="P98" s="280">
        <v>671</v>
      </c>
      <c r="Q98" s="281">
        <v>0</v>
      </c>
      <c r="R98" s="282">
        <v>7</v>
      </c>
      <c r="S98" s="281">
        <v>0</v>
      </c>
      <c r="T98" s="284">
        <v>7</v>
      </c>
      <c r="U98" s="283">
        <v>671</v>
      </c>
      <c r="V98" s="281">
        <v>0</v>
      </c>
      <c r="W98" s="282">
        <v>15</v>
      </c>
      <c r="X98" s="281">
        <v>2</v>
      </c>
      <c r="Y98" s="282">
        <v>15</v>
      </c>
      <c r="Z98" s="280">
        <v>673</v>
      </c>
      <c r="AA98" s="281">
        <v>0</v>
      </c>
      <c r="AB98" s="282">
        <v>15</v>
      </c>
      <c r="AC98" s="281">
        <v>2</v>
      </c>
      <c r="AD98" s="282">
        <v>15</v>
      </c>
      <c r="AE98" s="280">
        <v>675</v>
      </c>
    </row>
    <row r="99" spans="2:31">
      <c r="B99" s="266"/>
      <c r="C99" s="268"/>
      <c r="D99" s="273"/>
      <c r="E99" s="298" t="s">
        <v>392</v>
      </c>
      <c r="F99" s="280">
        <v>11</v>
      </c>
      <c r="G99" s="281">
        <v>0</v>
      </c>
      <c r="H99" s="282">
        <v>0</v>
      </c>
      <c r="I99" s="281">
        <v>0</v>
      </c>
      <c r="J99" s="284">
        <v>2</v>
      </c>
      <c r="K99" s="280">
        <v>13</v>
      </c>
      <c r="L99" s="281">
        <v>0</v>
      </c>
      <c r="M99" s="282">
        <v>0</v>
      </c>
      <c r="N99" s="281">
        <v>0</v>
      </c>
      <c r="O99" s="284">
        <v>0</v>
      </c>
      <c r="P99" s="280">
        <v>13</v>
      </c>
      <c r="Q99" s="281">
        <v>0</v>
      </c>
      <c r="R99" s="282">
        <v>0</v>
      </c>
      <c r="S99" s="281">
        <v>0</v>
      </c>
      <c r="T99" s="284">
        <v>1</v>
      </c>
      <c r="U99" s="283">
        <v>14</v>
      </c>
      <c r="V99" s="281">
        <v>0</v>
      </c>
      <c r="W99" s="282">
        <v>0</v>
      </c>
      <c r="X99" s="281">
        <v>0</v>
      </c>
      <c r="Y99" s="282">
        <v>0</v>
      </c>
      <c r="Z99" s="280">
        <v>14</v>
      </c>
      <c r="AA99" s="281">
        <v>0</v>
      </c>
      <c r="AB99" s="282">
        <v>0</v>
      </c>
      <c r="AC99" s="281">
        <v>0</v>
      </c>
      <c r="AD99" s="282">
        <v>0</v>
      </c>
      <c r="AE99" s="280">
        <v>14</v>
      </c>
    </row>
    <row r="100" spans="2:31">
      <c r="B100" s="266"/>
      <c r="C100" s="268"/>
      <c r="D100" s="273"/>
      <c r="E100" s="298" t="s">
        <v>393</v>
      </c>
      <c r="F100" s="280">
        <v>0</v>
      </c>
      <c r="G100" s="281">
        <v>0</v>
      </c>
      <c r="H100" s="282">
        <v>0</v>
      </c>
      <c r="I100" s="281">
        <v>0</v>
      </c>
      <c r="J100" s="284">
        <v>0</v>
      </c>
      <c r="K100" s="280">
        <v>0</v>
      </c>
      <c r="L100" s="281">
        <v>0</v>
      </c>
      <c r="M100" s="282">
        <v>0</v>
      </c>
      <c r="N100" s="281">
        <v>0</v>
      </c>
      <c r="O100" s="284">
        <v>0</v>
      </c>
      <c r="P100" s="280">
        <v>0</v>
      </c>
      <c r="Q100" s="281">
        <v>0</v>
      </c>
      <c r="R100" s="282">
        <v>0</v>
      </c>
      <c r="S100" s="281">
        <v>0</v>
      </c>
      <c r="T100" s="284">
        <v>0</v>
      </c>
      <c r="U100" s="283">
        <v>0</v>
      </c>
      <c r="V100" s="281">
        <v>0</v>
      </c>
      <c r="W100" s="282">
        <v>0</v>
      </c>
      <c r="X100" s="281">
        <v>0</v>
      </c>
      <c r="Y100" s="282">
        <v>0</v>
      </c>
      <c r="Z100" s="280">
        <v>0</v>
      </c>
      <c r="AA100" s="281">
        <v>0</v>
      </c>
      <c r="AB100" s="282">
        <v>0</v>
      </c>
      <c r="AC100" s="281">
        <v>0</v>
      </c>
      <c r="AD100" s="282">
        <v>0</v>
      </c>
      <c r="AE100" s="280">
        <v>0</v>
      </c>
    </row>
    <row r="101" spans="2:31">
      <c r="B101" s="266"/>
      <c r="C101" s="268"/>
      <c r="D101" s="273"/>
      <c r="E101" s="298" t="s">
        <v>394</v>
      </c>
      <c r="F101" s="280">
        <v>2</v>
      </c>
      <c r="G101" s="281">
        <v>0</v>
      </c>
      <c r="H101" s="282">
        <v>0</v>
      </c>
      <c r="I101" s="281">
        <v>0</v>
      </c>
      <c r="J101" s="284">
        <v>0</v>
      </c>
      <c r="K101" s="280">
        <v>2</v>
      </c>
      <c r="L101" s="281">
        <v>0</v>
      </c>
      <c r="M101" s="282">
        <v>0</v>
      </c>
      <c r="N101" s="281">
        <v>0</v>
      </c>
      <c r="O101" s="284">
        <v>0</v>
      </c>
      <c r="P101" s="280">
        <v>2</v>
      </c>
      <c r="Q101" s="281">
        <v>0</v>
      </c>
      <c r="R101" s="282">
        <v>0</v>
      </c>
      <c r="S101" s="281">
        <v>0</v>
      </c>
      <c r="T101" s="284">
        <v>0</v>
      </c>
      <c r="U101" s="283">
        <v>2</v>
      </c>
      <c r="V101" s="281">
        <v>0</v>
      </c>
      <c r="W101" s="282">
        <v>0</v>
      </c>
      <c r="X101" s="281">
        <v>0</v>
      </c>
      <c r="Y101" s="282">
        <v>0</v>
      </c>
      <c r="Z101" s="280">
        <v>2</v>
      </c>
      <c r="AA101" s="281">
        <v>0</v>
      </c>
      <c r="AB101" s="282">
        <v>0</v>
      </c>
      <c r="AC101" s="281">
        <v>0</v>
      </c>
      <c r="AD101" s="282">
        <v>0</v>
      </c>
      <c r="AE101" s="280">
        <v>2</v>
      </c>
    </row>
    <row r="102" spans="2:31">
      <c r="B102" s="266"/>
      <c r="C102" s="268"/>
      <c r="D102" s="273"/>
      <c r="E102" s="298" t="s">
        <v>395</v>
      </c>
      <c r="F102" s="280">
        <v>3265</v>
      </c>
      <c r="G102" s="281">
        <v>29</v>
      </c>
      <c r="H102" s="282">
        <v>46</v>
      </c>
      <c r="I102" s="281">
        <v>1</v>
      </c>
      <c r="J102" s="284">
        <v>46</v>
      </c>
      <c r="K102" s="280">
        <v>3237</v>
      </c>
      <c r="L102" s="281">
        <v>0</v>
      </c>
      <c r="M102" s="282">
        <v>13</v>
      </c>
      <c r="N102" s="281">
        <v>0</v>
      </c>
      <c r="O102" s="284">
        <v>41</v>
      </c>
      <c r="P102" s="280">
        <v>3265</v>
      </c>
      <c r="Q102" s="281">
        <v>0</v>
      </c>
      <c r="R102" s="282">
        <v>12</v>
      </c>
      <c r="S102" s="281">
        <v>1</v>
      </c>
      <c r="T102" s="284">
        <v>18</v>
      </c>
      <c r="U102" s="283">
        <v>3272</v>
      </c>
      <c r="V102" s="281">
        <v>0</v>
      </c>
      <c r="W102" s="282">
        <v>0</v>
      </c>
      <c r="X102" s="281">
        <v>1</v>
      </c>
      <c r="Y102" s="282">
        <v>0</v>
      </c>
      <c r="Z102" s="280">
        <v>3273</v>
      </c>
      <c r="AA102" s="281">
        <v>0</v>
      </c>
      <c r="AB102" s="282">
        <v>0</v>
      </c>
      <c r="AC102" s="281">
        <v>0</v>
      </c>
      <c r="AD102" s="282">
        <v>0</v>
      </c>
      <c r="AE102" s="280">
        <v>3273</v>
      </c>
    </row>
    <row r="103" spans="2:31">
      <c r="B103" s="266"/>
      <c r="C103" s="268"/>
      <c r="D103" s="273"/>
      <c r="E103" s="298" t="s">
        <v>396</v>
      </c>
      <c r="F103" s="280">
        <v>0</v>
      </c>
      <c r="G103" s="281">
        <v>0</v>
      </c>
      <c r="H103" s="282">
        <v>0</v>
      </c>
      <c r="I103" s="281">
        <v>0</v>
      </c>
      <c r="J103" s="284">
        <v>0</v>
      </c>
      <c r="K103" s="280">
        <v>0</v>
      </c>
      <c r="L103" s="281">
        <v>0</v>
      </c>
      <c r="M103" s="282">
        <v>0</v>
      </c>
      <c r="N103" s="281">
        <v>0</v>
      </c>
      <c r="O103" s="284">
        <v>0</v>
      </c>
      <c r="P103" s="280">
        <v>0</v>
      </c>
      <c r="Q103" s="281">
        <v>0</v>
      </c>
      <c r="R103" s="282">
        <v>0</v>
      </c>
      <c r="S103" s="281">
        <v>0</v>
      </c>
      <c r="T103" s="284">
        <v>0</v>
      </c>
      <c r="U103" s="283">
        <v>0</v>
      </c>
      <c r="V103" s="281">
        <v>0</v>
      </c>
      <c r="W103" s="282">
        <v>0</v>
      </c>
      <c r="X103" s="281">
        <v>0</v>
      </c>
      <c r="Y103" s="282">
        <v>0</v>
      </c>
      <c r="Z103" s="280">
        <v>0</v>
      </c>
      <c r="AA103" s="281">
        <v>0</v>
      </c>
      <c r="AB103" s="282">
        <v>0</v>
      </c>
      <c r="AC103" s="281">
        <v>0</v>
      </c>
      <c r="AD103" s="282">
        <v>0</v>
      </c>
      <c r="AE103" s="280">
        <v>0</v>
      </c>
    </row>
    <row r="104" spans="2:31">
      <c r="B104" s="266"/>
      <c r="C104" s="268"/>
      <c r="D104" s="273"/>
      <c r="E104" s="298" t="s">
        <v>397</v>
      </c>
      <c r="F104" s="280">
        <v>0</v>
      </c>
      <c r="G104" s="281">
        <v>0</v>
      </c>
      <c r="H104" s="282">
        <v>0</v>
      </c>
      <c r="I104" s="281">
        <v>0</v>
      </c>
      <c r="J104" s="284">
        <v>0</v>
      </c>
      <c r="K104" s="280">
        <v>0</v>
      </c>
      <c r="L104" s="281">
        <v>0</v>
      </c>
      <c r="M104" s="282">
        <v>0</v>
      </c>
      <c r="N104" s="281">
        <v>0</v>
      </c>
      <c r="O104" s="284">
        <v>0</v>
      </c>
      <c r="P104" s="280">
        <v>0</v>
      </c>
      <c r="Q104" s="281">
        <v>0</v>
      </c>
      <c r="R104" s="282">
        <v>0</v>
      </c>
      <c r="S104" s="281">
        <v>0</v>
      </c>
      <c r="T104" s="284">
        <v>0</v>
      </c>
      <c r="U104" s="283">
        <v>0</v>
      </c>
      <c r="V104" s="281">
        <v>0</v>
      </c>
      <c r="W104" s="282">
        <v>0</v>
      </c>
      <c r="X104" s="281">
        <v>0</v>
      </c>
      <c r="Y104" s="282">
        <v>0</v>
      </c>
      <c r="Z104" s="280">
        <v>0</v>
      </c>
      <c r="AA104" s="281">
        <v>0</v>
      </c>
      <c r="AB104" s="282">
        <v>0</v>
      </c>
      <c r="AC104" s="281">
        <v>0</v>
      </c>
      <c r="AD104" s="282">
        <v>0</v>
      </c>
      <c r="AE104" s="280">
        <v>0</v>
      </c>
    </row>
    <row r="105" spans="2:31">
      <c r="B105" s="266"/>
      <c r="C105" s="268"/>
      <c r="D105" s="273"/>
      <c r="E105" s="268"/>
      <c r="F105" s="285"/>
      <c r="G105" s="286"/>
      <c r="H105" s="287"/>
      <c r="I105" s="286"/>
      <c r="J105" s="288"/>
      <c r="K105" s="285"/>
      <c r="L105" s="286"/>
      <c r="M105" s="287"/>
      <c r="N105" s="286"/>
      <c r="O105" s="288"/>
      <c r="P105" s="285"/>
      <c r="Q105" s="286"/>
      <c r="R105" s="287"/>
      <c r="S105" s="286"/>
      <c r="T105" s="288"/>
      <c r="U105" s="289"/>
      <c r="V105" s="286"/>
      <c r="W105" s="287"/>
      <c r="X105" s="286"/>
      <c r="Y105" s="287"/>
      <c r="Z105" s="285"/>
      <c r="AA105" s="286"/>
      <c r="AB105" s="287"/>
      <c r="AC105" s="286"/>
      <c r="AD105" s="287"/>
      <c r="AE105" s="285"/>
    </row>
    <row r="106" spans="2:31">
      <c r="B106" s="266"/>
      <c r="C106" s="268"/>
      <c r="D106" s="273" t="s">
        <v>512</v>
      </c>
      <c r="E106" s="268"/>
      <c r="F106" s="285"/>
      <c r="G106" s="286"/>
      <c r="H106" s="287"/>
      <c r="I106" s="286"/>
      <c r="J106" s="288"/>
      <c r="K106" s="285"/>
      <c r="L106" s="286"/>
      <c r="M106" s="287"/>
      <c r="N106" s="286"/>
      <c r="O106" s="288"/>
      <c r="P106" s="285"/>
      <c r="Q106" s="286"/>
      <c r="R106" s="287"/>
      <c r="S106" s="286"/>
      <c r="T106" s="288"/>
      <c r="U106" s="289"/>
      <c r="V106" s="286"/>
      <c r="W106" s="287"/>
      <c r="X106" s="286"/>
      <c r="Y106" s="287"/>
      <c r="Z106" s="285"/>
      <c r="AA106" s="286"/>
      <c r="AB106" s="287"/>
      <c r="AC106" s="286"/>
      <c r="AD106" s="287"/>
      <c r="AE106" s="285"/>
    </row>
    <row r="107" spans="2:31">
      <c r="B107" s="266"/>
      <c r="C107" s="268"/>
      <c r="D107" s="268"/>
      <c r="E107" s="298" t="s">
        <v>398</v>
      </c>
      <c r="F107" s="280">
        <v>1</v>
      </c>
      <c r="G107" s="281">
        <v>0</v>
      </c>
      <c r="H107" s="282">
        <v>0</v>
      </c>
      <c r="I107" s="281">
        <v>0</v>
      </c>
      <c r="J107" s="284">
        <v>0</v>
      </c>
      <c r="K107" s="280">
        <v>1</v>
      </c>
      <c r="L107" s="281">
        <v>0</v>
      </c>
      <c r="M107" s="282">
        <v>0</v>
      </c>
      <c r="N107" s="281">
        <v>0</v>
      </c>
      <c r="O107" s="284">
        <v>0</v>
      </c>
      <c r="P107" s="280">
        <v>1</v>
      </c>
      <c r="Q107" s="281">
        <v>0</v>
      </c>
      <c r="R107" s="282">
        <v>0</v>
      </c>
      <c r="S107" s="281">
        <v>0</v>
      </c>
      <c r="T107" s="284">
        <v>0</v>
      </c>
      <c r="U107" s="283">
        <v>1</v>
      </c>
      <c r="V107" s="281">
        <v>0</v>
      </c>
      <c r="W107" s="282">
        <v>0</v>
      </c>
      <c r="X107" s="281">
        <v>0</v>
      </c>
      <c r="Y107" s="282">
        <v>0</v>
      </c>
      <c r="Z107" s="280">
        <v>1</v>
      </c>
      <c r="AA107" s="281">
        <v>0</v>
      </c>
      <c r="AB107" s="282">
        <v>0</v>
      </c>
      <c r="AC107" s="281">
        <v>0</v>
      </c>
      <c r="AD107" s="282">
        <v>0</v>
      </c>
      <c r="AE107" s="280">
        <v>1</v>
      </c>
    </row>
    <row r="108" spans="2:31">
      <c r="B108" s="266"/>
      <c r="C108" s="268"/>
      <c r="D108" s="268"/>
      <c r="E108" s="298" t="s">
        <v>399</v>
      </c>
      <c r="F108" s="280">
        <v>560</v>
      </c>
      <c r="G108" s="281">
        <v>3</v>
      </c>
      <c r="H108" s="282">
        <v>0</v>
      </c>
      <c r="I108" s="281">
        <v>14</v>
      </c>
      <c r="J108" s="284">
        <v>0</v>
      </c>
      <c r="K108" s="280">
        <v>571</v>
      </c>
      <c r="L108" s="281">
        <v>9</v>
      </c>
      <c r="M108" s="282">
        <v>0</v>
      </c>
      <c r="N108" s="281">
        <v>13</v>
      </c>
      <c r="O108" s="284">
        <v>0</v>
      </c>
      <c r="P108" s="280">
        <v>575</v>
      </c>
      <c r="Q108" s="281">
        <v>5</v>
      </c>
      <c r="R108" s="282">
        <v>0</v>
      </c>
      <c r="S108" s="281">
        <v>5</v>
      </c>
      <c r="T108" s="284">
        <v>0</v>
      </c>
      <c r="U108" s="283">
        <v>575</v>
      </c>
      <c r="V108" s="281">
        <v>2</v>
      </c>
      <c r="W108" s="282">
        <v>5</v>
      </c>
      <c r="X108" s="281">
        <v>8</v>
      </c>
      <c r="Y108" s="282">
        <v>5</v>
      </c>
      <c r="Z108" s="280">
        <v>581</v>
      </c>
      <c r="AA108" s="281">
        <v>2</v>
      </c>
      <c r="AB108" s="282">
        <v>5</v>
      </c>
      <c r="AC108" s="281">
        <v>8</v>
      </c>
      <c r="AD108" s="282">
        <v>5</v>
      </c>
      <c r="AE108" s="280">
        <v>587</v>
      </c>
    </row>
    <row r="109" spans="2:31">
      <c r="B109" s="266"/>
      <c r="C109" s="268"/>
      <c r="D109" s="268"/>
      <c r="E109" s="268" t="s">
        <v>400</v>
      </c>
      <c r="F109" s="280">
        <v>118</v>
      </c>
      <c r="G109" s="281">
        <v>0</v>
      </c>
      <c r="H109" s="282">
        <v>0</v>
      </c>
      <c r="I109" s="281">
        <v>1</v>
      </c>
      <c r="J109" s="284">
        <v>3</v>
      </c>
      <c r="K109" s="280">
        <v>122</v>
      </c>
      <c r="L109" s="281">
        <v>0</v>
      </c>
      <c r="M109" s="282">
        <v>0</v>
      </c>
      <c r="N109" s="281">
        <v>12</v>
      </c>
      <c r="O109" s="284">
        <v>0</v>
      </c>
      <c r="P109" s="280">
        <v>134</v>
      </c>
      <c r="Q109" s="281">
        <v>0</v>
      </c>
      <c r="R109" s="282">
        <v>0</v>
      </c>
      <c r="S109" s="281">
        <v>3</v>
      </c>
      <c r="T109" s="284">
        <v>44</v>
      </c>
      <c r="U109" s="283">
        <v>181</v>
      </c>
      <c r="V109" s="281">
        <v>0</v>
      </c>
      <c r="W109" s="282">
        <v>0</v>
      </c>
      <c r="X109" s="281">
        <v>4</v>
      </c>
      <c r="Y109" s="282">
        <v>0</v>
      </c>
      <c r="Z109" s="280">
        <v>185</v>
      </c>
      <c r="AA109" s="281">
        <v>0</v>
      </c>
      <c r="AB109" s="282">
        <v>0</v>
      </c>
      <c r="AC109" s="281">
        <v>4</v>
      </c>
      <c r="AD109" s="282">
        <v>0</v>
      </c>
      <c r="AE109" s="280">
        <v>189</v>
      </c>
    </row>
    <row r="110" spans="2:31">
      <c r="B110" s="266"/>
      <c r="C110" s="268"/>
      <c r="D110" s="268"/>
      <c r="E110" s="298" t="s">
        <v>595</v>
      </c>
      <c r="F110" s="280">
        <v>0</v>
      </c>
      <c r="G110" s="281">
        <v>0</v>
      </c>
      <c r="H110" s="282">
        <v>0</v>
      </c>
      <c r="I110" s="281">
        <v>0</v>
      </c>
      <c r="J110" s="284">
        <v>0</v>
      </c>
      <c r="K110" s="280">
        <v>0</v>
      </c>
      <c r="L110" s="281">
        <v>0</v>
      </c>
      <c r="M110" s="282">
        <v>0</v>
      </c>
      <c r="N110" s="281">
        <v>0</v>
      </c>
      <c r="O110" s="284">
        <v>0</v>
      </c>
      <c r="P110" s="280">
        <v>0</v>
      </c>
      <c r="Q110" s="281">
        <v>0</v>
      </c>
      <c r="R110" s="282">
        <v>0</v>
      </c>
      <c r="S110" s="281">
        <v>0</v>
      </c>
      <c r="T110" s="284">
        <v>0</v>
      </c>
      <c r="U110" s="283">
        <v>0</v>
      </c>
      <c r="V110" s="281">
        <v>0</v>
      </c>
      <c r="W110" s="282">
        <v>0</v>
      </c>
      <c r="X110" s="281">
        <v>0</v>
      </c>
      <c r="Y110" s="282">
        <v>0</v>
      </c>
      <c r="Z110" s="280">
        <v>0</v>
      </c>
      <c r="AA110" s="281">
        <v>0</v>
      </c>
      <c r="AB110" s="282">
        <v>0</v>
      </c>
      <c r="AC110" s="281">
        <v>0</v>
      </c>
      <c r="AD110" s="282">
        <v>0</v>
      </c>
      <c r="AE110" s="280">
        <v>0</v>
      </c>
    </row>
    <row r="111" spans="2:31">
      <c r="B111" s="266"/>
      <c r="C111" s="268"/>
      <c r="D111" s="273"/>
      <c r="E111" s="268" t="s">
        <v>596</v>
      </c>
      <c r="F111" s="280">
        <v>0</v>
      </c>
      <c r="G111" s="281">
        <v>0</v>
      </c>
      <c r="H111" s="282">
        <v>0</v>
      </c>
      <c r="I111" s="281">
        <v>0</v>
      </c>
      <c r="J111" s="284">
        <v>0</v>
      </c>
      <c r="K111" s="280">
        <v>0</v>
      </c>
      <c r="L111" s="281">
        <v>0</v>
      </c>
      <c r="M111" s="282">
        <v>0</v>
      </c>
      <c r="N111" s="281">
        <v>0</v>
      </c>
      <c r="O111" s="284">
        <v>0</v>
      </c>
      <c r="P111" s="280">
        <v>0</v>
      </c>
      <c r="Q111" s="281">
        <v>0</v>
      </c>
      <c r="R111" s="282">
        <v>0</v>
      </c>
      <c r="S111" s="281">
        <v>0</v>
      </c>
      <c r="T111" s="284">
        <v>0</v>
      </c>
      <c r="U111" s="283">
        <v>0</v>
      </c>
      <c r="V111" s="281">
        <v>0</v>
      </c>
      <c r="W111" s="282">
        <v>0</v>
      </c>
      <c r="X111" s="281">
        <v>0</v>
      </c>
      <c r="Y111" s="282">
        <v>0</v>
      </c>
      <c r="Z111" s="280">
        <v>0</v>
      </c>
      <c r="AA111" s="281">
        <v>0</v>
      </c>
      <c r="AB111" s="282">
        <v>0</v>
      </c>
      <c r="AC111" s="281">
        <v>0</v>
      </c>
      <c r="AD111" s="282">
        <v>0</v>
      </c>
      <c r="AE111" s="280">
        <v>0</v>
      </c>
    </row>
    <row r="112" spans="2:31" ht="13.5" thickBot="1">
      <c r="B112" s="264"/>
      <c r="C112" s="265"/>
      <c r="D112" s="265"/>
      <c r="E112" s="265"/>
      <c r="F112" s="290"/>
      <c r="G112" s="291"/>
      <c r="H112" s="292"/>
      <c r="I112" s="291"/>
      <c r="J112" s="293"/>
      <c r="K112" s="294"/>
      <c r="L112" s="291"/>
      <c r="M112" s="292"/>
      <c r="N112" s="291"/>
      <c r="O112" s="293"/>
      <c r="P112" s="294"/>
      <c r="Q112" s="291"/>
      <c r="R112" s="292"/>
      <c r="S112" s="291"/>
      <c r="T112" s="293"/>
      <c r="U112" s="295"/>
      <c r="V112" s="291"/>
      <c r="W112" s="292"/>
      <c r="X112" s="291"/>
      <c r="Y112" s="292"/>
      <c r="Z112" s="294"/>
      <c r="AA112" s="291"/>
      <c r="AB112" s="292"/>
      <c r="AC112" s="291"/>
      <c r="AD112" s="292"/>
      <c r="AE112" s="294"/>
    </row>
    <row r="113" spans="2:31">
      <c r="B113" s="296"/>
      <c r="C113" s="297" t="s">
        <v>597</v>
      </c>
      <c r="D113" s="297"/>
      <c r="E113" s="298"/>
      <c r="F113" s="285"/>
      <c r="G113" s="286"/>
      <c r="H113" s="287"/>
      <c r="I113" s="286"/>
      <c r="J113" s="288"/>
      <c r="K113" s="285"/>
      <c r="L113" s="286"/>
      <c r="M113" s="287"/>
      <c r="N113" s="286"/>
      <c r="O113" s="288"/>
      <c r="P113" s="285"/>
      <c r="Q113" s="286"/>
      <c r="R113" s="287"/>
      <c r="S113" s="286"/>
      <c r="T113" s="288"/>
      <c r="U113" s="289"/>
      <c r="V113" s="286"/>
      <c r="W113" s="287"/>
      <c r="X113" s="286"/>
      <c r="Y113" s="287"/>
      <c r="Z113" s="285"/>
      <c r="AA113" s="286"/>
      <c r="AB113" s="287"/>
      <c r="AC113" s="286"/>
      <c r="AD113" s="287"/>
      <c r="AE113" s="285"/>
    </row>
    <row r="114" spans="2:31">
      <c r="B114" s="266"/>
      <c r="C114" s="268"/>
      <c r="D114" s="273" t="s">
        <v>584</v>
      </c>
      <c r="E114" s="268"/>
      <c r="F114" s="285"/>
      <c r="G114" s="286"/>
      <c r="H114" s="287"/>
      <c r="I114" s="286"/>
      <c r="J114" s="288"/>
      <c r="K114" s="285"/>
      <c r="L114" s="286"/>
      <c r="M114" s="287"/>
      <c r="N114" s="286"/>
      <c r="O114" s="288"/>
      <c r="P114" s="285"/>
      <c r="Q114" s="286"/>
      <c r="R114" s="287"/>
      <c r="S114" s="286"/>
      <c r="T114" s="288"/>
      <c r="U114" s="289"/>
      <c r="V114" s="286"/>
      <c r="W114" s="287"/>
      <c r="X114" s="286"/>
      <c r="Y114" s="287"/>
      <c r="Z114" s="285"/>
      <c r="AA114" s="286"/>
      <c r="AB114" s="287"/>
      <c r="AC114" s="286"/>
      <c r="AD114" s="287"/>
      <c r="AE114" s="285"/>
    </row>
    <row r="115" spans="2:31">
      <c r="B115" s="266"/>
      <c r="C115" s="268"/>
      <c r="D115" s="273"/>
      <c r="E115" s="268" t="s">
        <v>598</v>
      </c>
      <c r="F115" s="280">
        <v>22.1</v>
      </c>
      <c r="G115" s="281">
        <v>0</v>
      </c>
      <c r="H115" s="282">
        <v>0</v>
      </c>
      <c r="I115" s="281">
        <v>0</v>
      </c>
      <c r="J115" s="284">
        <v>0</v>
      </c>
      <c r="K115" s="280">
        <v>22.1</v>
      </c>
      <c r="L115" s="281">
        <v>0</v>
      </c>
      <c r="M115" s="282">
        <v>0</v>
      </c>
      <c r="N115" s="281">
        <v>30</v>
      </c>
      <c r="O115" s="284">
        <v>0</v>
      </c>
      <c r="P115" s="280">
        <v>52.1</v>
      </c>
      <c r="Q115" s="281">
        <v>0</v>
      </c>
      <c r="R115" s="282">
        <v>0</v>
      </c>
      <c r="S115" s="281">
        <v>8</v>
      </c>
      <c r="T115" s="284">
        <v>0</v>
      </c>
      <c r="U115" s="283">
        <v>60.1</v>
      </c>
      <c r="V115" s="281">
        <v>0</v>
      </c>
      <c r="W115" s="282">
        <v>0</v>
      </c>
      <c r="X115" s="281">
        <v>1</v>
      </c>
      <c r="Y115" s="282">
        <v>0</v>
      </c>
      <c r="Z115" s="280">
        <v>61.1</v>
      </c>
      <c r="AA115" s="281">
        <v>0</v>
      </c>
      <c r="AB115" s="282">
        <v>0</v>
      </c>
      <c r="AC115" s="281">
        <v>1</v>
      </c>
      <c r="AD115" s="282">
        <v>0</v>
      </c>
      <c r="AE115" s="280">
        <v>62.1</v>
      </c>
    </row>
    <row r="116" spans="2:31">
      <c r="B116" s="266"/>
      <c r="C116" s="268"/>
      <c r="D116" s="273"/>
      <c r="E116" s="268" t="s">
        <v>599</v>
      </c>
      <c r="F116" s="280">
        <v>1384</v>
      </c>
      <c r="G116" s="281">
        <v>0</v>
      </c>
      <c r="H116" s="282">
        <v>0</v>
      </c>
      <c r="I116" s="281">
        <v>0</v>
      </c>
      <c r="J116" s="284">
        <v>0</v>
      </c>
      <c r="K116" s="280">
        <v>1384</v>
      </c>
      <c r="L116" s="281">
        <v>0</v>
      </c>
      <c r="M116" s="282">
        <v>36</v>
      </c>
      <c r="N116" s="281">
        <v>0</v>
      </c>
      <c r="O116" s="284">
        <v>35</v>
      </c>
      <c r="P116" s="280">
        <v>1383</v>
      </c>
      <c r="Q116" s="281">
        <v>0</v>
      </c>
      <c r="R116" s="282">
        <v>51</v>
      </c>
      <c r="S116" s="281">
        <v>0</v>
      </c>
      <c r="T116" s="284">
        <v>50</v>
      </c>
      <c r="U116" s="283">
        <v>1382</v>
      </c>
      <c r="V116" s="281">
        <v>0</v>
      </c>
      <c r="W116" s="282">
        <v>5</v>
      </c>
      <c r="X116" s="281">
        <v>0</v>
      </c>
      <c r="Y116" s="282">
        <v>5</v>
      </c>
      <c r="Z116" s="280">
        <v>1382</v>
      </c>
      <c r="AA116" s="281">
        <v>0</v>
      </c>
      <c r="AB116" s="282">
        <v>5</v>
      </c>
      <c r="AC116" s="281">
        <v>0</v>
      </c>
      <c r="AD116" s="282">
        <v>5</v>
      </c>
      <c r="AE116" s="280">
        <v>1382</v>
      </c>
    </row>
    <row r="117" spans="2:31">
      <c r="B117" s="266"/>
      <c r="C117" s="268"/>
      <c r="D117" s="273"/>
      <c r="E117" s="298"/>
      <c r="F117" s="285"/>
      <c r="G117" s="286"/>
      <c r="H117" s="287"/>
      <c r="I117" s="286"/>
      <c r="J117" s="288"/>
      <c r="K117" s="285"/>
      <c r="L117" s="286"/>
      <c r="M117" s="287"/>
      <c r="N117" s="286"/>
      <c r="O117" s="288"/>
      <c r="P117" s="285"/>
      <c r="Q117" s="286"/>
      <c r="R117" s="287"/>
      <c r="S117" s="286"/>
      <c r="T117" s="288"/>
      <c r="U117" s="289"/>
      <c r="V117" s="286"/>
      <c r="W117" s="287"/>
      <c r="X117" s="286"/>
      <c r="Y117" s="287"/>
      <c r="Z117" s="285"/>
      <c r="AA117" s="286"/>
      <c r="AB117" s="287"/>
      <c r="AC117" s="286"/>
      <c r="AD117" s="287"/>
      <c r="AE117" s="285"/>
    </row>
    <row r="118" spans="2:31">
      <c r="B118" s="266"/>
      <c r="C118" s="268"/>
      <c r="D118" s="273" t="s">
        <v>745</v>
      </c>
      <c r="E118" s="268"/>
      <c r="F118" s="285"/>
      <c r="G118" s="286"/>
      <c r="H118" s="287"/>
      <c r="I118" s="286"/>
      <c r="J118" s="288"/>
      <c r="K118" s="285"/>
      <c r="L118" s="286"/>
      <c r="M118" s="287"/>
      <c r="N118" s="286"/>
      <c r="O118" s="288"/>
      <c r="P118" s="285"/>
      <c r="Q118" s="286"/>
      <c r="R118" s="287"/>
      <c r="S118" s="286"/>
      <c r="T118" s="288"/>
      <c r="U118" s="289"/>
      <c r="V118" s="286"/>
      <c r="W118" s="287"/>
      <c r="X118" s="286"/>
      <c r="Y118" s="287"/>
      <c r="Z118" s="285"/>
      <c r="AA118" s="286"/>
      <c r="AB118" s="287"/>
      <c r="AC118" s="286"/>
      <c r="AD118" s="287"/>
      <c r="AE118" s="285"/>
    </row>
    <row r="119" spans="2:31">
      <c r="B119" s="266"/>
      <c r="C119" s="268"/>
      <c r="D119" s="273"/>
      <c r="E119" s="268" t="s">
        <v>600</v>
      </c>
      <c r="F119" s="280">
        <v>122</v>
      </c>
      <c r="G119" s="281">
        <v>0</v>
      </c>
      <c r="H119" s="282">
        <v>16</v>
      </c>
      <c r="I119" s="281">
        <v>0</v>
      </c>
      <c r="J119" s="284">
        <v>16</v>
      </c>
      <c r="K119" s="280">
        <v>122</v>
      </c>
      <c r="L119" s="281">
        <v>0</v>
      </c>
      <c r="M119" s="282">
        <v>0</v>
      </c>
      <c r="N119" s="281">
        <v>119</v>
      </c>
      <c r="O119" s="284">
        <v>0</v>
      </c>
      <c r="P119" s="280">
        <v>241</v>
      </c>
      <c r="Q119" s="281">
        <v>0</v>
      </c>
      <c r="R119" s="282">
        <v>0</v>
      </c>
      <c r="S119" s="281">
        <v>217</v>
      </c>
      <c r="T119" s="284">
        <v>0</v>
      </c>
      <c r="U119" s="283">
        <v>458</v>
      </c>
      <c r="V119" s="281">
        <v>0</v>
      </c>
      <c r="W119" s="282">
        <v>0</v>
      </c>
      <c r="X119" s="281">
        <v>50</v>
      </c>
      <c r="Y119" s="282">
        <v>0</v>
      </c>
      <c r="Z119" s="280">
        <v>508</v>
      </c>
      <c r="AA119" s="281">
        <v>0</v>
      </c>
      <c r="AB119" s="282">
        <v>0</v>
      </c>
      <c r="AC119" s="281">
        <v>50</v>
      </c>
      <c r="AD119" s="282">
        <v>0</v>
      </c>
      <c r="AE119" s="280">
        <v>558</v>
      </c>
    </row>
    <row r="120" spans="2:31">
      <c r="B120" s="266"/>
      <c r="C120" s="268"/>
      <c r="D120" s="273"/>
      <c r="E120" s="268" t="s">
        <v>601</v>
      </c>
      <c r="F120" s="280">
        <v>3108</v>
      </c>
      <c r="G120" s="281">
        <v>0</v>
      </c>
      <c r="H120" s="282">
        <v>0</v>
      </c>
      <c r="I120" s="281">
        <v>0</v>
      </c>
      <c r="J120" s="284">
        <v>0</v>
      </c>
      <c r="K120" s="280">
        <v>3108</v>
      </c>
      <c r="L120" s="281">
        <v>0</v>
      </c>
      <c r="M120" s="282">
        <v>4</v>
      </c>
      <c r="N120" s="281">
        <v>0</v>
      </c>
      <c r="O120" s="284">
        <v>0</v>
      </c>
      <c r="P120" s="280">
        <v>3104</v>
      </c>
      <c r="Q120" s="281">
        <v>0</v>
      </c>
      <c r="R120" s="282">
        <v>5</v>
      </c>
      <c r="S120" s="281">
        <v>0</v>
      </c>
      <c r="T120" s="284">
        <v>1</v>
      </c>
      <c r="U120" s="283">
        <v>3100</v>
      </c>
      <c r="V120" s="281">
        <v>0</v>
      </c>
      <c r="W120" s="282">
        <v>3</v>
      </c>
      <c r="X120" s="281">
        <v>0</v>
      </c>
      <c r="Y120" s="282">
        <v>3</v>
      </c>
      <c r="Z120" s="280">
        <v>3100</v>
      </c>
      <c r="AA120" s="281">
        <v>0</v>
      </c>
      <c r="AB120" s="282">
        <v>3</v>
      </c>
      <c r="AC120" s="281">
        <v>0</v>
      </c>
      <c r="AD120" s="282">
        <v>3</v>
      </c>
      <c r="AE120" s="280">
        <v>3100</v>
      </c>
    </row>
    <row r="121" spans="2:31">
      <c r="B121" s="266"/>
      <c r="C121" s="268"/>
      <c r="D121" s="273"/>
      <c r="E121" s="298" t="s">
        <v>442</v>
      </c>
      <c r="F121" s="280">
        <v>4710</v>
      </c>
      <c r="G121" s="281">
        <v>0</v>
      </c>
      <c r="H121" s="282">
        <v>0</v>
      </c>
      <c r="I121" s="281">
        <v>0</v>
      </c>
      <c r="J121" s="284">
        <v>0</v>
      </c>
      <c r="K121" s="280">
        <v>4710</v>
      </c>
      <c r="L121" s="281">
        <v>0</v>
      </c>
      <c r="M121" s="282">
        <v>0</v>
      </c>
      <c r="N121" s="281">
        <v>0</v>
      </c>
      <c r="O121" s="284">
        <v>0</v>
      </c>
      <c r="P121" s="280">
        <v>4710</v>
      </c>
      <c r="Q121" s="281">
        <v>0</v>
      </c>
      <c r="R121" s="282">
        <v>0</v>
      </c>
      <c r="S121" s="281">
        <v>0</v>
      </c>
      <c r="T121" s="284">
        <v>0</v>
      </c>
      <c r="U121" s="283">
        <v>4710</v>
      </c>
      <c r="V121" s="281">
        <v>0</v>
      </c>
      <c r="W121" s="282">
        <v>242</v>
      </c>
      <c r="X121" s="281">
        <v>0</v>
      </c>
      <c r="Y121" s="282">
        <v>242</v>
      </c>
      <c r="Z121" s="280">
        <v>4710</v>
      </c>
      <c r="AA121" s="281">
        <v>0</v>
      </c>
      <c r="AB121" s="282">
        <v>242</v>
      </c>
      <c r="AC121" s="281">
        <v>0</v>
      </c>
      <c r="AD121" s="282">
        <v>242</v>
      </c>
      <c r="AE121" s="280">
        <v>4710</v>
      </c>
    </row>
    <row r="122" spans="2:31">
      <c r="B122" s="266"/>
      <c r="C122" s="268"/>
      <c r="D122" s="268"/>
      <c r="E122" s="268"/>
      <c r="F122" s="285"/>
      <c r="G122" s="286"/>
      <c r="H122" s="287"/>
      <c r="I122" s="286"/>
      <c r="J122" s="288"/>
      <c r="K122" s="285"/>
      <c r="L122" s="286"/>
      <c r="M122" s="287"/>
      <c r="N122" s="286"/>
      <c r="O122" s="288"/>
      <c r="P122" s="285"/>
      <c r="Q122" s="286"/>
      <c r="R122" s="287"/>
      <c r="S122" s="286"/>
      <c r="T122" s="288"/>
      <c r="U122" s="289"/>
      <c r="V122" s="286"/>
      <c r="W122" s="287"/>
      <c r="X122" s="286"/>
      <c r="Y122" s="287"/>
      <c r="Z122" s="285"/>
      <c r="AA122" s="286"/>
      <c r="AB122" s="287"/>
      <c r="AC122" s="286"/>
      <c r="AD122" s="287"/>
      <c r="AE122" s="285"/>
    </row>
    <row r="123" spans="2:31">
      <c r="B123" s="266"/>
      <c r="C123" s="268"/>
      <c r="D123" s="273" t="s">
        <v>769</v>
      </c>
      <c r="E123" s="268"/>
      <c r="F123" s="285"/>
      <c r="G123" s="286"/>
      <c r="H123" s="287"/>
      <c r="I123" s="286"/>
      <c r="J123" s="288"/>
      <c r="K123" s="285"/>
      <c r="L123" s="286"/>
      <c r="M123" s="287"/>
      <c r="N123" s="286"/>
      <c r="O123" s="288"/>
      <c r="P123" s="285"/>
      <c r="Q123" s="286"/>
      <c r="R123" s="287"/>
      <c r="S123" s="286"/>
      <c r="T123" s="288"/>
      <c r="U123" s="289"/>
      <c r="V123" s="286"/>
      <c r="W123" s="287"/>
      <c r="X123" s="286"/>
      <c r="Y123" s="287"/>
      <c r="Z123" s="285"/>
      <c r="AA123" s="286"/>
      <c r="AB123" s="287"/>
      <c r="AC123" s="286"/>
      <c r="AD123" s="287"/>
      <c r="AE123" s="285"/>
    </row>
    <row r="124" spans="2:31">
      <c r="B124" s="266"/>
      <c r="C124" s="268"/>
      <c r="D124" s="268"/>
      <c r="E124" s="268" t="s">
        <v>710</v>
      </c>
      <c r="F124" s="280">
        <v>5.03</v>
      </c>
      <c r="G124" s="281">
        <v>0</v>
      </c>
      <c r="H124" s="282">
        <v>0</v>
      </c>
      <c r="I124" s="281">
        <v>0</v>
      </c>
      <c r="J124" s="284">
        <v>0</v>
      </c>
      <c r="K124" s="280">
        <v>5.03</v>
      </c>
      <c r="L124" s="281">
        <v>0</v>
      </c>
      <c r="M124" s="282">
        <v>0</v>
      </c>
      <c r="N124" s="281">
        <v>1.8</v>
      </c>
      <c r="O124" s="284">
        <v>0</v>
      </c>
      <c r="P124" s="280">
        <v>6.83</v>
      </c>
      <c r="Q124" s="281">
        <v>0</v>
      </c>
      <c r="R124" s="282">
        <v>0</v>
      </c>
      <c r="S124" s="281">
        <v>1.1000000000000001</v>
      </c>
      <c r="T124" s="284">
        <v>0</v>
      </c>
      <c r="U124" s="283">
        <v>7.93</v>
      </c>
      <c r="V124" s="281">
        <v>0</v>
      </c>
      <c r="W124" s="282">
        <v>0</v>
      </c>
      <c r="X124" s="281">
        <v>0</v>
      </c>
      <c r="Y124" s="282">
        <v>0</v>
      </c>
      <c r="Z124" s="280">
        <v>7.93</v>
      </c>
      <c r="AA124" s="281">
        <v>0</v>
      </c>
      <c r="AB124" s="282">
        <v>0</v>
      </c>
      <c r="AC124" s="281">
        <v>0</v>
      </c>
      <c r="AD124" s="282">
        <v>0</v>
      </c>
      <c r="AE124" s="280">
        <v>7.93</v>
      </c>
    </row>
    <row r="125" spans="2:31">
      <c r="B125" s="266"/>
      <c r="C125" s="268"/>
      <c r="D125" s="268"/>
      <c r="E125" s="268" t="s">
        <v>709</v>
      </c>
      <c r="F125" s="280">
        <v>67.600000000000009</v>
      </c>
      <c r="G125" s="281">
        <v>0</v>
      </c>
      <c r="H125" s="282">
        <v>0</v>
      </c>
      <c r="I125" s="281">
        <v>0</v>
      </c>
      <c r="J125" s="284">
        <v>0</v>
      </c>
      <c r="K125" s="280">
        <v>67.600000000000009</v>
      </c>
      <c r="L125" s="281">
        <v>0.2</v>
      </c>
      <c r="M125" s="282">
        <v>0.2</v>
      </c>
      <c r="N125" s="281">
        <v>0</v>
      </c>
      <c r="O125" s="284">
        <v>0</v>
      </c>
      <c r="P125" s="280">
        <v>67.2</v>
      </c>
      <c r="Q125" s="281">
        <v>0</v>
      </c>
      <c r="R125" s="282">
        <v>-0.1</v>
      </c>
      <c r="S125" s="281">
        <v>0.1</v>
      </c>
      <c r="T125" s="284">
        <v>0.1</v>
      </c>
      <c r="U125" s="283">
        <v>67.5</v>
      </c>
      <c r="V125" s="281">
        <v>0</v>
      </c>
      <c r="W125" s="282">
        <v>0</v>
      </c>
      <c r="X125" s="281">
        <v>0</v>
      </c>
      <c r="Y125" s="282">
        <v>0</v>
      </c>
      <c r="Z125" s="280">
        <v>67.5</v>
      </c>
      <c r="AA125" s="281">
        <v>0</v>
      </c>
      <c r="AB125" s="282">
        <v>0</v>
      </c>
      <c r="AC125" s="281">
        <v>0</v>
      </c>
      <c r="AD125" s="282">
        <v>0</v>
      </c>
      <c r="AE125" s="280">
        <v>67.5</v>
      </c>
    </row>
    <row r="126" spans="2:31">
      <c r="B126" s="266"/>
      <c r="C126" s="268"/>
      <c r="D126" s="268"/>
      <c r="E126" s="268" t="s">
        <v>673</v>
      </c>
      <c r="F126" s="280">
        <v>0</v>
      </c>
      <c r="G126" s="281">
        <v>0</v>
      </c>
      <c r="H126" s="282">
        <v>0</v>
      </c>
      <c r="I126" s="281">
        <v>0</v>
      </c>
      <c r="J126" s="284">
        <v>0</v>
      </c>
      <c r="K126" s="280">
        <v>0</v>
      </c>
      <c r="L126" s="281">
        <v>0</v>
      </c>
      <c r="M126" s="282">
        <v>0</v>
      </c>
      <c r="N126" s="281">
        <v>0</v>
      </c>
      <c r="O126" s="284">
        <v>0</v>
      </c>
      <c r="P126" s="280">
        <v>0</v>
      </c>
      <c r="Q126" s="281">
        <v>0</v>
      </c>
      <c r="R126" s="282">
        <v>0</v>
      </c>
      <c r="S126" s="281">
        <v>0</v>
      </c>
      <c r="T126" s="284">
        <v>0</v>
      </c>
      <c r="U126" s="283">
        <v>0</v>
      </c>
      <c r="V126" s="281">
        <v>0</v>
      </c>
      <c r="W126" s="282">
        <v>0</v>
      </c>
      <c r="X126" s="281">
        <v>0</v>
      </c>
      <c r="Y126" s="282">
        <v>0</v>
      </c>
      <c r="Z126" s="280">
        <v>0</v>
      </c>
      <c r="AA126" s="281">
        <v>0</v>
      </c>
      <c r="AB126" s="282">
        <v>0</v>
      </c>
      <c r="AC126" s="281">
        <v>0</v>
      </c>
      <c r="AD126" s="282">
        <v>0</v>
      </c>
      <c r="AE126" s="280">
        <v>0</v>
      </c>
    </row>
    <row r="127" spans="2:31">
      <c r="B127" s="266"/>
      <c r="C127" s="268"/>
      <c r="D127" s="268"/>
      <c r="E127" s="268"/>
      <c r="F127" s="285"/>
      <c r="G127" s="286"/>
      <c r="H127" s="287"/>
      <c r="I127" s="286"/>
      <c r="J127" s="288"/>
      <c r="K127" s="285"/>
      <c r="L127" s="286"/>
      <c r="M127" s="287"/>
      <c r="N127" s="286"/>
      <c r="O127" s="288"/>
      <c r="P127" s="285"/>
      <c r="Q127" s="286"/>
      <c r="R127" s="287"/>
      <c r="S127" s="286"/>
      <c r="T127" s="288"/>
      <c r="U127" s="289"/>
      <c r="V127" s="286"/>
      <c r="W127" s="287"/>
      <c r="X127" s="286"/>
      <c r="Y127" s="287"/>
      <c r="Z127" s="285"/>
      <c r="AA127" s="286"/>
      <c r="AB127" s="287"/>
      <c r="AC127" s="286"/>
      <c r="AD127" s="287"/>
      <c r="AE127" s="285"/>
    </row>
    <row r="128" spans="2:31">
      <c r="B128" s="266"/>
      <c r="C128" s="268"/>
      <c r="D128" s="273" t="s">
        <v>68</v>
      </c>
      <c r="E128" s="268"/>
      <c r="F128" s="285"/>
      <c r="G128" s="286"/>
      <c r="H128" s="287"/>
      <c r="I128" s="286"/>
      <c r="J128" s="288"/>
      <c r="K128" s="285"/>
      <c r="L128" s="286"/>
      <c r="M128" s="287"/>
      <c r="N128" s="286"/>
      <c r="O128" s="288"/>
      <c r="P128" s="285"/>
      <c r="Q128" s="286"/>
      <c r="R128" s="287"/>
      <c r="S128" s="286"/>
      <c r="T128" s="288"/>
      <c r="U128" s="289"/>
      <c r="V128" s="286"/>
      <c r="W128" s="287"/>
      <c r="X128" s="286"/>
      <c r="Y128" s="287"/>
      <c r="Z128" s="285"/>
      <c r="AA128" s="286"/>
      <c r="AB128" s="287"/>
      <c r="AC128" s="286"/>
      <c r="AD128" s="287"/>
      <c r="AE128" s="285"/>
    </row>
    <row r="129" spans="2:31">
      <c r="B129" s="266"/>
      <c r="C129" s="268"/>
      <c r="D129" s="268"/>
      <c r="E129" s="298" t="s">
        <v>674</v>
      </c>
      <c r="F129" s="280">
        <v>0</v>
      </c>
      <c r="G129" s="281">
        <v>0</v>
      </c>
      <c r="H129" s="282">
        <v>0</v>
      </c>
      <c r="I129" s="281">
        <v>0</v>
      </c>
      <c r="J129" s="284">
        <v>0</v>
      </c>
      <c r="K129" s="280">
        <v>0</v>
      </c>
      <c r="L129" s="281">
        <v>0</v>
      </c>
      <c r="M129" s="282">
        <v>0</v>
      </c>
      <c r="N129" s="281">
        <v>0</v>
      </c>
      <c r="O129" s="284">
        <v>0</v>
      </c>
      <c r="P129" s="280">
        <v>0</v>
      </c>
      <c r="Q129" s="281">
        <v>0</v>
      </c>
      <c r="R129" s="282">
        <v>0</v>
      </c>
      <c r="S129" s="281">
        <v>0</v>
      </c>
      <c r="T129" s="284">
        <v>0</v>
      </c>
      <c r="U129" s="283">
        <v>0</v>
      </c>
      <c r="V129" s="281">
        <v>0</v>
      </c>
      <c r="W129" s="282">
        <v>0</v>
      </c>
      <c r="X129" s="281">
        <v>0</v>
      </c>
      <c r="Y129" s="282">
        <v>0</v>
      </c>
      <c r="Z129" s="280">
        <v>0</v>
      </c>
      <c r="AA129" s="281">
        <v>0</v>
      </c>
      <c r="AB129" s="282">
        <v>0</v>
      </c>
      <c r="AC129" s="281">
        <v>0</v>
      </c>
      <c r="AD129" s="282">
        <v>0</v>
      </c>
      <c r="AE129" s="280">
        <v>0</v>
      </c>
    </row>
    <row r="130" spans="2:31">
      <c r="B130" s="266"/>
      <c r="C130" s="268"/>
      <c r="D130" s="268"/>
      <c r="E130" s="268"/>
      <c r="F130" s="285"/>
      <c r="G130" s="286"/>
      <c r="H130" s="287"/>
      <c r="I130" s="286"/>
      <c r="J130" s="288"/>
      <c r="K130" s="285"/>
      <c r="L130" s="286"/>
      <c r="M130" s="287"/>
      <c r="N130" s="286"/>
      <c r="O130" s="288"/>
      <c r="P130" s="285"/>
      <c r="Q130" s="286"/>
      <c r="R130" s="287"/>
      <c r="S130" s="286"/>
      <c r="T130" s="288"/>
      <c r="U130" s="289"/>
      <c r="V130" s="286"/>
      <c r="W130" s="287"/>
      <c r="X130" s="286"/>
      <c r="Y130" s="287"/>
      <c r="Z130" s="285"/>
      <c r="AA130" s="286"/>
      <c r="AB130" s="287"/>
      <c r="AC130" s="286"/>
      <c r="AD130" s="287"/>
      <c r="AE130" s="285"/>
    </row>
    <row r="131" spans="2:31">
      <c r="B131" s="266"/>
      <c r="C131" s="268"/>
      <c r="D131" s="273" t="s">
        <v>637</v>
      </c>
      <c r="E131" s="268"/>
      <c r="F131" s="285"/>
      <c r="G131" s="286"/>
      <c r="H131" s="287"/>
      <c r="I131" s="286"/>
      <c r="J131" s="288"/>
      <c r="K131" s="285"/>
      <c r="L131" s="286"/>
      <c r="M131" s="287"/>
      <c r="N131" s="286"/>
      <c r="O131" s="288"/>
      <c r="P131" s="285"/>
      <c r="Q131" s="286"/>
      <c r="R131" s="287"/>
      <c r="S131" s="286"/>
      <c r="T131" s="288"/>
      <c r="U131" s="289"/>
      <c r="V131" s="286"/>
      <c r="W131" s="287"/>
      <c r="X131" s="286"/>
      <c r="Y131" s="287"/>
      <c r="Z131" s="285"/>
      <c r="AA131" s="286"/>
      <c r="AB131" s="287"/>
      <c r="AC131" s="286"/>
      <c r="AD131" s="287"/>
      <c r="AE131" s="285"/>
    </row>
    <row r="132" spans="2:31">
      <c r="B132" s="266"/>
      <c r="C132" s="268"/>
      <c r="D132" s="268"/>
      <c r="E132" s="268" t="s">
        <v>675</v>
      </c>
      <c r="F132" s="280">
        <v>158</v>
      </c>
      <c r="G132" s="281">
        <v>8</v>
      </c>
      <c r="H132" s="282">
        <v>7</v>
      </c>
      <c r="I132" s="281">
        <v>0</v>
      </c>
      <c r="J132" s="284">
        <v>7</v>
      </c>
      <c r="K132" s="280">
        <v>150</v>
      </c>
      <c r="L132" s="281">
        <v>0</v>
      </c>
      <c r="M132" s="282">
        <v>2</v>
      </c>
      <c r="N132" s="281">
        <v>0</v>
      </c>
      <c r="O132" s="284">
        <v>4</v>
      </c>
      <c r="P132" s="280">
        <v>152</v>
      </c>
      <c r="Q132" s="281">
        <v>0</v>
      </c>
      <c r="R132" s="282">
        <v>1</v>
      </c>
      <c r="S132" s="281">
        <v>0</v>
      </c>
      <c r="T132" s="284">
        <v>2</v>
      </c>
      <c r="U132" s="283">
        <v>153</v>
      </c>
      <c r="V132" s="281">
        <v>0</v>
      </c>
      <c r="W132" s="282">
        <v>4</v>
      </c>
      <c r="X132" s="281">
        <v>0</v>
      </c>
      <c r="Y132" s="282">
        <v>4</v>
      </c>
      <c r="Z132" s="280">
        <v>153</v>
      </c>
      <c r="AA132" s="281">
        <v>0</v>
      </c>
      <c r="AB132" s="282">
        <v>4</v>
      </c>
      <c r="AC132" s="281">
        <v>0</v>
      </c>
      <c r="AD132" s="282">
        <v>4</v>
      </c>
      <c r="AE132" s="280">
        <v>153</v>
      </c>
    </row>
    <row r="133" spans="2:31">
      <c r="B133" s="266"/>
      <c r="C133" s="268"/>
      <c r="D133" s="268"/>
      <c r="E133" s="268" t="s">
        <v>676</v>
      </c>
      <c r="F133" s="280">
        <v>838</v>
      </c>
      <c r="G133" s="281">
        <v>7</v>
      </c>
      <c r="H133" s="282">
        <v>4</v>
      </c>
      <c r="I133" s="281">
        <v>4</v>
      </c>
      <c r="J133" s="284">
        <v>4</v>
      </c>
      <c r="K133" s="280">
        <v>835</v>
      </c>
      <c r="L133" s="281">
        <v>0</v>
      </c>
      <c r="M133" s="282">
        <v>3</v>
      </c>
      <c r="N133" s="281">
        <v>13</v>
      </c>
      <c r="O133" s="284">
        <v>5</v>
      </c>
      <c r="P133" s="280">
        <v>850</v>
      </c>
      <c r="Q133" s="281">
        <v>0</v>
      </c>
      <c r="R133" s="282">
        <v>2</v>
      </c>
      <c r="S133" s="281">
        <v>1</v>
      </c>
      <c r="T133" s="284">
        <v>6</v>
      </c>
      <c r="U133" s="283">
        <v>855</v>
      </c>
      <c r="V133" s="281">
        <v>0</v>
      </c>
      <c r="W133" s="282">
        <v>0</v>
      </c>
      <c r="X133" s="281">
        <v>0</v>
      </c>
      <c r="Y133" s="282">
        <v>0</v>
      </c>
      <c r="Z133" s="280">
        <v>855</v>
      </c>
      <c r="AA133" s="281">
        <v>0</v>
      </c>
      <c r="AB133" s="282">
        <v>0</v>
      </c>
      <c r="AC133" s="281">
        <v>1</v>
      </c>
      <c r="AD133" s="282">
        <v>0</v>
      </c>
      <c r="AE133" s="280">
        <v>856</v>
      </c>
    </row>
    <row r="134" spans="2:31">
      <c r="B134" s="266"/>
      <c r="C134" s="268"/>
      <c r="D134" s="268"/>
      <c r="E134" s="268"/>
      <c r="F134" s="285"/>
      <c r="G134" s="286"/>
      <c r="H134" s="287"/>
      <c r="I134" s="286"/>
      <c r="J134" s="288"/>
      <c r="K134" s="285"/>
      <c r="L134" s="286"/>
      <c r="M134" s="287"/>
      <c r="N134" s="286"/>
      <c r="O134" s="288"/>
      <c r="P134" s="285"/>
      <c r="Q134" s="286"/>
      <c r="R134" s="287"/>
      <c r="S134" s="286"/>
      <c r="T134" s="288"/>
      <c r="U134" s="289"/>
      <c r="V134" s="286"/>
      <c r="W134" s="287"/>
      <c r="X134" s="286"/>
      <c r="Y134" s="287"/>
      <c r="Z134" s="285"/>
      <c r="AA134" s="286"/>
      <c r="AB134" s="287"/>
      <c r="AC134" s="286"/>
      <c r="AD134" s="287"/>
      <c r="AE134" s="285"/>
    </row>
    <row r="135" spans="2:31">
      <c r="B135" s="266"/>
      <c r="C135" s="268"/>
      <c r="D135" s="273" t="s">
        <v>512</v>
      </c>
      <c r="E135" s="268"/>
      <c r="F135" s="285"/>
      <c r="G135" s="286"/>
      <c r="H135" s="287"/>
      <c r="I135" s="286"/>
      <c r="J135" s="288"/>
      <c r="K135" s="285"/>
      <c r="L135" s="286"/>
      <c r="M135" s="287"/>
      <c r="N135" s="286"/>
      <c r="O135" s="288"/>
      <c r="P135" s="285"/>
      <c r="Q135" s="286"/>
      <c r="R135" s="287"/>
      <c r="S135" s="286"/>
      <c r="T135" s="288"/>
      <c r="U135" s="289"/>
      <c r="V135" s="286"/>
      <c r="W135" s="287"/>
      <c r="X135" s="286"/>
      <c r="Y135" s="287"/>
      <c r="Z135" s="285"/>
      <c r="AA135" s="286"/>
      <c r="AB135" s="287"/>
      <c r="AC135" s="286"/>
      <c r="AD135" s="287"/>
      <c r="AE135" s="285"/>
    </row>
    <row r="136" spans="2:31">
      <c r="B136" s="266"/>
      <c r="C136" s="268"/>
      <c r="D136" s="268"/>
      <c r="E136" s="298" t="s">
        <v>677</v>
      </c>
      <c r="F136" s="280">
        <v>92</v>
      </c>
      <c r="G136" s="281">
        <v>0</v>
      </c>
      <c r="H136" s="282">
        <v>2</v>
      </c>
      <c r="I136" s="281">
        <v>0</v>
      </c>
      <c r="J136" s="284">
        <v>2</v>
      </c>
      <c r="K136" s="280">
        <v>92</v>
      </c>
      <c r="L136" s="281">
        <v>0</v>
      </c>
      <c r="M136" s="282">
        <v>0</v>
      </c>
      <c r="N136" s="281">
        <v>1</v>
      </c>
      <c r="O136" s="284">
        <v>1</v>
      </c>
      <c r="P136" s="280">
        <v>94</v>
      </c>
      <c r="Q136" s="281">
        <v>0</v>
      </c>
      <c r="R136" s="282">
        <v>3</v>
      </c>
      <c r="S136" s="281">
        <v>0</v>
      </c>
      <c r="T136" s="284">
        <v>3</v>
      </c>
      <c r="U136" s="283">
        <v>94</v>
      </c>
      <c r="V136" s="281">
        <v>0</v>
      </c>
      <c r="W136" s="282">
        <v>3</v>
      </c>
      <c r="X136" s="281">
        <v>1</v>
      </c>
      <c r="Y136" s="282">
        <v>3</v>
      </c>
      <c r="Z136" s="280">
        <v>95</v>
      </c>
      <c r="AA136" s="281">
        <v>2</v>
      </c>
      <c r="AB136" s="282">
        <v>3</v>
      </c>
      <c r="AC136" s="281">
        <v>1</v>
      </c>
      <c r="AD136" s="282">
        <v>3</v>
      </c>
      <c r="AE136" s="280">
        <v>94</v>
      </c>
    </row>
    <row r="137" spans="2:31">
      <c r="B137" s="266"/>
      <c r="C137" s="268"/>
      <c r="D137" s="268"/>
      <c r="E137" s="298" t="s">
        <v>678</v>
      </c>
      <c r="F137" s="280">
        <v>164</v>
      </c>
      <c r="G137" s="281">
        <v>0</v>
      </c>
      <c r="H137" s="282">
        <v>3</v>
      </c>
      <c r="I137" s="281">
        <v>0</v>
      </c>
      <c r="J137" s="284">
        <v>3</v>
      </c>
      <c r="K137" s="280">
        <v>164</v>
      </c>
      <c r="L137" s="281">
        <v>1</v>
      </c>
      <c r="M137" s="282">
        <v>1</v>
      </c>
      <c r="N137" s="281">
        <v>1</v>
      </c>
      <c r="O137" s="284">
        <v>1</v>
      </c>
      <c r="P137" s="280">
        <v>164</v>
      </c>
      <c r="Q137" s="281">
        <v>1</v>
      </c>
      <c r="R137" s="282">
        <v>5</v>
      </c>
      <c r="S137" s="281">
        <v>0</v>
      </c>
      <c r="T137" s="284">
        <v>5</v>
      </c>
      <c r="U137" s="283">
        <v>163</v>
      </c>
      <c r="V137" s="281">
        <v>0</v>
      </c>
      <c r="W137" s="282">
        <v>0</v>
      </c>
      <c r="X137" s="281">
        <v>0</v>
      </c>
      <c r="Y137" s="282">
        <v>0</v>
      </c>
      <c r="Z137" s="280">
        <v>163</v>
      </c>
      <c r="AA137" s="281">
        <v>2</v>
      </c>
      <c r="AB137" s="282">
        <v>0</v>
      </c>
      <c r="AC137" s="281">
        <v>0</v>
      </c>
      <c r="AD137" s="282">
        <v>0</v>
      </c>
      <c r="AE137" s="280">
        <v>161</v>
      </c>
    </row>
    <row r="138" spans="2:31" ht="13.5" thickBot="1">
      <c r="B138" s="264"/>
      <c r="C138" s="265"/>
      <c r="D138" s="265"/>
      <c r="E138" s="265"/>
      <c r="F138" s="290"/>
      <c r="G138" s="291"/>
      <c r="H138" s="292"/>
      <c r="I138" s="291"/>
      <c r="J138" s="293"/>
      <c r="K138" s="294"/>
      <c r="L138" s="291"/>
      <c r="M138" s="292"/>
      <c r="N138" s="291"/>
      <c r="O138" s="293"/>
      <c r="P138" s="294"/>
      <c r="Q138" s="291"/>
      <c r="R138" s="292"/>
      <c r="S138" s="291"/>
      <c r="T138" s="293"/>
      <c r="U138" s="295">
        <v>0</v>
      </c>
      <c r="V138" s="291"/>
      <c r="W138" s="292"/>
      <c r="X138" s="291"/>
      <c r="Y138" s="292"/>
      <c r="Z138" s="294"/>
      <c r="AA138" s="291"/>
      <c r="AB138" s="292"/>
      <c r="AC138" s="291"/>
      <c r="AD138" s="292"/>
      <c r="AE138" s="294"/>
    </row>
    <row r="139" spans="2:31">
      <c r="B139" s="296"/>
      <c r="C139" s="297" t="s">
        <v>683</v>
      </c>
      <c r="D139" s="297"/>
      <c r="E139" s="298"/>
      <c r="F139" s="285"/>
      <c r="G139" s="286"/>
      <c r="H139" s="287"/>
      <c r="I139" s="286"/>
      <c r="J139" s="288"/>
      <c r="K139" s="285"/>
      <c r="L139" s="286"/>
      <c r="M139" s="287"/>
      <c r="N139" s="286"/>
      <c r="O139" s="288"/>
      <c r="P139" s="285"/>
      <c r="Q139" s="286"/>
      <c r="R139" s="287"/>
      <c r="S139" s="286"/>
      <c r="T139" s="288"/>
      <c r="U139" s="289"/>
      <c r="V139" s="286"/>
      <c r="W139" s="287"/>
      <c r="X139" s="286"/>
      <c r="Y139" s="287"/>
      <c r="Z139" s="285"/>
      <c r="AA139" s="286"/>
      <c r="AB139" s="287"/>
      <c r="AC139" s="286"/>
      <c r="AD139" s="287"/>
      <c r="AE139" s="285"/>
    </row>
    <row r="140" spans="2:31">
      <c r="B140" s="266"/>
      <c r="C140" s="268"/>
      <c r="D140" s="273" t="s">
        <v>684</v>
      </c>
      <c r="E140" s="268"/>
      <c r="F140" s="285"/>
      <c r="G140" s="286"/>
      <c r="H140" s="287"/>
      <c r="I140" s="286"/>
      <c r="J140" s="288"/>
      <c r="K140" s="285"/>
      <c r="L140" s="286"/>
      <c r="M140" s="287"/>
      <c r="N140" s="286"/>
      <c r="O140" s="288"/>
      <c r="P140" s="285"/>
      <c r="Q140" s="286"/>
      <c r="R140" s="287"/>
      <c r="S140" s="286"/>
      <c r="T140" s="288"/>
      <c r="U140" s="289"/>
      <c r="V140" s="286"/>
      <c r="W140" s="287"/>
      <c r="X140" s="286"/>
      <c r="Y140" s="287"/>
      <c r="Z140" s="285"/>
      <c r="AA140" s="286"/>
      <c r="AB140" s="287"/>
      <c r="AC140" s="286"/>
      <c r="AD140" s="287"/>
      <c r="AE140" s="285"/>
    </row>
    <row r="141" spans="2:31">
      <c r="B141" s="266"/>
      <c r="C141" s="268"/>
      <c r="D141" s="268"/>
      <c r="E141" s="298" t="s">
        <v>685</v>
      </c>
      <c r="F141" s="280">
        <v>0</v>
      </c>
      <c r="G141" s="281">
        <v>0</v>
      </c>
      <c r="H141" s="282">
        <v>0</v>
      </c>
      <c r="I141" s="281">
        <v>0</v>
      </c>
      <c r="J141" s="284">
        <v>0</v>
      </c>
      <c r="K141" s="280">
        <v>0</v>
      </c>
      <c r="L141" s="281">
        <v>0</v>
      </c>
      <c r="M141" s="282">
        <v>0</v>
      </c>
      <c r="N141" s="281">
        <v>0</v>
      </c>
      <c r="O141" s="284">
        <v>0</v>
      </c>
      <c r="P141" s="280">
        <v>0</v>
      </c>
      <c r="Q141" s="281">
        <v>0</v>
      </c>
      <c r="R141" s="282">
        <v>0</v>
      </c>
      <c r="S141" s="281">
        <v>0</v>
      </c>
      <c r="T141" s="284">
        <v>0</v>
      </c>
      <c r="U141" s="283">
        <v>0</v>
      </c>
      <c r="V141" s="281">
        <v>0</v>
      </c>
      <c r="W141" s="282">
        <v>0</v>
      </c>
      <c r="X141" s="281">
        <v>0</v>
      </c>
      <c r="Y141" s="282">
        <v>0</v>
      </c>
      <c r="Z141" s="280">
        <v>0</v>
      </c>
      <c r="AA141" s="281">
        <v>0</v>
      </c>
      <c r="AB141" s="282">
        <v>0</v>
      </c>
      <c r="AC141" s="281">
        <v>0</v>
      </c>
      <c r="AD141" s="282">
        <v>0</v>
      </c>
      <c r="AE141" s="280">
        <v>0</v>
      </c>
    </row>
    <row r="142" spans="2:31">
      <c r="B142" s="266"/>
      <c r="C142" s="268"/>
      <c r="D142" s="268"/>
      <c r="E142" s="298" t="s">
        <v>854</v>
      </c>
      <c r="F142" s="280">
        <v>389</v>
      </c>
      <c r="G142" s="281">
        <v>0</v>
      </c>
      <c r="H142" s="282">
        <v>0</v>
      </c>
      <c r="I142" s="281">
        <v>0</v>
      </c>
      <c r="J142" s="284">
        <v>0</v>
      </c>
      <c r="K142" s="280">
        <v>389</v>
      </c>
      <c r="L142" s="281">
        <v>0</v>
      </c>
      <c r="M142" s="282">
        <v>0</v>
      </c>
      <c r="N142" s="281">
        <v>0</v>
      </c>
      <c r="O142" s="284">
        <v>0</v>
      </c>
      <c r="P142" s="280">
        <v>389</v>
      </c>
      <c r="Q142" s="281">
        <v>0</v>
      </c>
      <c r="R142" s="282">
        <v>0</v>
      </c>
      <c r="S142" s="281">
        <v>0</v>
      </c>
      <c r="T142" s="284">
        <v>0</v>
      </c>
      <c r="U142" s="283">
        <v>389</v>
      </c>
      <c r="V142" s="281">
        <v>0</v>
      </c>
      <c r="W142" s="282">
        <v>0</v>
      </c>
      <c r="X142" s="281">
        <v>2</v>
      </c>
      <c r="Y142" s="282">
        <v>0</v>
      </c>
      <c r="Z142" s="280">
        <v>391</v>
      </c>
      <c r="AA142" s="281">
        <v>0</v>
      </c>
      <c r="AB142" s="282">
        <v>0</v>
      </c>
      <c r="AC142" s="281">
        <v>2</v>
      </c>
      <c r="AD142" s="282">
        <v>0</v>
      </c>
      <c r="AE142" s="280">
        <v>393</v>
      </c>
    </row>
    <row r="143" spans="2:31">
      <c r="B143" s="266"/>
      <c r="C143" s="298"/>
      <c r="D143" s="273"/>
      <c r="E143" s="268"/>
      <c r="F143" s="285"/>
      <c r="G143" s="286"/>
      <c r="H143" s="287"/>
      <c r="I143" s="286"/>
      <c r="J143" s="288"/>
      <c r="K143" s="285"/>
      <c r="L143" s="286"/>
      <c r="M143" s="287"/>
      <c r="N143" s="286"/>
      <c r="O143" s="288"/>
      <c r="P143" s="285"/>
      <c r="Q143" s="286"/>
      <c r="R143" s="287"/>
      <c r="S143" s="286"/>
      <c r="T143" s="288"/>
      <c r="U143" s="289"/>
      <c r="V143" s="286"/>
      <c r="W143" s="287"/>
      <c r="X143" s="286"/>
      <c r="Y143" s="287"/>
      <c r="Z143" s="285"/>
      <c r="AA143" s="286"/>
      <c r="AB143" s="287"/>
      <c r="AC143" s="286"/>
      <c r="AD143" s="287"/>
      <c r="AE143" s="285"/>
    </row>
    <row r="144" spans="2:31">
      <c r="B144" s="266"/>
      <c r="C144" s="268"/>
      <c r="D144" s="273" t="s">
        <v>855</v>
      </c>
      <c r="E144" s="268"/>
      <c r="F144" s="285"/>
      <c r="G144" s="286"/>
      <c r="H144" s="287"/>
      <c r="I144" s="286"/>
      <c r="J144" s="288"/>
      <c r="K144" s="285"/>
      <c r="L144" s="286"/>
      <c r="M144" s="287"/>
      <c r="N144" s="286"/>
      <c r="O144" s="288"/>
      <c r="P144" s="285"/>
      <c r="Q144" s="286"/>
      <c r="R144" s="287"/>
      <c r="S144" s="286"/>
      <c r="T144" s="288"/>
      <c r="U144" s="289"/>
      <c r="V144" s="286"/>
      <c r="W144" s="287"/>
      <c r="X144" s="286"/>
      <c r="Y144" s="287"/>
      <c r="Z144" s="285"/>
      <c r="AA144" s="286"/>
      <c r="AB144" s="287"/>
      <c r="AC144" s="286"/>
      <c r="AD144" s="287"/>
      <c r="AE144" s="285"/>
    </row>
    <row r="145" spans="2:31">
      <c r="B145" s="266"/>
      <c r="C145" s="268"/>
      <c r="D145" s="268"/>
      <c r="E145" s="298" t="s">
        <v>687</v>
      </c>
      <c r="F145" s="280">
        <v>1747</v>
      </c>
      <c r="G145" s="281">
        <v>0</v>
      </c>
      <c r="H145" s="282">
        <v>0</v>
      </c>
      <c r="I145" s="281">
        <v>0</v>
      </c>
      <c r="J145" s="284">
        <v>0</v>
      </c>
      <c r="K145" s="280">
        <v>1747</v>
      </c>
      <c r="L145" s="281">
        <v>0</v>
      </c>
      <c r="M145" s="282">
        <v>0</v>
      </c>
      <c r="N145" s="281">
        <v>0</v>
      </c>
      <c r="O145" s="284">
        <v>0</v>
      </c>
      <c r="P145" s="280">
        <v>1747</v>
      </c>
      <c r="Q145" s="281">
        <v>0</v>
      </c>
      <c r="R145" s="282">
        <v>0</v>
      </c>
      <c r="S145" s="281">
        <v>0</v>
      </c>
      <c r="T145" s="284">
        <v>0</v>
      </c>
      <c r="U145" s="283">
        <v>1747</v>
      </c>
      <c r="V145" s="281">
        <v>0</v>
      </c>
      <c r="W145" s="282">
        <v>0</v>
      </c>
      <c r="X145" s="281">
        <v>0</v>
      </c>
      <c r="Y145" s="282">
        <v>0</v>
      </c>
      <c r="Z145" s="280">
        <v>1747</v>
      </c>
      <c r="AA145" s="281">
        <v>0</v>
      </c>
      <c r="AB145" s="282">
        <v>0</v>
      </c>
      <c r="AC145" s="281">
        <v>0</v>
      </c>
      <c r="AD145" s="282">
        <v>0</v>
      </c>
      <c r="AE145" s="280">
        <v>1747</v>
      </c>
    </row>
    <row r="146" spans="2:31">
      <c r="B146" s="266"/>
      <c r="C146" s="268"/>
      <c r="D146" s="268"/>
      <c r="E146" s="298" t="s">
        <v>688</v>
      </c>
      <c r="F146" s="280">
        <v>155</v>
      </c>
      <c r="G146" s="281">
        <v>0</v>
      </c>
      <c r="H146" s="282">
        <v>0</v>
      </c>
      <c r="I146" s="281">
        <v>0</v>
      </c>
      <c r="J146" s="284">
        <v>0</v>
      </c>
      <c r="K146" s="280">
        <v>155</v>
      </c>
      <c r="L146" s="281">
        <v>0</v>
      </c>
      <c r="M146" s="282">
        <v>0</v>
      </c>
      <c r="N146" s="281">
        <v>0</v>
      </c>
      <c r="O146" s="284">
        <v>0</v>
      </c>
      <c r="P146" s="280">
        <v>155</v>
      </c>
      <c r="Q146" s="281">
        <v>0</v>
      </c>
      <c r="R146" s="282">
        <v>0</v>
      </c>
      <c r="S146" s="281">
        <v>0</v>
      </c>
      <c r="T146" s="284">
        <v>0</v>
      </c>
      <c r="U146" s="283">
        <v>155</v>
      </c>
      <c r="V146" s="281">
        <v>0</v>
      </c>
      <c r="W146" s="282">
        <v>0</v>
      </c>
      <c r="X146" s="281">
        <v>0</v>
      </c>
      <c r="Y146" s="282">
        <v>0</v>
      </c>
      <c r="Z146" s="280">
        <v>155</v>
      </c>
      <c r="AA146" s="281">
        <v>0</v>
      </c>
      <c r="AB146" s="282">
        <v>0</v>
      </c>
      <c r="AC146" s="281">
        <v>0</v>
      </c>
      <c r="AD146" s="282">
        <v>0</v>
      </c>
      <c r="AE146" s="280">
        <v>155</v>
      </c>
    </row>
    <row r="147" spans="2:31" ht="13.5" thickBot="1">
      <c r="B147" s="264"/>
      <c r="C147" s="265"/>
      <c r="D147" s="265"/>
      <c r="E147" s="265"/>
      <c r="F147" s="290"/>
      <c r="G147" s="291"/>
      <c r="H147" s="292"/>
      <c r="I147" s="291"/>
      <c r="J147" s="293"/>
      <c r="K147" s="294"/>
      <c r="L147" s="291"/>
      <c r="M147" s="292"/>
      <c r="N147" s="291"/>
      <c r="O147" s="293"/>
      <c r="P147" s="294"/>
      <c r="Q147" s="291"/>
      <c r="R147" s="292"/>
      <c r="S147" s="291"/>
      <c r="T147" s="293"/>
      <c r="U147" s="304"/>
      <c r="V147" s="291"/>
      <c r="W147" s="292"/>
      <c r="X147" s="291"/>
      <c r="Y147" s="292"/>
      <c r="Z147" s="294"/>
      <c r="AA147" s="291"/>
      <c r="AB147" s="292"/>
      <c r="AC147" s="291"/>
      <c r="AD147" s="292"/>
      <c r="AE147" s="294"/>
    </row>
  </sheetData>
  <mergeCells count="17">
    <mergeCell ref="S8:T8"/>
    <mergeCell ref="V8:W8"/>
    <mergeCell ref="X8:Y8"/>
    <mergeCell ref="F7:F9"/>
    <mergeCell ref="B7:E9"/>
    <mergeCell ref="AC8:AD8"/>
    <mergeCell ref="AA7:AE7"/>
    <mergeCell ref="G8:H8"/>
    <mergeCell ref="I8:J8"/>
    <mergeCell ref="L8:M8"/>
    <mergeCell ref="AA8:AB8"/>
    <mergeCell ref="G7:K7"/>
    <mergeCell ref="L7:P7"/>
    <mergeCell ref="Q7:U7"/>
    <mergeCell ref="V7:Z7"/>
    <mergeCell ref="N8:O8"/>
    <mergeCell ref="Q8:R8"/>
  </mergeCells>
  <phoneticPr fontId="0" type="noConversion"/>
  <hyperlinks>
    <hyperlink ref="G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C1DFFF"/>
  </sheetPr>
  <dimension ref="A1:T144"/>
  <sheetViews>
    <sheetView topLeftCell="C100" zoomScale="85" zoomScaleNormal="85" zoomScalePageLayoutView="85" workbookViewId="0">
      <selection activeCell="D133" sqref="D133:T136"/>
    </sheetView>
  </sheetViews>
  <sheetFormatPr defaultColWidth="8.85546875" defaultRowHeight="12.75"/>
  <cols>
    <col min="1" max="1" width="8.85546875" customWidth="1"/>
    <col min="2" max="2" width="82" customWidth="1"/>
    <col min="3" max="3" width="10.42578125" customWidth="1"/>
    <col min="4" max="13" width="11.28515625" bestFit="1" customWidth="1"/>
    <col min="15" max="17" width="11.7109375" customWidth="1"/>
    <col min="19" max="20" width="9" bestFit="1" customWidth="1"/>
  </cols>
  <sheetData>
    <row r="1" spans="1:20">
      <c r="A1" s="510" t="s">
        <v>858</v>
      </c>
      <c r="F1" s="253" t="s">
        <v>216</v>
      </c>
    </row>
    <row r="3" spans="1:20">
      <c r="A3" s="510" t="s">
        <v>66</v>
      </c>
    </row>
    <row r="6" spans="1:20" s="1255" customFormat="1" ht="15.75" customHeight="1">
      <c r="A6" s="1392"/>
      <c r="B6" s="1420" t="s">
        <v>67</v>
      </c>
      <c r="C6" s="320"/>
      <c r="D6" s="1155"/>
      <c r="E6" s="1155"/>
      <c r="F6" s="1155"/>
      <c r="G6" s="1155"/>
      <c r="H6" s="1155"/>
      <c r="I6" s="1155"/>
      <c r="J6" s="1155"/>
      <c r="K6" s="1155"/>
      <c r="L6" s="1155"/>
      <c r="M6" s="1155"/>
      <c r="N6" s="1155"/>
      <c r="O6" s="1407"/>
      <c r="P6" s="1407"/>
      <c r="Q6" s="1407"/>
      <c r="R6" s="1395"/>
      <c r="S6" s="1155"/>
      <c r="T6" s="1155"/>
    </row>
    <row r="7" spans="1:20" ht="13.5" thickBot="1">
      <c r="A7" s="254"/>
      <c r="B7" s="254"/>
      <c r="C7" s="316"/>
      <c r="D7" s="254"/>
      <c r="E7" s="254"/>
      <c r="F7" s="254"/>
      <c r="G7" s="254"/>
      <c r="H7" s="254"/>
      <c r="I7" s="254"/>
      <c r="J7" s="254"/>
      <c r="K7" s="254"/>
      <c r="L7" s="254"/>
      <c r="M7" s="254"/>
      <c r="N7" s="254"/>
      <c r="O7" s="254"/>
      <c r="P7" s="254"/>
      <c r="Q7" s="254"/>
      <c r="R7" s="258"/>
      <c r="S7" s="254"/>
      <c r="T7" s="254"/>
    </row>
    <row r="8" spans="1:20" ht="15.75" customHeight="1">
      <c r="A8" s="254"/>
      <c r="B8" s="1898" t="s">
        <v>67</v>
      </c>
      <c r="C8" s="1902" t="s">
        <v>31</v>
      </c>
      <c r="D8" s="533" t="s">
        <v>116</v>
      </c>
      <c r="E8" s="534"/>
      <c r="F8" s="534"/>
      <c r="G8" s="534"/>
      <c r="H8" s="317"/>
      <c r="I8" s="534" t="s">
        <v>117</v>
      </c>
      <c r="J8" s="318"/>
      <c r="K8" s="318"/>
      <c r="L8" s="318"/>
      <c r="M8" s="317"/>
      <c r="N8" s="254"/>
      <c r="O8" s="535" t="s">
        <v>116</v>
      </c>
      <c r="P8" s="536"/>
      <c r="Q8" s="537"/>
      <c r="R8" s="258"/>
      <c r="S8" s="535" t="s">
        <v>117</v>
      </c>
      <c r="T8" s="537"/>
    </row>
    <row r="9" spans="1:20" ht="25.5">
      <c r="A9" s="254"/>
      <c r="B9" s="1899"/>
      <c r="C9" s="1903"/>
      <c r="D9" s="538" t="s">
        <v>32</v>
      </c>
      <c r="E9" s="539" t="s">
        <v>33</v>
      </c>
      <c r="F9" s="539" t="s">
        <v>29</v>
      </c>
      <c r="G9" s="539" t="s">
        <v>34</v>
      </c>
      <c r="H9" s="540" t="s">
        <v>35</v>
      </c>
      <c r="I9" s="541" t="s">
        <v>118</v>
      </c>
      <c r="J9" s="539" t="s">
        <v>136</v>
      </c>
      <c r="K9" s="539" t="s">
        <v>137</v>
      </c>
      <c r="L9" s="539" t="s">
        <v>138</v>
      </c>
      <c r="M9" s="540" t="s">
        <v>139</v>
      </c>
      <c r="N9" s="254"/>
      <c r="O9" s="542" t="s">
        <v>126</v>
      </c>
      <c r="P9" s="543" t="s">
        <v>127</v>
      </c>
      <c r="Q9" s="544" t="s">
        <v>246</v>
      </c>
      <c r="R9" s="258"/>
      <c r="S9" s="542" t="s">
        <v>127</v>
      </c>
      <c r="T9" s="544" t="s">
        <v>128</v>
      </c>
    </row>
    <row r="10" spans="1:20" s="1255" customFormat="1" ht="15.75" customHeight="1">
      <c r="A10" s="1392"/>
      <c r="B10" s="1406" t="s">
        <v>185</v>
      </c>
      <c r="C10" s="1394" t="s">
        <v>14</v>
      </c>
      <c r="D10" s="1131">
        <v>22.799999999999997</v>
      </c>
      <c r="E10" s="1132">
        <v>21.8</v>
      </c>
      <c r="F10" s="1132">
        <v>23.500000000000004</v>
      </c>
      <c r="G10" s="1132">
        <v>24.400000000000002</v>
      </c>
      <c r="H10" s="1133">
        <v>24.3</v>
      </c>
      <c r="I10" s="1132">
        <v>19.2</v>
      </c>
      <c r="J10" s="1134">
        <v>19.7</v>
      </c>
      <c r="K10" s="1134">
        <v>19.100000000000001</v>
      </c>
      <c r="L10" s="1134">
        <v>19.100000000000001</v>
      </c>
      <c r="M10" s="1133">
        <v>19.100000000000001</v>
      </c>
      <c r="N10" s="1407"/>
      <c r="O10" s="1136">
        <v>68.099999999999994</v>
      </c>
      <c r="P10" s="1137">
        <v>48.7</v>
      </c>
      <c r="Q10" s="1138">
        <v>116.8</v>
      </c>
      <c r="R10" s="1395"/>
      <c r="S10" s="1136">
        <v>96.199999999999989</v>
      </c>
      <c r="T10" s="1138">
        <v>-0.1763698630136987</v>
      </c>
    </row>
    <row r="11" spans="1:20" s="1255" customFormat="1" ht="15.75" customHeight="1">
      <c r="A11" s="1392"/>
      <c r="B11" s="1406" t="s">
        <v>186</v>
      </c>
      <c r="C11" s="1394" t="s">
        <v>14</v>
      </c>
      <c r="D11" s="1140">
        <v>20.099999999999998</v>
      </c>
      <c r="E11" s="1141">
        <v>21.000000000000004</v>
      </c>
      <c r="F11" s="1141">
        <v>21.000000000000004</v>
      </c>
      <c r="G11" s="1141">
        <v>21.8</v>
      </c>
      <c r="H11" s="1142">
        <v>20.400000000000002</v>
      </c>
      <c r="I11" s="1141">
        <v>17.900000000000002</v>
      </c>
      <c r="J11" s="1143">
        <v>18.399999999999999</v>
      </c>
      <c r="K11" s="1143">
        <v>17.899999999999999</v>
      </c>
      <c r="L11" s="1143">
        <v>17.899999999999999</v>
      </c>
      <c r="M11" s="1142">
        <v>17.899999999999999</v>
      </c>
      <c r="N11" s="1407"/>
      <c r="O11" s="1136">
        <v>62.100000000000009</v>
      </c>
      <c r="P11" s="1137">
        <v>42.2</v>
      </c>
      <c r="Q11" s="1138">
        <v>104.30000000000001</v>
      </c>
      <c r="R11" s="1395"/>
      <c r="S11" s="1136">
        <v>90</v>
      </c>
      <c r="T11" s="1138">
        <v>-0.13710450623202311</v>
      </c>
    </row>
    <row r="12" spans="1:20" s="1255" customFormat="1" ht="15.75" customHeight="1">
      <c r="A12" s="1392"/>
      <c r="B12" s="1406" t="s">
        <v>666</v>
      </c>
      <c r="C12" s="1394" t="s">
        <v>14</v>
      </c>
      <c r="D12" s="1144">
        <v>2.6999999999999993</v>
      </c>
      <c r="E12" s="1145">
        <v>0.79999999999999716</v>
      </c>
      <c r="F12" s="1145">
        <v>2.5</v>
      </c>
      <c r="G12" s="1145">
        <v>2.6000000000000014</v>
      </c>
      <c r="H12" s="1146">
        <v>3.8999999999999986</v>
      </c>
      <c r="I12" s="1147">
        <v>1.2999999999999972</v>
      </c>
      <c r="J12" s="1145">
        <v>1.3000000000000007</v>
      </c>
      <c r="K12" s="1145">
        <v>1.2000000000000028</v>
      </c>
      <c r="L12" s="1145">
        <v>1.2000000000000028</v>
      </c>
      <c r="M12" s="1146">
        <v>1.2000000000000028</v>
      </c>
      <c r="N12" s="1407"/>
      <c r="O12" s="1136">
        <v>5.9999999999999964</v>
      </c>
      <c r="P12" s="1137">
        <v>6.5</v>
      </c>
      <c r="Q12" s="1138">
        <v>12.499999999999996</v>
      </c>
      <c r="R12" s="1395"/>
      <c r="S12" s="1136">
        <v>6.2000000000000064</v>
      </c>
      <c r="T12" s="1138">
        <v>-0.50399999999999934</v>
      </c>
    </row>
    <row r="13" spans="1:20" s="1255" customFormat="1" ht="15.75" customHeight="1">
      <c r="A13" s="1392"/>
      <c r="B13" s="1406" t="s">
        <v>188</v>
      </c>
      <c r="C13" s="1394" t="s">
        <v>14</v>
      </c>
      <c r="D13" s="1140">
        <v>1.3</v>
      </c>
      <c r="E13" s="1141">
        <v>2.9</v>
      </c>
      <c r="F13" s="1141">
        <v>6.8</v>
      </c>
      <c r="G13" s="1141">
        <v>8.3000000000000007</v>
      </c>
      <c r="H13" s="1142">
        <v>7.8</v>
      </c>
      <c r="I13" s="1141">
        <v>6.8</v>
      </c>
      <c r="J13" s="1143">
        <v>7</v>
      </c>
      <c r="K13" s="1143">
        <v>6.8</v>
      </c>
      <c r="L13" s="1143">
        <v>6.8</v>
      </c>
      <c r="M13" s="1142">
        <v>6.8</v>
      </c>
      <c r="N13" s="1407"/>
      <c r="O13" s="1136">
        <v>11</v>
      </c>
      <c r="P13" s="1137">
        <v>16.100000000000001</v>
      </c>
      <c r="Q13" s="1138">
        <v>27.1</v>
      </c>
      <c r="R13" s="1395"/>
      <c r="S13" s="1136">
        <v>34.200000000000003</v>
      </c>
      <c r="T13" s="1138">
        <v>0.26199261992619932</v>
      </c>
    </row>
    <row r="14" spans="1:20" s="1255" customFormat="1" ht="15.75" customHeight="1" thickBot="1">
      <c r="A14" s="1392"/>
      <c r="B14" s="1408" t="s">
        <v>424</v>
      </c>
      <c r="C14" s="1399" t="s">
        <v>14</v>
      </c>
      <c r="D14" s="1148">
        <v>1.3999999999999992</v>
      </c>
      <c r="E14" s="1149">
        <v>-2.1000000000000028</v>
      </c>
      <c r="F14" s="1149">
        <v>-4.3</v>
      </c>
      <c r="G14" s="1149">
        <v>-5.6999999999999993</v>
      </c>
      <c r="H14" s="1150">
        <v>-3.9000000000000012</v>
      </c>
      <c r="I14" s="1151">
        <v>-5.5000000000000027</v>
      </c>
      <c r="J14" s="1149">
        <v>-5.6999999999999993</v>
      </c>
      <c r="K14" s="1149">
        <v>-5.599999999999997</v>
      </c>
      <c r="L14" s="1149">
        <v>-5.599999999999997</v>
      </c>
      <c r="M14" s="1150">
        <v>-5.599999999999997</v>
      </c>
      <c r="N14" s="1407"/>
      <c r="O14" s="1152">
        <v>-5.0000000000000036</v>
      </c>
      <c r="P14" s="1153">
        <v>-9.6000000000000014</v>
      </c>
      <c r="Q14" s="1154">
        <v>-14.600000000000005</v>
      </c>
      <c r="R14" s="1395"/>
      <c r="S14" s="1152">
        <v>-27.999999999999996</v>
      </c>
      <c r="T14" s="1154">
        <v>0.91780821917808131</v>
      </c>
    </row>
    <row r="15" spans="1:20">
      <c r="A15" s="254"/>
      <c r="B15" s="254"/>
      <c r="C15" s="316"/>
      <c r="D15" s="1135"/>
      <c r="E15" s="1135"/>
      <c r="F15" s="1135"/>
      <c r="G15" s="1135"/>
      <c r="H15" s="1135"/>
      <c r="I15" s="1135"/>
      <c r="J15" s="1135"/>
      <c r="K15" s="1135"/>
      <c r="L15" s="1135"/>
      <c r="M15" s="1135"/>
      <c r="N15" s="1135"/>
      <c r="O15" s="1135"/>
      <c r="P15" s="1135"/>
      <c r="Q15" s="1135"/>
      <c r="R15" s="1139"/>
      <c r="S15" s="1135"/>
      <c r="T15" s="1135"/>
    </row>
    <row r="16" spans="1:20" s="1255" customFormat="1" ht="15.75" customHeight="1">
      <c r="A16" s="1392"/>
      <c r="B16" s="1420" t="s">
        <v>425</v>
      </c>
      <c r="C16" s="320"/>
      <c r="D16" s="1155"/>
      <c r="E16" s="1155"/>
      <c r="F16" s="1155"/>
      <c r="G16" s="1155"/>
      <c r="H16" s="1155"/>
      <c r="I16" s="1155"/>
      <c r="J16" s="1155"/>
      <c r="K16" s="1155"/>
      <c r="L16" s="1155"/>
      <c r="M16" s="1155"/>
      <c r="N16" s="1155"/>
      <c r="O16" s="1407"/>
      <c r="P16" s="1407"/>
      <c r="Q16" s="1407"/>
      <c r="R16" s="1395"/>
      <c r="S16" s="1155"/>
      <c r="T16" s="1155"/>
    </row>
    <row r="17" spans="1:20" ht="13.5" thickBot="1">
      <c r="A17" s="254"/>
      <c r="B17" s="532"/>
      <c r="C17" s="316"/>
      <c r="D17" s="1155"/>
      <c r="E17" s="1155"/>
      <c r="F17" s="1155"/>
      <c r="G17" s="1155"/>
      <c r="H17" s="1155"/>
      <c r="I17" s="1155"/>
      <c r="J17" s="1155"/>
      <c r="K17" s="1155"/>
      <c r="L17" s="1155"/>
      <c r="M17" s="1155"/>
      <c r="N17" s="1139"/>
      <c r="O17" s="1139"/>
      <c r="P17" s="1139"/>
      <c r="Q17" s="1139"/>
      <c r="R17" s="1139"/>
      <c r="S17" s="1139"/>
      <c r="T17" s="1139"/>
    </row>
    <row r="18" spans="1:20" ht="15.75" customHeight="1">
      <c r="A18" s="254"/>
      <c r="B18" s="1898" t="s">
        <v>425</v>
      </c>
      <c r="C18" s="1902" t="s">
        <v>31</v>
      </c>
      <c r="D18" s="1156" t="s">
        <v>116</v>
      </c>
      <c r="E18" s="1157"/>
      <c r="F18" s="1157"/>
      <c r="G18" s="1157"/>
      <c r="H18" s="1158"/>
      <c r="I18" s="1157" t="s">
        <v>117</v>
      </c>
      <c r="J18" s="1159"/>
      <c r="K18" s="1159"/>
      <c r="L18" s="1159"/>
      <c r="M18" s="1158"/>
      <c r="N18" s="1139"/>
      <c r="O18" s="1139"/>
      <c r="P18" s="1139"/>
      <c r="Q18" s="1139"/>
      <c r="R18" s="1139"/>
      <c r="S18" s="1139"/>
      <c r="T18" s="1139"/>
    </row>
    <row r="19" spans="1:20" ht="26.25" customHeight="1">
      <c r="A19" s="254"/>
      <c r="B19" s="1899"/>
      <c r="C19" s="1903"/>
      <c r="D19" s="1160" t="s">
        <v>32</v>
      </c>
      <c r="E19" s="1161" t="s">
        <v>33</v>
      </c>
      <c r="F19" s="1161" t="s">
        <v>29</v>
      </c>
      <c r="G19" s="1161" t="s">
        <v>34</v>
      </c>
      <c r="H19" s="1162" t="s">
        <v>35</v>
      </c>
      <c r="I19" s="1163" t="s">
        <v>118</v>
      </c>
      <c r="J19" s="1161" t="s">
        <v>136</v>
      </c>
      <c r="K19" s="1161" t="s">
        <v>137</v>
      </c>
      <c r="L19" s="1161" t="s">
        <v>138</v>
      </c>
      <c r="M19" s="1162" t="s">
        <v>139</v>
      </c>
      <c r="N19" s="1139"/>
      <c r="O19" s="1139"/>
      <c r="P19" s="1139"/>
      <c r="Q19" s="1139"/>
      <c r="R19" s="1139"/>
      <c r="S19" s="1139"/>
      <c r="T19" s="1139"/>
    </row>
    <row r="20" spans="1:20">
      <c r="A20" s="254"/>
      <c r="B20" s="551"/>
      <c r="C20" s="321"/>
      <c r="D20" s="1164"/>
      <c r="E20" s="1165"/>
      <c r="F20" s="1165"/>
      <c r="G20" s="1165"/>
      <c r="H20" s="1166"/>
      <c r="I20" s="1165"/>
      <c r="J20" s="1165"/>
      <c r="K20" s="1165"/>
      <c r="L20" s="1165"/>
      <c r="M20" s="1166"/>
      <c r="N20" s="1139"/>
      <c r="O20" s="1139"/>
      <c r="P20" s="1139"/>
      <c r="Q20" s="1139"/>
      <c r="R20" s="1139"/>
      <c r="S20" s="1139"/>
      <c r="T20" s="1139"/>
    </row>
    <row r="21" spans="1:20" ht="15.75" customHeight="1">
      <c r="A21" s="254"/>
      <c r="B21" s="1393" t="s">
        <v>426</v>
      </c>
      <c r="C21" s="545" t="s">
        <v>244</v>
      </c>
      <c r="D21" s="1167">
        <v>2966.4767496999998</v>
      </c>
      <c r="E21" s="1141">
        <v>2806.9</v>
      </c>
      <c r="F21" s="1141">
        <v>2953.3786</v>
      </c>
      <c r="G21" s="1141">
        <v>2953.3786</v>
      </c>
      <c r="H21" s="1142">
        <v>2953.3786</v>
      </c>
      <c r="I21" s="1141">
        <v>2982.912386</v>
      </c>
      <c r="J21" s="1143">
        <v>3012.74150986</v>
      </c>
      <c r="K21" s="1143">
        <v>3042.8689249586</v>
      </c>
      <c r="L21" s="1143">
        <v>3073.2976142081861</v>
      </c>
      <c r="M21" s="1142">
        <v>3104.0305903502681</v>
      </c>
      <c r="N21" s="1139"/>
      <c r="O21" s="1139"/>
      <c r="P21" s="1139"/>
      <c r="Q21" s="1139"/>
      <c r="R21" s="1139"/>
      <c r="S21" s="1139"/>
      <c r="T21" s="1139"/>
    </row>
    <row r="22" spans="1:20" ht="15.75" customHeight="1">
      <c r="A22" s="254"/>
      <c r="B22" s="1393" t="s">
        <v>589</v>
      </c>
      <c r="C22" s="545" t="s">
        <v>244</v>
      </c>
      <c r="D22" s="1140">
        <v>23.979400000000002</v>
      </c>
      <c r="E22" s="1141">
        <v>-159.57674969999971</v>
      </c>
      <c r="F22" s="1141">
        <v>146.47859999999991</v>
      </c>
      <c r="G22" s="1141">
        <v>0</v>
      </c>
      <c r="H22" s="1142">
        <v>0</v>
      </c>
      <c r="I22" s="1141">
        <v>29.533785999999964</v>
      </c>
      <c r="J22" s="1143">
        <v>29.829123859999982</v>
      </c>
      <c r="K22" s="1143">
        <v>30.127415098600068</v>
      </c>
      <c r="L22" s="1143">
        <v>30.428689249586114</v>
      </c>
      <c r="M22" s="1142">
        <v>30.732976142081952</v>
      </c>
      <c r="N22" s="1139"/>
      <c r="O22" s="1139"/>
      <c r="P22" s="1139"/>
      <c r="Q22" s="1139"/>
      <c r="R22" s="1139"/>
      <c r="S22" s="1139"/>
      <c r="T22" s="1139"/>
    </row>
    <row r="23" spans="1:20" ht="15.75" customHeight="1">
      <c r="A23" s="254"/>
      <c r="B23" s="1409" t="s">
        <v>586</v>
      </c>
      <c r="C23" s="545" t="s">
        <v>244</v>
      </c>
      <c r="D23" s="1168">
        <v>23.979400000000002</v>
      </c>
      <c r="E23" s="1169">
        <v>24.980699999999999</v>
      </c>
      <c r="F23" s="1169">
        <v>29.430300000000003</v>
      </c>
      <c r="G23" s="1169">
        <v>23.259999999999998</v>
      </c>
      <c r="H23" s="1170">
        <v>22.93</v>
      </c>
      <c r="I23" s="1169">
        <v>24.200000000000003</v>
      </c>
      <c r="J23" s="1171">
        <v>26.05</v>
      </c>
      <c r="K23" s="1171">
        <v>26.05</v>
      </c>
      <c r="L23" s="1171">
        <v>26.05</v>
      </c>
      <c r="M23" s="1170">
        <v>26.05</v>
      </c>
      <c r="N23" s="1139"/>
      <c r="O23" s="1139"/>
      <c r="P23" s="1139"/>
      <c r="Q23" s="1139"/>
      <c r="R23" s="1139"/>
      <c r="S23" s="1139"/>
      <c r="T23" s="1139"/>
    </row>
    <row r="24" spans="1:20" ht="15.75" customHeight="1">
      <c r="A24" s="254"/>
      <c r="B24" s="1409" t="s">
        <v>587</v>
      </c>
      <c r="C24" s="545" t="s">
        <v>244</v>
      </c>
      <c r="D24" s="1168">
        <v>0</v>
      </c>
      <c r="E24" s="1169">
        <v>-1.6116000000000001</v>
      </c>
      <c r="F24" s="1169">
        <v>-2.1644000000000001</v>
      </c>
      <c r="G24" s="1169">
        <v>-1.605</v>
      </c>
      <c r="H24" s="1170">
        <v>-1.55</v>
      </c>
      <c r="I24" s="1169">
        <v>-2.105</v>
      </c>
      <c r="J24" s="1171">
        <v>-2.6379999999999999</v>
      </c>
      <c r="K24" s="1171">
        <v>-2.6379999999999999</v>
      </c>
      <c r="L24" s="1171">
        <v>-2.6379999999999999</v>
      </c>
      <c r="M24" s="1170">
        <v>-2.6379999999999999</v>
      </c>
      <c r="N24" s="1139"/>
      <c r="O24" s="1139"/>
      <c r="P24" s="1139"/>
      <c r="Q24" s="1139"/>
      <c r="R24" s="1139"/>
      <c r="S24" s="1139"/>
      <c r="T24" s="1139"/>
    </row>
    <row r="25" spans="1:20" ht="15.75" customHeight="1">
      <c r="A25" s="254"/>
      <c r="B25" s="1409" t="s">
        <v>590</v>
      </c>
      <c r="C25" s="545" t="s">
        <v>244</v>
      </c>
      <c r="D25" s="1168">
        <v>0</v>
      </c>
      <c r="E25" s="1169">
        <v>-182.94584969999971</v>
      </c>
      <c r="F25" s="1169">
        <v>119.21269999999991</v>
      </c>
      <c r="G25" s="1169">
        <v>-21.654999999999998</v>
      </c>
      <c r="H25" s="1170">
        <v>-21.38</v>
      </c>
      <c r="I25" s="1169">
        <v>7.4387859999999613</v>
      </c>
      <c r="J25" s="1171">
        <v>6.4171238599999807</v>
      </c>
      <c r="K25" s="1171">
        <v>6.7154150986000669</v>
      </c>
      <c r="L25" s="1171">
        <v>7.0166892495861131</v>
      </c>
      <c r="M25" s="1170">
        <v>7.3209761420819515</v>
      </c>
      <c r="N25" s="1139"/>
      <c r="O25" s="1139"/>
      <c r="P25" s="1139"/>
      <c r="Q25" s="1139"/>
      <c r="R25" s="1139"/>
      <c r="S25" s="1139"/>
      <c r="T25" s="1139"/>
    </row>
    <row r="26" spans="1:20" ht="15.75" customHeight="1">
      <c r="A26" s="254"/>
      <c r="B26" s="1396"/>
      <c r="C26" s="322"/>
      <c r="D26" s="1172"/>
      <c r="E26" s="1173"/>
      <c r="F26" s="1173"/>
      <c r="G26" s="1173"/>
      <c r="H26" s="1174"/>
      <c r="I26" s="1173"/>
      <c r="J26" s="1173"/>
      <c r="K26" s="1173"/>
      <c r="L26" s="1173"/>
      <c r="M26" s="1174"/>
      <c r="N26" s="1139"/>
      <c r="O26" s="1139"/>
      <c r="P26" s="1139"/>
      <c r="Q26" s="1139"/>
      <c r="R26" s="1139"/>
      <c r="S26" s="1139"/>
      <c r="T26" s="1139"/>
    </row>
    <row r="27" spans="1:20" ht="15.75" customHeight="1">
      <c r="A27" s="254"/>
      <c r="B27" s="1393" t="s">
        <v>431</v>
      </c>
      <c r="C27" s="545" t="s">
        <v>51</v>
      </c>
      <c r="D27" s="1167">
        <v>16024.586069700001</v>
      </c>
      <c r="E27" s="1141">
        <v>15403.975752400002</v>
      </c>
      <c r="F27" s="1141">
        <v>15215.522065790004</v>
      </c>
      <c r="G27" s="1141">
        <v>15009.522065790004</v>
      </c>
      <c r="H27" s="1142">
        <v>14995.122065790005</v>
      </c>
      <c r="I27" s="1141">
        <v>15145.0735256425</v>
      </c>
      <c r="J27" s="1143">
        <v>15296.524500093521</v>
      </c>
      <c r="K27" s="1143">
        <v>15449.489984289054</v>
      </c>
      <c r="L27" s="1143">
        <v>15603.985123326542</v>
      </c>
      <c r="M27" s="1142">
        <v>15760.025213754405</v>
      </c>
      <c r="N27" s="1139"/>
      <c r="O27" s="1139"/>
      <c r="P27" s="1139"/>
      <c r="Q27" s="1139"/>
      <c r="R27" s="1139"/>
      <c r="S27" s="1139"/>
      <c r="T27" s="1139"/>
    </row>
    <row r="28" spans="1:20" ht="15.75" customHeight="1">
      <c r="A28" s="254"/>
      <c r="B28" s="1397" t="s">
        <v>428</v>
      </c>
      <c r="C28" s="545" t="s">
        <v>51</v>
      </c>
      <c r="D28" s="1140">
        <v>372.47199999999998</v>
      </c>
      <c r="E28" s="1141">
        <v>-620.61031729999922</v>
      </c>
      <c r="F28" s="1141">
        <v>-188.45368660999702</v>
      </c>
      <c r="G28" s="1141">
        <v>-206</v>
      </c>
      <c r="H28" s="1142">
        <v>-14.400000000000006</v>
      </c>
      <c r="I28" s="1141">
        <v>149.95145985249474</v>
      </c>
      <c r="J28" s="1143">
        <v>151.45097445102147</v>
      </c>
      <c r="K28" s="1143">
        <v>152.96548419553255</v>
      </c>
      <c r="L28" s="1143">
        <v>154.49513903748812</v>
      </c>
      <c r="M28" s="1142">
        <v>156.04009042786311</v>
      </c>
      <c r="N28" s="1139"/>
      <c r="O28" s="1139"/>
      <c r="P28" s="1139"/>
      <c r="Q28" s="1139"/>
      <c r="R28" s="1139"/>
      <c r="S28" s="1139"/>
      <c r="T28" s="1139"/>
    </row>
    <row r="29" spans="1:20" ht="15.75" customHeight="1">
      <c r="A29" s="254"/>
      <c r="B29" s="1410" t="s">
        <v>667</v>
      </c>
      <c r="C29" s="545" t="s">
        <v>51</v>
      </c>
      <c r="D29" s="1168">
        <v>372.47199999999998</v>
      </c>
      <c r="E29" s="1169">
        <v>-620.61031729999922</v>
      </c>
      <c r="F29" s="1169">
        <v>-188.45368660999702</v>
      </c>
      <c r="G29" s="1169">
        <v>-53.8</v>
      </c>
      <c r="H29" s="1170">
        <v>135.69999999999999</v>
      </c>
      <c r="I29" s="1169">
        <v>149.95145985249474</v>
      </c>
      <c r="J29" s="1171">
        <v>151.45097445102147</v>
      </c>
      <c r="K29" s="1171">
        <v>152.96548419553255</v>
      </c>
      <c r="L29" s="1171">
        <v>154.49513903748812</v>
      </c>
      <c r="M29" s="1170">
        <v>156.04009042786311</v>
      </c>
      <c r="N29" s="1139"/>
      <c r="O29" s="1139"/>
      <c r="P29" s="1139"/>
      <c r="Q29" s="1139"/>
      <c r="R29" s="1139"/>
      <c r="S29" s="1139"/>
      <c r="T29" s="1139"/>
    </row>
    <row r="30" spans="1:20" ht="15.75" customHeight="1">
      <c r="A30" s="254"/>
      <c r="B30" s="1410" t="s">
        <v>668</v>
      </c>
      <c r="C30" s="545" t="s">
        <v>51</v>
      </c>
      <c r="D30" s="1168">
        <v>0</v>
      </c>
      <c r="E30" s="1169">
        <v>0</v>
      </c>
      <c r="F30" s="1169">
        <v>0</v>
      </c>
      <c r="G30" s="1169">
        <v>0</v>
      </c>
      <c r="H30" s="1170">
        <v>0</v>
      </c>
      <c r="I30" s="1169">
        <v>0</v>
      </c>
      <c r="J30" s="1171">
        <v>0</v>
      </c>
      <c r="K30" s="1171">
        <v>0</v>
      </c>
      <c r="L30" s="1171">
        <v>0</v>
      </c>
      <c r="M30" s="1170">
        <v>0</v>
      </c>
      <c r="N30" s="1139"/>
      <c r="O30" s="1139"/>
      <c r="P30" s="1139"/>
      <c r="Q30" s="1139"/>
      <c r="R30" s="1139"/>
      <c r="S30" s="1139"/>
      <c r="T30" s="1139"/>
    </row>
    <row r="31" spans="1:20" ht="15.75" customHeight="1">
      <c r="A31" s="254"/>
      <c r="B31" s="1410" t="s">
        <v>669</v>
      </c>
      <c r="C31" s="545" t="s">
        <v>51</v>
      </c>
      <c r="D31" s="1168">
        <v>0</v>
      </c>
      <c r="E31" s="1169">
        <v>0</v>
      </c>
      <c r="F31" s="1169">
        <v>0</v>
      </c>
      <c r="G31" s="1169">
        <v>0</v>
      </c>
      <c r="H31" s="1170">
        <v>0</v>
      </c>
      <c r="I31" s="1169">
        <v>0</v>
      </c>
      <c r="J31" s="1171">
        <v>0</v>
      </c>
      <c r="K31" s="1171">
        <v>0</v>
      </c>
      <c r="L31" s="1171">
        <v>0</v>
      </c>
      <c r="M31" s="1170">
        <v>0</v>
      </c>
      <c r="N31" s="1139"/>
      <c r="O31" s="1139"/>
      <c r="P31" s="1139"/>
      <c r="Q31" s="1139"/>
      <c r="R31" s="1139"/>
      <c r="S31" s="1139"/>
      <c r="T31" s="1139"/>
    </row>
    <row r="32" spans="1:20" ht="15.75" customHeight="1">
      <c r="A32" s="254"/>
      <c r="B32" s="1410" t="s">
        <v>591</v>
      </c>
      <c r="C32" s="545" t="s">
        <v>51</v>
      </c>
      <c r="D32" s="1168">
        <v>0</v>
      </c>
      <c r="E32" s="1169">
        <v>0</v>
      </c>
      <c r="F32" s="1169">
        <v>0</v>
      </c>
      <c r="G32" s="1169">
        <v>0</v>
      </c>
      <c r="H32" s="1170">
        <v>0</v>
      </c>
      <c r="I32" s="1169">
        <v>0</v>
      </c>
      <c r="J32" s="1171">
        <v>0</v>
      </c>
      <c r="K32" s="1171">
        <v>0</v>
      </c>
      <c r="L32" s="1171">
        <v>0</v>
      </c>
      <c r="M32" s="1170">
        <v>0</v>
      </c>
      <c r="N32" s="1139"/>
      <c r="O32" s="1139"/>
      <c r="P32" s="1139"/>
      <c r="Q32" s="1139"/>
      <c r="R32" s="1139"/>
      <c r="S32" s="1139"/>
      <c r="T32" s="1139"/>
    </row>
    <row r="33" spans="1:20" ht="15.75" customHeight="1">
      <c r="A33" s="254"/>
      <c r="B33" s="1410" t="s">
        <v>592</v>
      </c>
      <c r="C33" s="545" t="s">
        <v>51</v>
      </c>
      <c r="D33" s="1168">
        <v>0</v>
      </c>
      <c r="E33" s="1169">
        <v>0</v>
      </c>
      <c r="F33" s="1169">
        <v>0</v>
      </c>
      <c r="G33" s="1169">
        <v>0</v>
      </c>
      <c r="H33" s="1170">
        <v>0</v>
      </c>
      <c r="I33" s="1169">
        <v>0</v>
      </c>
      <c r="J33" s="1171">
        <v>0</v>
      </c>
      <c r="K33" s="1171">
        <v>0</v>
      </c>
      <c r="L33" s="1171">
        <v>0</v>
      </c>
      <c r="M33" s="1170">
        <v>0</v>
      </c>
      <c r="N33" s="1139"/>
      <c r="O33" s="1139"/>
      <c r="P33" s="1139"/>
      <c r="Q33" s="1139"/>
      <c r="R33" s="1139"/>
      <c r="S33" s="1139"/>
      <c r="T33" s="1139"/>
    </row>
    <row r="34" spans="1:20" ht="15.75" customHeight="1">
      <c r="A34" s="254"/>
      <c r="B34" s="1410" t="s">
        <v>593</v>
      </c>
      <c r="C34" s="545" t="s">
        <v>51</v>
      </c>
      <c r="D34" s="1168">
        <v>0</v>
      </c>
      <c r="E34" s="1169">
        <v>0</v>
      </c>
      <c r="F34" s="1169">
        <v>0</v>
      </c>
      <c r="G34" s="1169">
        <v>-152.19999999999999</v>
      </c>
      <c r="H34" s="1170">
        <v>-150.1</v>
      </c>
      <c r="I34" s="1169">
        <v>0</v>
      </c>
      <c r="J34" s="1171">
        <v>0</v>
      </c>
      <c r="K34" s="1171">
        <v>0</v>
      </c>
      <c r="L34" s="1171">
        <v>0</v>
      </c>
      <c r="M34" s="1170">
        <v>0</v>
      </c>
      <c r="N34" s="1139"/>
      <c r="O34" s="1139"/>
      <c r="P34" s="1139"/>
      <c r="Q34" s="1139"/>
      <c r="R34" s="1139"/>
      <c r="S34" s="1139"/>
      <c r="T34" s="1139"/>
    </row>
    <row r="35" spans="1:20" ht="15.75" customHeight="1">
      <c r="A35" s="254"/>
      <c r="B35" s="1396"/>
      <c r="C35" s="322"/>
      <c r="D35" s="1175"/>
      <c r="E35" s="1176"/>
      <c r="F35" s="1176"/>
      <c r="G35" s="1176"/>
      <c r="H35" s="1177"/>
      <c r="I35" s="1176"/>
      <c r="J35" s="1176"/>
      <c r="K35" s="1176"/>
      <c r="L35" s="1176"/>
      <c r="M35" s="1177"/>
      <c r="N35" s="1139"/>
      <c r="O35" s="1139"/>
      <c r="P35" s="1139"/>
      <c r="Q35" s="1139"/>
      <c r="R35" s="1139"/>
      <c r="S35" s="1139"/>
      <c r="T35" s="1139"/>
    </row>
    <row r="36" spans="1:20" ht="15.75" customHeight="1">
      <c r="A36" s="254"/>
      <c r="B36" s="1393" t="s">
        <v>431</v>
      </c>
      <c r="C36" s="545"/>
      <c r="D36" s="1178"/>
      <c r="E36" s="1179"/>
      <c r="F36" s="1179"/>
      <c r="G36" s="1179"/>
      <c r="H36" s="1180"/>
      <c r="I36" s="1179"/>
      <c r="J36" s="1179"/>
      <c r="K36" s="1179"/>
      <c r="L36" s="1179"/>
      <c r="M36" s="1180"/>
      <c r="N36" s="1139"/>
      <c r="O36" s="1139"/>
      <c r="P36" s="1139"/>
      <c r="Q36" s="1139"/>
      <c r="R36" s="1139"/>
      <c r="S36" s="1139"/>
      <c r="T36" s="1139"/>
    </row>
    <row r="37" spans="1:20" ht="15.75" customHeight="1">
      <c r="A37" s="254"/>
      <c r="B37" s="1409" t="s">
        <v>240</v>
      </c>
      <c r="C37" s="545" t="s">
        <v>51</v>
      </c>
      <c r="D37" s="1168">
        <v>11741.478297000001</v>
      </c>
      <c r="E37" s="1169">
        <v>11216.577010000001</v>
      </c>
      <c r="F37" s="1169">
        <v>11135.698339690003</v>
      </c>
      <c r="G37" s="1169">
        <v>11135.698339690003</v>
      </c>
      <c r="H37" s="1170">
        <v>11135.698339690003</v>
      </c>
      <c r="I37" s="1169">
        <v>11247.055323086903</v>
      </c>
      <c r="J37" s="1171">
        <v>11359.525876317772</v>
      </c>
      <c r="K37" s="1171">
        <v>11473.12113508095</v>
      </c>
      <c r="L37" s="1171">
        <v>11587.852346431759</v>
      </c>
      <c r="M37" s="1170">
        <v>11703.730869896077</v>
      </c>
      <c r="N37" s="1139"/>
      <c r="O37" s="1139"/>
      <c r="P37" s="1139"/>
      <c r="Q37" s="1139"/>
      <c r="R37" s="1139"/>
      <c r="S37" s="1139"/>
      <c r="T37" s="1139"/>
    </row>
    <row r="38" spans="1:20" ht="15.75" customHeight="1">
      <c r="A38" s="254"/>
      <c r="B38" s="1409" t="s">
        <v>239</v>
      </c>
      <c r="C38" s="545" t="s">
        <v>51</v>
      </c>
      <c r="D38" s="1168">
        <v>3766.4622659000001</v>
      </c>
      <c r="E38" s="1169">
        <v>3654.7326434000001</v>
      </c>
      <c r="F38" s="1169">
        <v>3560.4307964999998</v>
      </c>
      <c r="G38" s="1169">
        <v>3560.4307964999998</v>
      </c>
      <c r="H38" s="1170">
        <v>3560.4307964999998</v>
      </c>
      <c r="I38" s="1169">
        <v>3596.0351044649997</v>
      </c>
      <c r="J38" s="1171">
        <v>3631.9954555096497</v>
      </c>
      <c r="K38" s="1171">
        <v>3668.3154100647462</v>
      </c>
      <c r="L38" s="1171">
        <v>3704.9985641653939</v>
      </c>
      <c r="M38" s="1170">
        <v>3742.0485498070479</v>
      </c>
      <c r="N38" s="1139"/>
      <c r="O38" s="1139"/>
      <c r="P38" s="1139"/>
      <c r="Q38" s="1139"/>
      <c r="R38" s="1139"/>
      <c r="S38" s="1139"/>
      <c r="T38" s="1139"/>
    </row>
    <row r="39" spans="1:20" ht="15.75" customHeight="1">
      <c r="A39" s="254"/>
      <c r="B39" s="1409" t="s">
        <v>594</v>
      </c>
      <c r="C39" s="545" t="s">
        <v>51</v>
      </c>
      <c r="D39" s="1168">
        <v>516.64550680000002</v>
      </c>
      <c r="E39" s="1169">
        <v>532.66609899999992</v>
      </c>
      <c r="F39" s="1169">
        <v>519.3929296</v>
      </c>
      <c r="G39" s="1169">
        <v>313.39953464003452</v>
      </c>
      <c r="H39" s="1170">
        <v>299.01684905968341</v>
      </c>
      <c r="I39" s="1169">
        <v>302.00701755028024</v>
      </c>
      <c r="J39" s="1171">
        <v>305.02708772578302</v>
      </c>
      <c r="K39" s="1171">
        <v>308.07735860304086</v>
      </c>
      <c r="L39" s="1171">
        <v>311.1581321890713</v>
      </c>
      <c r="M39" s="1170">
        <v>314.26971351096199</v>
      </c>
      <c r="N39" s="1139"/>
      <c r="O39" s="1139"/>
      <c r="P39" s="1139"/>
      <c r="Q39" s="1139"/>
      <c r="R39" s="1139"/>
      <c r="S39" s="1139"/>
      <c r="T39" s="1139"/>
    </row>
    <row r="40" spans="1:20" ht="15.75" customHeight="1">
      <c r="A40" s="254"/>
      <c r="B40" s="1393" t="s">
        <v>588</v>
      </c>
      <c r="C40" s="545" t="s">
        <v>51</v>
      </c>
      <c r="D40" s="1144">
        <v>16024.586069700001</v>
      </c>
      <c r="E40" s="1147">
        <v>15403.975752400002</v>
      </c>
      <c r="F40" s="1147">
        <v>15215.522065790004</v>
      </c>
      <c r="G40" s="1147">
        <v>15009.528670830039</v>
      </c>
      <c r="H40" s="1146">
        <v>14995.145985249688</v>
      </c>
      <c r="I40" s="1147">
        <v>15145.097445102183</v>
      </c>
      <c r="J40" s="1145">
        <v>15296.548419553204</v>
      </c>
      <c r="K40" s="1145">
        <v>15449.513903748737</v>
      </c>
      <c r="L40" s="1145">
        <v>15604.009042786225</v>
      </c>
      <c r="M40" s="1146">
        <v>15760.049133214088</v>
      </c>
      <c r="N40" s="1139"/>
      <c r="O40" s="1139"/>
      <c r="P40" s="1139"/>
      <c r="Q40" s="1139"/>
      <c r="R40" s="1139"/>
      <c r="S40" s="1139"/>
      <c r="T40" s="1139"/>
    </row>
    <row r="41" spans="1:20" ht="15.75" customHeight="1">
      <c r="A41" s="254"/>
      <c r="B41" s="1397"/>
      <c r="C41" s="545"/>
      <c r="D41" s="1172"/>
      <c r="E41" s="1173"/>
      <c r="F41" s="1173"/>
      <c r="G41" s="1173"/>
      <c r="H41" s="1174"/>
      <c r="I41" s="1173"/>
      <c r="J41" s="1173"/>
      <c r="K41" s="1173"/>
      <c r="L41" s="1173"/>
      <c r="M41" s="1174"/>
      <c r="N41" s="1139"/>
      <c r="O41" s="1139"/>
      <c r="P41" s="1139"/>
      <c r="Q41" s="1139"/>
      <c r="R41" s="1139"/>
      <c r="S41" s="1139"/>
      <c r="T41" s="1139"/>
    </row>
    <row r="42" spans="1:20" ht="15.75" customHeight="1">
      <c r="A42" s="254"/>
      <c r="B42" s="1397" t="s">
        <v>706</v>
      </c>
      <c r="C42" s="545"/>
      <c r="D42" s="1178"/>
      <c r="E42" s="1179"/>
      <c r="F42" s="1179"/>
      <c r="G42" s="1179"/>
      <c r="H42" s="1180"/>
      <c r="I42" s="1179"/>
      <c r="J42" s="1179"/>
      <c r="K42" s="1179"/>
      <c r="L42" s="1179"/>
      <c r="M42" s="1180"/>
      <c r="N42" s="1139"/>
      <c r="O42" s="1139"/>
      <c r="P42" s="1139"/>
      <c r="Q42" s="1139"/>
      <c r="R42" s="1139"/>
      <c r="S42" s="1139"/>
      <c r="T42" s="1139"/>
    </row>
    <row r="43" spans="1:20" ht="15.75" customHeight="1">
      <c r="A43" s="254"/>
      <c r="B43" s="1409" t="s">
        <v>240</v>
      </c>
      <c r="C43" s="545" t="s">
        <v>707</v>
      </c>
      <c r="D43" s="1168">
        <v>60039</v>
      </c>
      <c r="E43" s="1169">
        <v>59958.5</v>
      </c>
      <c r="F43" s="1169">
        <v>70066.5</v>
      </c>
      <c r="G43" s="1169">
        <v>53550</v>
      </c>
      <c r="H43" s="1170">
        <v>50925</v>
      </c>
      <c r="I43" s="1169">
        <v>49175</v>
      </c>
      <c r="J43" s="1171">
        <v>49770</v>
      </c>
      <c r="K43" s="1171">
        <v>48020</v>
      </c>
      <c r="L43" s="1171">
        <v>48020</v>
      </c>
      <c r="M43" s="1170">
        <v>48020</v>
      </c>
      <c r="N43" s="1139"/>
      <c r="O43" s="1139"/>
      <c r="P43" s="1139"/>
      <c r="Q43" s="1139"/>
      <c r="R43" s="1139"/>
      <c r="S43" s="1139"/>
      <c r="T43" s="1139"/>
    </row>
    <row r="44" spans="1:20" ht="15.75" customHeight="1">
      <c r="A44" s="254"/>
      <c r="B44" s="1409" t="s">
        <v>239</v>
      </c>
      <c r="C44" s="545" t="s">
        <v>707</v>
      </c>
      <c r="D44" s="1168">
        <v>43800</v>
      </c>
      <c r="E44" s="1169">
        <v>38105</v>
      </c>
      <c r="F44" s="1169">
        <v>41610</v>
      </c>
      <c r="G44" s="1169">
        <v>35040</v>
      </c>
      <c r="H44" s="1170">
        <v>35040</v>
      </c>
      <c r="I44" s="1169">
        <v>35040</v>
      </c>
      <c r="J44" s="1171">
        <v>37230</v>
      </c>
      <c r="K44" s="1171">
        <v>37230</v>
      </c>
      <c r="L44" s="1171">
        <v>37230</v>
      </c>
      <c r="M44" s="1170">
        <v>37230</v>
      </c>
      <c r="N44" s="1139"/>
      <c r="O44" s="1139"/>
      <c r="P44" s="1139"/>
      <c r="Q44" s="1139"/>
      <c r="R44" s="1139"/>
      <c r="S44" s="1139"/>
      <c r="T44" s="1139"/>
    </row>
    <row r="45" spans="1:20" ht="15.75" customHeight="1">
      <c r="A45" s="254"/>
      <c r="B45" s="1409" t="s">
        <v>594</v>
      </c>
      <c r="C45" s="545" t="s">
        <v>707</v>
      </c>
      <c r="D45" s="1168">
        <v>0</v>
      </c>
      <c r="E45" s="1169">
        <v>0</v>
      </c>
      <c r="F45" s="1169">
        <v>0</v>
      </c>
      <c r="G45" s="1169">
        <v>0</v>
      </c>
      <c r="H45" s="1170">
        <v>0</v>
      </c>
      <c r="I45" s="1169">
        <v>0</v>
      </c>
      <c r="J45" s="1171">
        <v>0</v>
      </c>
      <c r="K45" s="1171">
        <v>0</v>
      </c>
      <c r="L45" s="1171">
        <v>0</v>
      </c>
      <c r="M45" s="1170">
        <v>0</v>
      </c>
      <c r="N45" s="1139"/>
      <c r="O45" s="1139"/>
      <c r="P45" s="1139"/>
      <c r="Q45" s="1139"/>
      <c r="R45" s="1139"/>
      <c r="S45" s="1139"/>
      <c r="T45" s="1139"/>
    </row>
    <row r="46" spans="1:20" ht="15.75" customHeight="1" thickBot="1">
      <c r="A46" s="254"/>
      <c r="B46" s="1398" t="s">
        <v>708</v>
      </c>
      <c r="C46" s="550" t="s">
        <v>707</v>
      </c>
      <c r="D46" s="1148">
        <v>103839</v>
      </c>
      <c r="E46" s="1151">
        <v>98063.5</v>
      </c>
      <c r="F46" s="1151">
        <v>111676.5</v>
      </c>
      <c r="G46" s="1151">
        <v>88590</v>
      </c>
      <c r="H46" s="1150">
        <v>85965</v>
      </c>
      <c r="I46" s="1151">
        <v>84215</v>
      </c>
      <c r="J46" s="1149">
        <v>87000</v>
      </c>
      <c r="K46" s="1149">
        <v>85250</v>
      </c>
      <c r="L46" s="1149">
        <v>85250</v>
      </c>
      <c r="M46" s="1150">
        <v>85250</v>
      </c>
      <c r="N46" s="1181"/>
      <c r="O46" s="1139"/>
      <c r="P46" s="1139"/>
      <c r="Q46" s="1139"/>
      <c r="R46" s="1139"/>
      <c r="S46" s="1139"/>
      <c r="T46" s="1139"/>
    </row>
    <row r="47" spans="1:20">
      <c r="A47" s="258"/>
      <c r="B47" s="258"/>
      <c r="C47" s="258"/>
      <c r="D47" s="1139"/>
      <c r="E47" s="1139"/>
      <c r="F47" s="1139"/>
      <c r="G47" s="1139"/>
      <c r="H47" s="1139"/>
      <c r="I47" s="1139"/>
      <c r="J47" s="1139"/>
      <c r="K47" s="1139"/>
      <c r="L47" s="1139"/>
      <c r="M47" s="1139"/>
      <c r="N47" s="1139"/>
      <c r="O47" s="1139"/>
      <c r="P47" s="1139"/>
      <c r="Q47" s="1139"/>
      <c r="R47" s="1139"/>
      <c r="S47" s="1139"/>
      <c r="T47" s="1139"/>
    </row>
    <row r="48" spans="1:20">
      <c r="A48" s="254"/>
      <c r="B48" s="254"/>
      <c r="C48" s="316"/>
      <c r="D48" s="1155"/>
      <c r="E48" s="1155"/>
      <c r="F48" s="1155"/>
      <c r="G48" s="1155"/>
      <c r="H48" s="1155"/>
      <c r="I48" s="1155"/>
      <c r="J48" s="1155"/>
      <c r="K48" s="1155"/>
      <c r="L48" s="1155"/>
      <c r="M48" s="1155"/>
      <c r="N48" s="1139"/>
      <c r="O48" s="1139"/>
      <c r="P48" s="1139"/>
      <c r="Q48" s="1139"/>
      <c r="R48" s="1139"/>
      <c r="S48" s="1139"/>
      <c r="T48" s="1139"/>
    </row>
    <row r="49" spans="1:20" s="1255" customFormat="1" ht="15.75" customHeight="1">
      <c r="A49" s="1392"/>
      <c r="B49" s="1420" t="s">
        <v>443</v>
      </c>
      <c r="C49" s="320"/>
      <c r="D49" s="1155"/>
      <c r="E49" s="1155"/>
      <c r="F49" s="1155"/>
      <c r="G49" s="1155"/>
      <c r="H49" s="1155"/>
      <c r="I49" s="1155"/>
      <c r="J49" s="1155"/>
      <c r="K49" s="1155"/>
      <c r="L49" s="1155"/>
      <c r="M49" s="1155"/>
      <c r="N49" s="1155"/>
      <c r="O49" s="1407"/>
      <c r="P49" s="1407"/>
      <c r="Q49" s="1407"/>
      <c r="R49" s="1395"/>
      <c r="S49" s="1155"/>
      <c r="T49" s="1155"/>
    </row>
    <row r="50" spans="1:20" ht="13.5" thickBot="1">
      <c r="A50" s="254"/>
      <c r="B50" s="532"/>
      <c r="C50" s="316"/>
      <c r="D50" s="1155"/>
      <c r="E50" s="1155"/>
      <c r="F50" s="1155"/>
      <c r="G50" s="1155"/>
      <c r="H50" s="1155"/>
      <c r="I50" s="1155"/>
      <c r="J50" s="1155"/>
      <c r="K50" s="1155"/>
      <c r="L50" s="1155"/>
      <c r="M50" s="1155"/>
      <c r="N50" s="1139"/>
      <c r="O50" s="1139"/>
      <c r="P50" s="1139"/>
      <c r="Q50" s="1139"/>
      <c r="R50" s="1139"/>
      <c r="S50" s="1139"/>
      <c r="T50" s="1139"/>
    </row>
    <row r="51" spans="1:20" ht="15.75" customHeight="1">
      <c r="A51" s="254"/>
      <c r="B51" s="1898" t="s">
        <v>443</v>
      </c>
      <c r="C51" s="1902" t="s">
        <v>31</v>
      </c>
      <c r="D51" s="1156" t="s">
        <v>116</v>
      </c>
      <c r="E51" s="1157"/>
      <c r="F51" s="1157"/>
      <c r="G51" s="1157"/>
      <c r="H51" s="1158"/>
      <c r="I51" s="1157" t="s">
        <v>117</v>
      </c>
      <c r="J51" s="1159"/>
      <c r="K51" s="1159"/>
      <c r="L51" s="1159"/>
      <c r="M51" s="1158"/>
      <c r="N51" s="1139"/>
      <c r="O51" s="1139"/>
      <c r="P51" s="1139"/>
      <c r="Q51" s="1139"/>
      <c r="R51" s="1139"/>
      <c r="S51" s="1139"/>
      <c r="T51" s="1139"/>
    </row>
    <row r="52" spans="1:20" ht="26.25" customHeight="1">
      <c r="A52" s="254"/>
      <c r="B52" s="1899"/>
      <c r="C52" s="1903"/>
      <c r="D52" s="1160" t="s">
        <v>32</v>
      </c>
      <c r="E52" s="1161" t="s">
        <v>33</v>
      </c>
      <c r="F52" s="1161" t="s">
        <v>29</v>
      </c>
      <c r="G52" s="1161" t="s">
        <v>34</v>
      </c>
      <c r="H52" s="1162" t="s">
        <v>35</v>
      </c>
      <c r="I52" s="1163" t="s">
        <v>118</v>
      </c>
      <c r="J52" s="1161" t="s">
        <v>136</v>
      </c>
      <c r="K52" s="1161" t="s">
        <v>137</v>
      </c>
      <c r="L52" s="1161" t="s">
        <v>138</v>
      </c>
      <c r="M52" s="1162" t="s">
        <v>139</v>
      </c>
      <c r="N52" s="1139"/>
      <c r="O52" s="1139"/>
      <c r="P52" s="1139"/>
      <c r="Q52" s="1139"/>
      <c r="R52" s="1139"/>
      <c r="S52" s="1139"/>
      <c r="T52" s="1139"/>
    </row>
    <row r="53" spans="1:20" ht="15.75" customHeight="1">
      <c r="A53" s="254"/>
      <c r="B53" s="1411" t="s">
        <v>444</v>
      </c>
      <c r="C53" s="552"/>
      <c r="D53" s="1182"/>
      <c r="E53" s="1183"/>
      <c r="F53" s="1183"/>
      <c r="G53" s="1183"/>
      <c r="H53" s="1184"/>
      <c r="I53" s="1173"/>
      <c r="J53" s="1173"/>
      <c r="K53" s="1173"/>
      <c r="L53" s="1173"/>
      <c r="M53" s="1174"/>
      <c r="N53" s="1185"/>
      <c r="O53" s="1139"/>
      <c r="P53" s="1139"/>
      <c r="Q53" s="1139"/>
      <c r="R53" s="1139"/>
      <c r="S53" s="1139"/>
      <c r="T53" s="1139"/>
    </row>
    <row r="54" spans="1:20" ht="15.75" customHeight="1">
      <c r="A54" s="254"/>
      <c r="B54" s="1396" t="s">
        <v>519</v>
      </c>
      <c r="C54" s="553"/>
      <c r="D54" s="1186"/>
      <c r="E54" s="1187"/>
      <c r="F54" s="1187"/>
      <c r="G54" s="1187"/>
      <c r="H54" s="1188"/>
      <c r="I54" s="1176"/>
      <c r="J54" s="1176"/>
      <c r="K54" s="1176"/>
      <c r="L54" s="1176"/>
      <c r="M54" s="1177"/>
      <c r="N54" s="1185"/>
      <c r="O54" s="1139"/>
      <c r="P54" s="1139"/>
      <c r="Q54" s="1139"/>
      <c r="R54" s="1139"/>
      <c r="S54" s="1139"/>
      <c r="T54" s="1139"/>
    </row>
    <row r="55" spans="1:20" ht="15.75" customHeight="1">
      <c r="A55" s="254"/>
      <c r="B55" s="1412" t="s">
        <v>520</v>
      </c>
      <c r="C55" s="553" t="s">
        <v>521</v>
      </c>
      <c r="D55" s="1168">
        <v>1</v>
      </c>
      <c r="E55" s="1169">
        <v>1</v>
      </c>
      <c r="F55" s="1169">
        <v>2</v>
      </c>
      <c r="G55" s="1169">
        <v>5</v>
      </c>
      <c r="H55" s="1170">
        <v>5</v>
      </c>
      <c r="I55" s="1169">
        <v>9</v>
      </c>
      <c r="J55" s="1171">
        <v>12</v>
      </c>
      <c r="K55" s="1171">
        <v>12</v>
      </c>
      <c r="L55" s="1171">
        <v>12</v>
      </c>
      <c r="M55" s="1170">
        <v>12</v>
      </c>
      <c r="N55" s="1139"/>
      <c r="O55" s="1139"/>
      <c r="P55" s="1139"/>
      <c r="Q55" s="1139"/>
      <c r="R55" s="1139"/>
      <c r="S55" s="1139"/>
      <c r="T55" s="1139"/>
    </row>
    <row r="56" spans="1:20" ht="15.75" customHeight="1">
      <c r="A56" s="254"/>
      <c r="B56" s="1412" t="s">
        <v>522</v>
      </c>
      <c r="C56" s="553" t="s">
        <v>521</v>
      </c>
      <c r="D56" s="1168">
        <v>17154</v>
      </c>
      <c r="E56" s="1169">
        <v>17587</v>
      </c>
      <c r="F56" s="1169">
        <v>19636</v>
      </c>
      <c r="G56" s="1169">
        <v>15850</v>
      </c>
      <c r="H56" s="1170">
        <v>15050</v>
      </c>
      <c r="I56" s="1169">
        <v>14600</v>
      </c>
      <c r="J56" s="1171">
        <v>14800</v>
      </c>
      <c r="K56" s="1171">
        <v>14300</v>
      </c>
      <c r="L56" s="1171">
        <v>14300</v>
      </c>
      <c r="M56" s="1170">
        <v>14300</v>
      </c>
      <c r="N56" s="1139"/>
      <c r="O56" s="1139"/>
      <c r="P56" s="1139"/>
      <c r="Q56" s="1139"/>
      <c r="R56" s="1139"/>
      <c r="S56" s="1139"/>
      <c r="T56" s="1139"/>
    </row>
    <row r="57" spans="1:20" ht="15.75" customHeight="1">
      <c r="A57" s="254"/>
      <c r="B57" s="1412" t="s">
        <v>850</v>
      </c>
      <c r="C57" s="553" t="s">
        <v>521</v>
      </c>
      <c r="D57" s="1168" t="s">
        <v>482</v>
      </c>
      <c r="E57" s="1169">
        <v>556</v>
      </c>
      <c r="F57" s="1169">
        <v>604</v>
      </c>
      <c r="G57" s="1169">
        <v>550</v>
      </c>
      <c r="H57" s="1170">
        <v>500</v>
      </c>
      <c r="I57" s="1169">
        <v>550</v>
      </c>
      <c r="J57" s="1171">
        <v>580</v>
      </c>
      <c r="K57" s="1171">
        <v>580</v>
      </c>
      <c r="L57" s="1171">
        <v>580</v>
      </c>
      <c r="M57" s="1170">
        <v>580</v>
      </c>
      <c r="N57" s="1139"/>
      <c r="O57" s="1139"/>
      <c r="P57" s="1139"/>
      <c r="Q57" s="1139"/>
      <c r="R57" s="1139"/>
      <c r="S57" s="1139"/>
      <c r="T57" s="1139"/>
    </row>
    <row r="58" spans="1:20" ht="15.75" customHeight="1">
      <c r="A58" s="254"/>
      <c r="B58" s="1396" t="s">
        <v>682</v>
      </c>
      <c r="C58" s="553"/>
      <c r="D58" s="1186"/>
      <c r="E58" s="1187"/>
      <c r="F58" s="1187"/>
      <c r="G58" s="1187"/>
      <c r="H58" s="1188"/>
      <c r="I58" s="1176"/>
      <c r="J58" s="1176"/>
      <c r="K58" s="1176"/>
      <c r="L58" s="1176"/>
      <c r="M58" s="1177"/>
      <c r="N58" s="1185"/>
      <c r="O58" s="1139"/>
      <c r="P58" s="1139"/>
      <c r="Q58" s="1139"/>
      <c r="R58" s="1139"/>
      <c r="S58" s="1139"/>
      <c r="T58" s="1139"/>
    </row>
    <row r="59" spans="1:20" ht="15.75" customHeight="1">
      <c r="A59" s="254"/>
      <c r="B59" s="1412" t="s">
        <v>520</v>
      </c>
      <c r="C59" s="553" t="s">
        <v>521</v>
      </c>
      <c r="D59" s="1168">
        <v>0</v>
      </c>
      <c r="E59" s="1169">
        <v>1</v>
      </c>
      <c r="F59" s="1169">
        <v>3</v>
      </c>
      <c r="G59" s="1169">
        <v>1</v>
      </c>
      <c r="H59" s="1170">
        <v>3</v>
      </c>
      <c r="I59" s="1169">
        <v>6</v>
      </c>
      <c r="J59" s="1171">
        <v>8</v>
      </c>
      <c r="K59" s="1171">
        <v>10</v>
      </c>
      <c r="L59" s="1171">
        <v>10</v>
      </c>
      <c r="M59" s="1170">
        <v>10</v>
      </c>
      <c r="N59" s="1139"/>
      <c r="O59" s="1139"/>
      <c r="P59" s="1139"/>
      <c r="Q59" s="1139"/>
      <c r="R59" s="1139"/>
      <c r="S59" s="1139"/>
      <c r="T59" s="1139"/>
    </row>
    <row r="60" spans="1:20" ht="15.75" customHeight="1">
      <c r="A60" s="254"/>
      <c r="B60" s="1412" t="s">
        <v>522</v>
      </c>
      <c r="C60" s="553" t="s">
        <v>521</v>
      </c>
      <c r="D60" s="1168">
        <v>20</v>
      </c>
      <c r="E60" s="1169">
        <v>21</v>
      </c>
      <c r="F60" s="1169">
        <v>22</v>
      </c>
      <c r="G60" s="1169">
        <v>20</v>
      </c>
      <c r="H60" s="1170">
        <v>20</v>
      </c>
      <c r="I60" s="1169">
        <v>22</v>
      </c>
      <c r="J60" s="1171">
        <v>25</v>
      </c>
      <c r="K60" s="1171">
        <v>25</v>
      </c>
      <c r="L60" s="1171">
        <v>25</v>
      </c>
      <c r="M60" s="1170">
        <v>25</v>
      </c>
      <c r="N60" s="1139"/>
      <c r="O60" s="1139"/>
      <c r="P60" s="1139"/>
      <c r="Q60" s="1139"/>
      <c r="R60" s="1139"/>
      <c r="S60" s="1139"/>
      <c r="T60" s="1139"/>
    </row>
    <row r="61" spans="1:20" ht="15.75" customHeight="1">
      <c r="A61" s="254"/>
      <c r="B61" s="1412" t="s">
        <v>850</v>
      </c>
      <c r="C61" s="553" t="s">
        <v>521</v>
      </c>
      <c r="D61" s="1168" t="s">
        <v>482</v>
      </c>
      <c r="E61" s="1169">
        <v>4</v>
      </c>
      <c r="F61" s="1169">
        <v>6</v>
      </c>
      <c r="G61" s="1169">
        <v>4</v>
      </c>
      <c r="H61" s="1170">
        <v>4</v>
      </c>
      <c r="I61" s="1169">
        <v>6</v>
      </c>
      <c r="J61" s="1171">
        <v>8</v>
      </c>
      <c r="K61" s="1171">
        <v>8</v>
      </c>
      <c r="L61" s="1171">
        <v>8</v>
      </c>
      <c r="M61" s="1170">
        <v>8</v>
      </c>
      <c r="N61" s="1139"/>
      <c r="O61" s="1139"/>
      <c r="P61" s="1139"/>
      <c r="Q61" s="1139"/>
      <c r="R61" s="1139"/>
      <c r="S61" s="1139"/>
      <c r="T61" s="1139"/>
    </row>
    <row r="62" spans="1:20" ht="15.75" customHeight="1">
      <c r="A62" s="254"/>
      <c r="B62" s="1396" t="s">
        <v>849</v>
      </c>
      <c r="C62" s="553"/>
      <c r="D62" s="1186"/>
      <c r="E62" s="1187"/>
      <c r="F62" s="1187"/>
      <c r="G62" s="1187"/>
      <c r="H62" s="1188"/>
      <c r="I62" s="1176"/>
      <c r="J62" s="1176"/>
      <c r="K62" s="1176"/>
      <c r="L62" s="1176"/>
      <c r="M62" s="1177"/>
      <c r="N62" s="1185"/>
      <c r="O62" s="1139"/>
      <c r="P62" s="1139"/>
      <c r="Q62" s="1139"/>
      <c r="R62" s="1139"/>
      <c r="S62" s="1139"/>
      <c r="T62" s="1139"/>
    </row>
    <row r="63" spans="1:20" ht="15.75" customHeight="1">
      <c r="A63" s="254"/>
      <c r="B63" s="1412" t="s">
        <v>520</v>
      </c>
      <c r="C63" s="553" t="s">
        <v>521</v>
      </c>
      <c r="D63" s="1168">
        <v>0</v>
      </c>
      <c r="E63" s="1169">
        <v>0</v>
      </c>
      <c r="F63" s="1169">
        <v>0</v>
      </c>
      <c r="G63" s="1169">
        <v>0</v>
      </c>
      <c r="H63" s="1170">
        <v>0</v>
      </c>
      <c r="I63" s="1169">
        <v>0</v>
      </c>
      <c r="J63" s="1171">
        <v>0</v>
      </c>
      <c r="K63" s="1171">
        <v>0</v>
      </c>
      <c r="L63" s="1171">
        <v>0</v>
      </c>
      <c r="M63" s="1170">
        <v>0</v>
      </c>
      <c r="N63" s="1139"/>
      <c r="O63" s="1139"/>
      <c r="P63" s="1139"/>
      <c r="Q63" s="1139"/>
      <c r="R63" s="1139"/>
      <c r="S63" s="1139"/>
      <c r="T63" s="1139"/>
    </row>
    <row r="64" spans="1:20" ht="15.75" customHeight="1">
      <c r="A64" s="254"/>
      <c r="B64" s="1412" t="s">
        <v>522</v>
      </c>
      <c r="C64" s="553" t="s">
        <v>521</v>
      </c>
      <c r="D64" s="1168">
        <v>0</v>
      </c>
      <c r="E64" s="1169">
        <v>0</v>
      </c>
      <c r="F64" s="1169">
        <v>0</v>
      </c>
      <c r="G64" s="1169">
        <v>0</v>
      </c>
      <c r="H64" s="1170">
        <v>0</v>
      </c>
      <c r="I64" s="1169">
        <v>0</v>
      </c>
      <c r="J64" s="1171">
        <v>0</v>
      </c>
      <c r="K64" s="1171">
        <v>0</v>
      </c>
      <c r="L64" s="1171">
        <v>0</v>
      </c>
      <c r="M64" s="1170">
        <v>0</v>
      </c>
      <c r="N64" s="1139"/>
      <c r="O64" s="1139"/>
      <c r="P64" s="1139"/>
      <c r="Q64" s="1139"/>
      <c r="R64" s="1139"/>
      <c r="S64" s="1139"/>
      <c r="T64" s="1139"/>
    </row>
    <row r="65" spans="1:20" ht="15.75" customHeight="1">
      <c r="A65" s="254"/>
      <c r="B65" s="1412" t="s">
        <v>850</v>
      </c>
      <c r="C65" s="553" t="s">
        <v>521</v>
      </c>
      <c r="D65" s="1168" t="s">
        <v>482</v>
      </c>
      <c r="E65" s="1169">
        <v>0</v>
      </c>
      <c r="F65" s="1169">
        <v>0</v>
      </c>
      <c r="G65" s="1169">
        <v>0</v>
      </c>
      <c r="H65" s="1170">
        <v>0</v>
      </c>
      <c r="I65" s="1169">
        <v>0</v>
      </c>
      <c r="J65" s="1171">
        <v>0</v>
      </c>
      <c r="K65" s="1171">
        <v>0</v>
      </c>
      <c r="L65" s="1171">
        <v>0</v>
      </c>
      <c r="M65" s="1170">
        <v>0</v>
      </c>
      <c r="N65" s="1139"/>
      <c r="O65" s="1139"/>
      <c r="P65" s="1139"/>
      <c r="Q65" s="1139"/>
      <c r="R65" s="1139"/>
      <c r="S65" s="1139"/>
      <c r="T65" s="1139"/>
    </row>
    <row r="66" spans="1:20" ht="15.75" customHeight="1">
      <c r="A66" s="254"/>
      <c r="B66" s="1396" t="s">
        <v>852</v>
      </c>
      <c r="C66" s="553"/>
      <c r="D66" s="1186"/>
      <c r="E66" s="1187"/>
      <c r="F66" s="1187"/>
      <c r="G66" s="1187"/>
      <c r="H66" s="1188"/>
      <c r="I66" s="1176"/>
      <c r="J66" s="1176"/>
      <c r="K66" s="1176"/>
      <c r="L66" s="1176"/>
      <c r="M66" s="1177"/>
      <c r="N66" s="1185"/>
      <c r="O66" s="1139"/>
      <c r="P66" s="1139"/>
      <c r="Q66" s="1139"/>
      <c r="R66" s="1139"/>
      <c r="S66" s="1139"/>
      <c r="T66" s="1139"/>
    </row>
    <row r="67" spans="1:20" ht="15.75" customHeight="1">
      <c r="A67" s="254"/>
      <c r="B67" s="1412" t="s">
        <v>520</v>
      </c>
      <c r="C67" s="553" t="s">
        <v>521</v>
      </c>
      <c r="D67" s="1189">
        <v>0</v>
      </c>
      <c r="E67" s="1190">
        <v>0</v>
      </c>
      <c r="F67" s="1190">
        <v>0</v>
      </c>
      <c r="G67" s="1190">
        <v>0</v>
      </c>
      <c r="H67" s="1191">
        <v>0</v>
      </c>
      <c r="I67" s="1190">
        <v>0</v>
      </c>
      <c r="J67" s="1192">
        <v>0</v>
      </c>
      <c r="K67" s="1192">
        <v>0</v>
      </c>
      <c r="L67" s="1192">
        <v>0</v>
      </c>
      <c r="M67" s="1191">
        <v>0</v>
      </c>
      <c r="N67" s="1139"/>
      <c r="O67" s="1139"/>
      <c r="P67" s="1139"/>
      <c r="Q67" s="1139"/>
      <c r="R67" s="1139"/>
      <c r="S67" s="1139"/>
      <c r="T67" s="1139"/>
    </row>
    <row r="68" spans="1:20" ht="15.75" customHeight="1">
      <c r="A68" s="254"/>
      <c r="B68" s="1412" t="s">
        <v>522</v>
      </c>
      <c r="C68" s="553" t="s">
        <v>521</v>
      </c>
      <c r="D68" s="1189">
        <v>0</v>
      </c>
      <c r="E68" s="1190">
        <v>0</v>
      </c>
      <c r="F68" s="1190">
        <v>0</v>
      </c>
      <c r="G68" s="1190">
        <v>0</v>
      </c>
      <c r="H68" s="1191">
        <v>0</v>
      </c>
      <c r="I68" s="1190">
        <v>0</v>
      </c>
      <c r="J68" s="1192">
        <v>0</v>
      </c>
      <c r="K68" s="1192">
        <v>0</v>
      </c>
      <c r="L68" s="1192">
        <v>0</v>
      </c>
      <c r="M68" s="1191">
        <v>0</v>
      </c>
      <c r="N68" s="1139"/>
      <c r="O68" s="1139"/>
      <c r="P68" s="1139"/>
      <c r="Q68" s="1139"/>
      <c r="R68" s="1139"/>
      <c r="S68" s="1139"/>
      <c r="T68" s="1139"/>
    </row>
    <row r="69" spans="1:20" ht="15.75" customHeight="1">
      <c r="A69" s="254"/>
      <c r="B69" s="1412" t="s">
        <v>850</v>
      </c>
      <c r="C69" s="553" t="s">
        <v>521</v>
      </c>
      <c r="D69" s="1168" t="s">
        <v>482</v>
      </c>
      <c r="E69" s="1169">
        <v>0</v>
      </c>
      <c r="F69" s="1169">
        <v>0</v>
      </c>
      <c r="G69" s="1169">
        <v>0</v>
      </c>
      <c r="H69" s="1170">
        <v>0</v>
      </c>
      <c r="I69" s="1169">
        <v>0</v>
      </c>
      <c r="J69" s="1171">
        <v>0</v>
      </c>
      <c r="K69" s="1171">
        <v>0</v>
      </c>
      <c r="L69" s="1171">
        <v>0</v>
      </c>
      <c r="M69" s="1170">
        <v>0</v>
      </c>
      <c r="N69" s="1139"/>
      <c r="O69" s="1139"/>
      <c r="P69" s="1139"/>
      <c r="Q69" s="1139"/>
      <c r="R69" s="1139"/>
      <c r="S69" s="1139"/>
      <c r="T69" s="1139"/>
    </row>
    <row r="70" spans="1:20" ht="15.75" customHeight="1">
      <c r="A70" s="254"/>
      <c r="B70" s="1393" t="s">
        <v>853</v>
      </c>
      <c r="C70" s="553" t="s">
        <v>521</v>
      </c>
      <c r="D70" s="1144">
        <v>17175</v>
      </c>
      <c r="E70" s="1145">
        <v>17610</v>
      </c>
      <c r="F70" s="1145">
        <v>19663</v>
      </c>
      <c r="G70" s="1145">
        <v>15876</v>
      </c>
      <c r="H70" s="1146">
        <v>15078</v>
      </c>
      <c r="I70" s="1147">
        <v>14637</v>
      </c>
      <c r="J70" s="1145">
        <v>14845</v>
      </c>
      <c r="K70" s="1145">
        <v>14347</v>
      </c>
      <c r="L70" s="1145">
        <v>14347</v>
      </c>
      <c r="M70" s="1146">
        <v>14347</v>
      </c>
      <c r="N70" s="1193"/>
      <c r="O70" s="1139"/>
      <c r="P70" s="1139"/>
      <c r="Q70" s="1139"/>
      <c r="R70" s="1139"/>
      <c r="S70" s="1139"/>
      <c r="T70" s="1139"/>
    </row>
    <row r="71" spans="1:20" ht="15.75" customHeight="1" thickBot="1">
      <c r="A71" s="254"/>
      <c r="B71" s="1400" t="s">
        <v>856</v>
      </c>
      <c r="C71" s="554" t="s">
        <v>521</v>
      </c>
      <c r="D71" s="1148">
        <v>0</v>
      </c>
      <c r="E71" s="1149">
        <v>560</v>
      </c>
      <c r="F71" s="1149">
        <v>610</v>
      </c>
      <c r="G71" s="1149">
        <v>554</v>
      </c>
      <c r="H71" s="1150">
        <v>504</v>
      </c>
      <c r="I71" s="1151">
        <v>556</v>
      </c>
      <c r="J71" s="1149">
        <v>588</v>
      </c>
      <c r="K71" s="1149">
        <v>588</v>
      </c>
      <c r="L71" s="1149">
        <v>588</v>
      </c>
      <c r="M71" s="1150">
        <v>588</v>
      </c>
      <c r="N71" s="1193"/>
      <c r="O71" s="1139"/>
      <c r="P71" s="1139"/>
      <c r="Q71" s="1139"/>
      <c r="R71" s="1139"/>
      <c r="S71" s="1139"/>
      <c r="T71" s="1139"/>
    </row>
    <row r="72" spans="1:20">
      <c r="A72" s="254"/>
      <c r="B72" s="555"/>
      <c r="C72" s="327"/>
      <c r="D72" s="1139"/>
      <c r="E72" s="1139"/>
      <c r="F72" s="1139"/>
      <c r="G72" s="1139"/>
      <c r="H72" s="1139"/>
      <c r="I72" s="1139"/>
      <c r="J72" s="1139"/>
      <c r="K72" s="1139"/>
      <c r="L72" s="1139"/>
      <c r="M72" s="1139"/>
      <c r="N72" s="1139"/>
      <c r="O72" s="1139"/>
      <c r="P72" s="1139"/>
      <c r="Q72" s="1139"/>
      <c r="R72" s="1139"/>
      <c r="S72" s="1139"/>
      <c r="T72" s="1139"/>
    </row>
    <row r="73" spans="1:20">
      <c r="A73" s="254"/>
      <c r="B73" s="556"/>
      <c r="C73" s="557"/>
      <c r="D73" s="1194"/>
      <c r="E73" s="1194"/>
      <c r="F73" s="1194"/>
      <c r="G73" s="1194"/>
      <c r="H73" s="1194"/>
      <c r="I73" s="1194"/>
      <c r="J73" s="1194"/>
      <c r="K73" s="1194"/>
      <c r="L73" s="1194"/>
      <c r="M73" s="1194"/>
      <c r="N73" s="1139"/>
      <c r="O73" s="1194"/>
      <c r="P73" s="1194"/>
      <c r="Q73" s="1194"/>
      <c r="R73" s="1139"/>
      <c r="S73" s="1194"/>
      <c r="T73" s="1194"/>
    </row>
    <row r="74" spans="1:20" s="1255" customFormat="1" ht="15.75" customHeight="1">
      <c r="A74" s="1392"/>
      <c r="B74" s="1420" t="s">
        <v>857</v>
      </c>
      <c r="C74" s="320"/>
      <c r="D74" s="1155"/>
      <c r="E74" s="1155"/>
      <c r="F74" s="1155"/>
      <c r="G74" s="1155"/>
      <c r="H74" s="1155"/>
      <c r="I74" s="1155"/>
      <c r="J74" s="1155"/>
      <c r="K74" s="1155"/>
      <c r="L74" s="1155"/>
      <c r="M74" s="1155"/>
      <c r="N74" s="1155"/>
      <c r="O74" s="1407"/>
      <c r="P74" s="1407"/>
      <c r="Q74" s="1407"/>
      <c r="R74" s="1395"/>
      <c r="S74" s="1155"/>
      <c r="T74" s="1155"/>
    </row>
    <row r="75" spans="1:20" ht="13.5" thickBot="1">
      <c r="A75" s="254"/>
      <c r="B75" s="532"/>
      <c r="C75" s="557"/>
      <c r="D75" s="1194"/>
      <c r="E75" s="1194"/>
      <c r="F75" s="1194"/>
      <c r="G75" s="1194"/>
      <c r="H75" s="1194"/>
      <c r="I75" s="1194"/>
      <c r="J75" s="1194"/>
      <c r="K75" s="1194"/>
      <c r="L75" s="1194"/>
      <c r="M75" s="1194"/>
      <c r="N75" s="1139"/>
      <c r="O75" s="1194"/>
      <c r="P75" s="1194"/>
      <c r="Q75" s="1194"/>
      <c r="R75" s="1139"/>
      <c r="S75" s="1194"/>
      <c r="T75" s="1194"/>
    </row>
    <row r="76" spans="1:20" ht="15.75" customHeight="1">
      <c r="A76" s="254"/>
      <c r="B76" s="1898" t="s">
        <v>857</v>
      </c>
      <c r="C76" s="1902" t="s">
        <v>31</v>
      </c>
      <c r="D76" s="1156" t="s">
        <v>116</v>
      </c>
      <c r="E76" s="1157"/>
      <c r="F76" s="1157"/>
      <c r="G76" s="1157"/>
      <c r="H76" s="1158"/>
      <c r="I76" s="1157" t="s">
        <v>117</v>
      </c>
      <c r="J76" s="1159"/>
      <c r="K76" s="1159"/>
      <c r="L76" s="1159"/>
      <c r="M76" s="1158"/>
      <c r="N76" s="1139"/>
      <c r="O76" s="1195" t="s">
        <v>116</v>
      </c>
      <c r="P76" s="1196"/>
      <c r="Q76" s="1197"/>
      <c r="R76" s="1139"/>
      <c r="S76" s="1195" t="s">
        <v>117</v>
      </c>
      <c r="T76" s="1197"/>
    </row>
    <row r="77" spans="1:20" ht="25.5">
      <c r="A77" s="254"/>
      <c r="B77" s="1899"/>
      <c r="C77" s="1903"/>
      <c r="D77" s="1160" t="s">
        <v>32</v>
      </c>
      <c r="E77" s="1161" t="s">
        <v>33</v>
      </c>
      <c r="F77" s="1161" t="s">
        <v>29</v>
      </c>
      <c r="G77" s="1161" t="s">
        <v>34</v>
      </c>
      <c r="H77" s="1162" t="s">
        <v>35</v>
      </c>
      <c r="I77" s="1163" t="s">
        <v>118</v>
      </c>
      <c r="J77" s="1161" t="s">
        <v>136</v>
      </c>
      <c r="K77" s="1161" t="s">
        <v>137</v>
      </c>
      <c r="L77" s="1161" t="s">
        <v>138</v>
      </c>
      <c r="M77" s="1162" t="s">
        <v>139</v>
      </c>
      <c r="N77" s="1139"/>
      <c r="O77" s="1198" t="s">
        <v>126</v>
      </c>
      <c r="P77" s="1199" t="s">
        <v>127</v>
      </c>
      <c r="Q77" s="1200" t="s">
        <v>246</v>
      </c>
      <c r="R77" s="1139"/>
      <c r="S77" s="1198" t="s">
        <v>127</v>
      </c>
      <c r="T77" s="1200" t="s">
        <v>128</v>
      </c>
    </row>
    <row r="78" spans="1:20" ht="15.75" customHeight="1">
      <c r="A78" s="254"/>
      <c r="B78" s="1413" t="s">
        <v>862</v>
      </c>
      <c r="C78" s="558"/>
      <c r="D78" s="1182"/>
      <c r="E78" s="1183"/>
      <c r="F78" s="1183"/>
      <c r="G78" s="1183"/>
      <c r="H78" s="1184"/>
      <c r="I78" s="1173"/>
      <c r="J78" s="1173"/>
      <c r="K78" s="1173"/>
      <c r="L78" s="1173"/>
      <c r="M78" s="1174"/>
      <c r="N78" s="1139"/>
      <c r="O78" s="1172"/>
      <c r="P78" s="1173"/>
      <c r="Q78" s="1174"/>
      <c r="R78" s="1139"/>
      <c r="S78" s="1172"/>
      <c r="T78" s="1174"/>
    </row>
    <row r="79" spans="1:20" ht="15.75" customHeight="1">
      <c r="A79" s="254"/>
      <c r="B79" s="1414" t="s">
        <v>671</v>
      </c>
      <c r="C79" s="329"/>
      <c r="D79" s="1164"/>
      <c r="E79" s="1165"/>
      <c r="F79" s="1165"/>
      <c r="G79" s="1165"/>
      <c r="H79" s="1166"/>
      <c r="I79" s="1165"/>
      <c r="J79" s="1165"/>
      <c r="K79" s="1165"/>
      <c r="L79" s="1165"/>
      <c r="M79" s="1166"/>
      <c r="N79" s="1139"/>
      <c r="O79" s="1201"/>
      <c r="P79" s="1202"/>
      <c r="Q79" s="1203"/>
      <c r="R79" s="1139"/>
      <c r="S79" s="1164"/>
      <c r="T79" s="1166"/>
    </row>
    <row r="80" spans="1:20" ht="15.75" customHeight="1">
      <c r="A80" s="254"/>
      <c r="B80" s="1415" t="s">
        <v>863</v>
      </c>
      <c r="C80" s="553" t="s">
        <v>14</v>
      </c>
      <c r="D80" s="1168">
        <v>20.7</v>
      </c>
      <c r="E80" s="1169">
        <v>18.8</v>
      </c>
      <c r="F80" s="1169">
        <v>19.100000000000001</v>
      </c>
      <c r="G80" s="1169">
        <v>17</v>
      </c>
      <c r="H80" s="1170">
        <v>16.2</v>
      </c>
      <c r="I80" s="1169">
        <v>12.3</v>
      </c>
      <c r="J80" s="1171">
        <v>12.5</v>
      </c>
      <c r="K80" s="1171">
        <v>12</v>
      </c>
      <c r="L80" s="1171">
        <v>12</v>
      </c>
      <c r="M80" s="1170">
        <v>12</v>
      </c>
      <c r="N80" s="1139"/>
      <c r="O80" s="1136">
        <v>58.6</v>
      </c>
      <c r="P80" s="1137">
        <v>33.200000000000003</v>
      </c>
      <c r="Q80" s="1138">
        <v>91.8</v>
      </c>
      <c r="R80" s="1139"/>
      <c r="S80" s="1136">
        <v>77.8</v>
      </c>
      <c r="T80" s="1138">
        <v>-0.15250544662309368</v>
      </c>
    </row>
    <row r="81" spans="1:20" ht="15.75" customHeight="1">
      <c r="A81" s="254"/>
      <c r="B81" s="1415" t="s">
        <v>864</v>
      </c>
      <c r="C81" s="553" t="s">
        <v>14</v>
      </c>
      <c r="D81" s="1168">
        <v>1.2</v>
      </c>
      <c r="E81" s="1169">
        <v>1.4</v>
      </c>
      <c r="F81" s="1169">
        <v>0.8</v>
      </c>
      <c r="G81" s="1169">
        <v>1.6</v>
      </c>
      <c r="H81" s="1170">
        <v>1.5</v>
      </c>
      <c r="I81" s="1169">
        <v>0.8</v>
      </c>
      <c r="J81" s="1171">
        <v>0.8</v>
      </c>
      <c r="K81" s="1171">
        <v>0.8</v>
      </c>
      <c r="L81" s="1171">
        <v>0.8</v>
      </c>
      <c r="M81" s="1170">
        <v>0.8</v>
      </c>
      <c r="N81" s="1139"/>
      <c r="O81" s="1136">
        <v>3.3999999999999995</v>
      </c>
      <c r="P81" s="1137">
        <v>3.1</v>
      </c>
      <c r="Q81" s="1138">
        <v>6.5</v>
      </c>
      <c r="R81" s="1139"/>
      <c r="S81" s="1136">
        <v>7.2000000000000011</v>
      </c>
      <c r="T81" s="1138">
        <v>0.10769230769230785</v>
      </c>
    </row>
    <row r="82" spans="1:20" ht="15.75" customHeight="1">
      <c r="A82" s="254"/>
      <c r="B82" s="1405" t="s">
        <v>865</v>
      </c>
      <c r="C82" s="553" t="s">
        <v>14</v>
      </c>
      <c r="D82" s="1136">
        <v>21.9</v>
      </c>
      <c r="E82" s="1204">
        <v>20.2</v>
      </c>
      <c r="F82" s="1204">
        <v>19.900000000000002</v>
      </c>
      <c r="G82" s="1204">
        <v>18.600000000000001</v>
      </c>
      <c r="H82" s="1138">
        <v>17.7</v>
      </c>
      <c r="I82" s="1204">
        <v>13.100000000000001</v>
      </c>
      <c r="J82" s="1137">
        <v>13.3</v>
      </c>
      <c r="K82" s="1137">
        <v>12.8</v>
      </c>
      <c r="L82" s="1137">
        <v>12.8</v>
      </c>
      <c r="M82" s="1138">
        <v>12.8</v>
      </c>
      <c r="N82" s="1139"/>
      <c r="O82" s="1136">
        <v>62</v>
      </c>
      <c r="P82" s="1137">
        <v>36.299999999999997</v>
      </c>
      <c r="Q82" s="1138">
        <v>98.3</v>
      </c>
      <c r="R82" s="1139"/>
      <c r="S82" s="1136">
        <v>84.999999999999986</v>
      </c>
      <c r="T82" s="1138">
        <v>-0.13530010172939991</v>
      </c>
    </row>
    <row r="83" spans="1:20" ht="15.75" customHeight="1">
      <c r="A83" s="254"/>
      <c r="B83" s="1414" t="s">
        <v>672</v>
      </c>
      <c r="C83" s="330"/>
      <c r="D83" s="1205"/>
      <c r="E83" s="1206"/>
      <c r="F83" s="1206"/>
      <c r="G83" s="1206"/>
      <c r="H83" s="1207"/>
      <c r="I83" s="1206"/>
      <c r="J83" s="1206"/>
      <c r="K83" s="1206"/>
      <c r="L83" s="1206"/>
      <c r="M83" s="1207"/>
      <c r="N83" s="1139"/>
      <c r="O83" s="1208"/>
      <c r="P83" s="1206"/>
      <c r="Q83" s="1207"/>
      <c r="R83" s="1139"/>
      <c r="S83" s="1205"/>
      <c r="T83" s="1207"/>
    </row>
    <row r="84" spans="1:20" ht="15.75" customHeight="1">
      <c r="A84" s="254"/>
      <c r="B84" s="1415" t="s">
        <v>863</v>
      </c>
      <c r="C84" s="553" t="s">
        <v>14</v>
      </c>
      <c r="D84" s="1168">
        <v>0.9</v>
      </c>
      <c r="E84" s="1169">
        <v>1.6</v>
      </c>
      <c r="F84" s="1169">
        <v>1.1000000000000001</v>
      </c>
      <c r="G84" s="1169">
        <v>3.2</v>
      </c>
      <c r="H84" s="1170">
        <v>2.2000000000000002</v>
      </c>
      <c r="I84" s="1169">
        <v>4.0999999999999996</v>
      </c>
      <c r="J84" s="1171">
        <v>4.0999999999999996</v>
      </c>
      <c r="K84" s="1171">
        <v>4.0999999999999996</v>
      </c>
      <c r="L84" s="1171">
        <v>4.0999999999999996</v>
      </c>
      <c r="M84" s="1170">
        <v>4.0999999999999996</v>
      </c>
      <c r="N84" s="1139"/>
      <c r="O84" s="1136">
        <v>3.6</v>
      </c>
      <c r="P84" s="1137">
        <v>5.4</v>
      </c>
      <c r="Q84" s="1138">
        <v>9</v>
      </c>
      <c r="R84" s="1139"/>
      <c r="S84" s="1136">
        <v>7.3</v>
      </c>
      <c r="T84" s="1138">
        <v>-0.18888888888888891</v>
      </c>
    </row>
    <row r="85" spans="1:20" ht="15.75" customHeight="1">
      <c r="A85" s="254"/>
      <c r="B85" s="1415" t="s">
        <v>864</v>
      </c>
      <c r="C85" s="553" t="s">
        <v>14</v>
      </c>
      <c r="D85" s="1168">
        <v>0</v>
      </c>
      <c r="E85" s="1169">
        <v>0</v>
      </c>
      <c r="F85" s="1169">
        <v>2.5</v>
      </c>
      <c r="G85" s="1169">
        <v>2.6</v>
      </c>
      <c r="H85" s="1170">
        <v>4.4000000000000004</v>
      </c>
      <c r="I85" s="1169">
        <v>2.2999999999999998</v>
      </c>
      <c r="J85" s="1171">
        <v>1.1000000000000001</v>
      </c>
      <c r="K85" s="1171">
        <v>1.1000000000000001</v>
      </c>
      <c r="L85" s="1171">
        <v>1.1000000000000001</v>
      </c>
      <c r="M85" s="1170">
        <v>1.1000000000000001</v>
      </c>
      <c r="N85" s="1139"/>
      <c r="O85" s="1136">
        <v>2.5</v>
      </c>
      <c r="P85" s="1137">
        <v>7</v>
      </c>
      <c r="Q85" s="1138">
        <v>9.5</v>
      </c>
      <c r="R85" s="1139"/>
      <c r="S85" s="1136">
        <v>3.8999999999999995</v>
      </c>
      <c r="T85" s="1138">
        <v>-0.58947368421052637</v>
      </c>
    </row>
    <row r="86" spans="1:20" ht="15.75" customHeight="1">
      <c r="A86" s="254"/>
      <c r="B86" s="1405" t="s">
        <v>866</v>
      </c>
      <c r="C86" s="553" t="s">
        <v>14</v>
      </c>
      <c r="D86" s="1136">
        <v>0.9</v>
      </c>
      <c r="E86" s="1204">
        <v>1.6</v>
      </c>
      <c r="F86" s="1204">
        <v>3.6</v>
      </c>
      <c r="G86" s="1204">
        <v>5.8000000000000007</v>
      </c>
      <c r="H86" s="1138">
        <v>6.6000000000000005</v>
      </c>
      <c r="I86" s="1204">
        <v>6.3999999999999995</v>
      </c>
      <c r="J86" s="1137">
        <v>5.1999999999999993</v>
      </c>
      <c r="K86" s="1137">
        <v>5.1999999999999993</v>
      </c>
      <c r="L86" s="1137">
        <v>5.1999999999999993</v>
      </c>
      <c r="M86" s="1138">
        <v>5.1999999999999993</v>
      </c>
      <c r="N86" s="1139"/>
      <c r="O86" s="1136">
        <v>6.1</v>
      </c>
      <c r="P86" s="1137">
        <v>12.400000000000002</v>
      </c>
      <c r="Q86" s="1138">
        <v>18.5</v>
      </c>
      <c r="R86" s="1139"/>
      <c r="S86" s="1136">
        <v>11.2</v>
      </c>
      <c r="T86" s="1138">
        <v>-0.39459459459459462</v>
      </c>
    </row>
    <row r="87" spans="1:20" ht="15.75" customHeight="1">
      <c r="A87" s="254"/>
      <c r="B87" s="1414" t="s">
        <v>845</v>
      </c>
      <c r="C87" s="330"/>
      <c r="D87" s="1205"/>
      <c r="E87" s="1206"/>
      <c r="F87" s="1206"/>
      <c r="G87" s="1206"/>
      <c r="H87" s="1207"/>
      <c r="I87" s="1206"/>
      <c r="J87" s="1206"/>
      <c r="K87" s="1206"/>
      <c r="L87" s="1206"/>
      <c r="M87" s="1207"/>
      <c r="N87" s="1139"/>
      <c r="O87" s="1205"/>
      <c r="P87" s="1206"/>
      <c r="Q87" s="1207"/>
      <c r="R87" s="1139"/>
      <c r="S87" s="1205"/>
      <c r="T87" s="1207"/>
    </row>
    <row r="88" spans="1:20" ht="15.75" customHeight="1">
      <c r="A88" s="254"/>
      <c r="B88" s="1415" t="s">
        <v>863</v>
      </c>
      <c r="C88" s="553" t="s">
        <v>14</v>
      </c>
      <c r="D88" s="1168">
        <v>0</v>
      </c>
      <c r="E88" s="1169">
        <v>0</v>
      </c>
      <c r="F88" s="1169">
        <v>0</v>
      </c>
      <c r="G88" s="1169">
        <v>0</v>
      </c>
      <c r="H88" s="1170">
        <v>0</v>
      </c>
      <c r="I88" s="1169">
        <v>0</v>
      </c>
      <c r="J88" s="1171">
        <v>0</v>
      </c>
      <c r="K88" s="1171">
        <v>0</v>
      </c>
      <c r="L88" s="1171">
        <v>0</v>
      </c>
      <c r="M88" s="1170">
        <v>0</v>
      </c>
      <c r="N88" s="1139"/>
      <c r="O88" s="1136">
        <v>0</v>
      </c>
      <c r="P88" s="1137">
        <v>0</v>
      </c>
      <c r="Q88" s="1138">
        <v>0</v>
      </c>
      <c r="R88" s="1139"/>
      <c r="S88" s="1136">
        <v>0</v>
      </c>
      <c r="T88" s="1138" t="s">
        <v>1020</v>
      </c>
    </row>
    <row r="89" spans="1:20" ht="15.75" customHeight="1">
      <c r="A89" s="254"/>
      <c r="B89" s="1415" t="s">
        <v>864</v>
      </c>
      <c r="C89" s="553" t="s">
        <v>14</v>
      </c>
      <c r="D89" s="1168">
        <v>0</v>
      </c>
      <c r="E89" s="1169">
        <v>0</v>
      </c>
      <c r="F89" s="1169">
        <v>0</v>
      </c>
      <c r="G89" s="1169">
        <v>0</v>
      </c>
      <c r="H89" s="1170">
        <v>0</v>
      </c>
      <c r="I89" s="1169">
        <v>0</v>
      </c>
      <c r="J89" s="1171">
        <v>0</v>
      </c>
      <c r="K89" s="1171">
        <v>0</v>
      </c>
      <c r="L89" s="1171">
        <v>0</v>
      </c>
      <c r="M89" s="1170">
        <v>0</v>
      </c>
      <c r="N89" s="1139"/>
      <c r="O89" s="1136">
        <v>0</v>
      </c>
      <c r="P89" s="1137">
        <v>0</v>
      </c>
      <c r="Q89" s="1138">
        <v>0</v>
      </c>
      <c r="R89" s="1139"/>
      <c r="S89" s="1136">
        <v>0</v>
      </c>
      <c r="T89" s="1138" t="s">
        <v>1020</v>
      </c>
    </row>
    <row r="90" spans="1:20" ht="15.75" customHeight="1">
      <c r="A90" s="254"/>
      <c r="B90" s="1405" t="s">
        <v>867</v>
      </c>
      <c r="C90" s="553" t="s">
        <v>14</v>
      </c>
      <c r="D90" s="1136">
        <v>0</v>
      </c>
      <c r="E90" s="1204">
        <v>0</v>
      </c>
      <c r="F90" s="1204">
        <v>0</v>
      </c>
      <c r="G90" s="1204">
        <v>0</v>
      </c>
      <c r="H90" s="1138">
        <v>0</v>
      </c>
      <c r="I90" s="1204">
        <v>0</v>
      </c>
      <c r="J90" s="1137">
        <v>0</v>
      </c>
      <c r="K90" s="1137">
        <v>0</v>
      </c>
      <c r="L90" s="1137">
        <v>0</v>
      </c>
      <c r="M90" s="1138">
        <v>0</v>
      </c>
      <c r="N90" s="1139"/>
      <c r="O90" s="1136">
        <v>0</v>
      </c>
      <c r="P90" s="1137">
        <v>0</v>
      </c>
      <c r="Q90" s="1138">
        <v>0</v>
      </c>
      <c r="R90" s="1139"/>
      <c r="S90" s="1136">
        <v>0</v>
      </c>
      <c r="T90" s="1138" t="s">
        <v>1020</v>
      </c>
    </row>
    <row r="91" spans="1:20" ht="15.75" customHeight="1">
      <c r="A91" s="254"/>
      <c r="B91" s="1414" t="s">
        <v>846</v>
      </c>
      <c r="C91" s="330"/>
      <c r="D91" s="1205"/>
      <c r="E91" s="1206"/>
      <c r="F91" s="1206"/>
      <c r="G91" s="1206"/>
      <c r="H91" s="1207"/>
      <c r="I91" s="1206"/>
      <c r="J91" s="1206"/>
      <c r="K91" s="1206"/>
      <c r="L91" s="1206"/>
      <c r="M91" s="1207"/>
      <c r="N91" s="1139"/>
      <c r="O91" s="1205"/>
      <c r="P91" s="1206"/>
      <c r="Q91" s="1207"/>
      <c r="R91" s="1139"/>
      <c r="S91" s="1205"/>
      <c r="T91" s="1207"/>
    </row>
    <row r="92" spans="1:20" ht="15.75" customHeight="1">
      <c r="A92" s="254"/>
      <c r="B92" s="1415" t="s">
        <v>863</v>
      </c>
      <c r="C92" s="553" t="s">
        <v>14</v>
      </c>
      <c r="D92" s="1168">
        <v>0</v>
      </c>
      <c r="E92" s="1169">
        <v>0</v>
      </c>
      <c r="F92" s="1169">
        <v>0</v>
      </c>
      <c r="G92" s="1169">
        <v>0</v>
      </c>
      <c r="H92" s="1170">
        <v>0</v>
      </c>
      <c r="I92" s="1169">
        <v>0</v>
      </c>
      <c r="J92" s="1171">
        <v>0</v>
      </c>
      <c r="K92" s="1171">
        <v>0</v>
      </c>
      <c r="L92" s="1171">
        <v>0</v>
      </c>
      <c r="M92" s="1170">
        <v>0</v>
      </c>
      <c r="N92" s="1139"/>
      <c r="O92" s="1136">
        <v>0</v>
      </c>
      <c r="P92" s="1137">
        <v>0</v>
      </c>
      <c r="Q92" s="1138">
        <v>0</v>
      </c>
      <c r="R92" s="1139"/>
      <c r="S92" s="1136">
        <v>0</v>
      </c>
      <c r="T92" s="1138" t="s">
        <v>1020</v>
      </c>
    </row>
    <row r="93" spans="1:20" ht="15.75" customHeight="1">
      <c r="A93" s="254"/>
      <c r="B93" s="1415" t="s">
        <v>864</v>
      </c>
      <c r="C93" s="553" t="s">
        <v>14</v>
      </c>
      <c r="D93" s="1168">
        <v>0</v>
      </c>
      <c r="E93" s="1169">
        <v>0</v>
      </c>
      <c r="F93" s="1169">
        <v>0</v>
      </c>
      <c r="G93" s="1169">
        <v>0</v>
      </c>
      <c r="H93" s="1170">
        <v>0</v>
      </c>
      <c r="I93" s="1169">
        <v>0</v>
      </c>
      <c r="J93" s="1171">
        <v>0</v>
      </c>
      <c r="K93" s="1171">
        <v>0</v>
      </c>
      <c r="L93" s="1171">
        <v>0</v>
      </c>
      <c r="M93" s="1170">
        <v>0</v>
      </c>
      <c r="N93" s="1139"/>
      <c r="O93" s="1136">
        <v>0</v>
      </c>
      <c r="P93" s="1137">
        <v>0</v>
      </c>
      <c r="Q93" s="1138">
        <v>0</v>
      </c>
      <c r="R93" s="1139"/>
      <c r="S93" s="1136">
        <v>0</v>
      </c>
      <c r="T93" s="1138" t="s">
        <v>1020</v>
      </c>
    </row>
    <row r="94" spans="1:20" ht="15.75" customHeight="1">
      <c r="A94" s="254"/>
      <c r="B94" s="1405" t="s">
        <v>700</v>
      </c>
      <c r="C94" s="553" t="s">
        <v>14</v>
      </c>
      <c r="D94" s="1136">
        <v>0</v>
      </c>
      <c r="E94" s="1204">
        <v>0</v>
      </c>
      <c r="F94" s="1204">
        <v>0</v>
      </c>
      <c r="G94" s="1204">
        <v>0</v>
      </c>
      <c r="H94" s="1138">
        <v>0</v>
      </c>
      <c r="I94" s="1204">
        <v>0</v>
      </c>
      <c r="J94" s="1137">
        <v>0</v>
      </c>
      <c r="K94" s="1137">
        <v>0</v>
      </c>
      <c r="L94" s="1137">
        <v>0</v>
      </c>
      <c r="M94" s="1138">
        <v>0</v>
      </c>
      <c r="N94" s="1139"/>
      <c r="O94" s="1136">
        <v>0</v>
      </c>
      <c r="P94" s="1137">
        <v>0</v>
      </c>
      <c r="Q94" s="1138">
        <v>0</v>
      </c>
      <c r="R94" s="1139"/>
      <c r="S94" s="1136">
        <v>0</v>
      </c>
      <c r="T94" s="1138" t="s">
        <v>1020</v>
      </c>
    </row>
    <row r="95" spans="1:20" ht="15.75" customHeight="1">
      <c r="A95" s="254"/>
      <c r="B95" s="1397"/>
      <c r="C95" s="553"/>
      <c r="D95" s="1205"/>
      <c r="E95" s="1206"/>
      <c r="F95" s="1206"/>
      <c r="G95" s="1206"/>
      <c r="H95" s="1207"/>
      <c r="I95" s="1206"/>
      <c r="J95" s="1206"/>
      <c r="K95" s="1206"/>
      <c r="L95" s="1206"/>
      <c r="M95" s="1207"/>
      <c r="N95" s="1139"/>
      <c r="O95" s="1205"/>
      <c r="P95" s="1206"/>
      <c r="Q95" s="1207"/>
      <c r="R95" s="1139"/>
      <c r="S95" s="1205"/>
      <c r="T95" s="1207"/>
    </row>
    <row r="96" spans="1:20" ht="15.75" customHeight="1">
      <c r="A96" s="254"/>
      <c r="B96" s="1397" t="s">
        <v>701</v>
      </c>
      <c r="C96" s="553" t="s">
        <v>14</v>
      </c>
      <c r="D96" s="1209"/>
      <c r="E96" s="1210"/>
      <c r="F96" s="1210"/>
      <c r="G96" s="1169">
        <v>0</v>
      </c>
      <c r="H96" s="1170">
        <v>0</v>
      </c>
      <c r="I96" s="1169">
        <v>0</v>
      </c>
      <c r="J96" s="1171">
        <v>0</v>
      </c>
      <c r="K96" s="1171">
        <v>0</v>
      </c>
      <c r="L96" s="1171">
        <v>0</v>
      </c>
      <c r="M96" s="1170">
        <v>0</v>
      </c>
      <c r="N96" s="1139"/>
      <c r="O96" s="1136">
        <v>0</v>
      </c>
      <c r="P96" s="1137">
        <v>0</v>
      </c>
      <c r="Q96" s="1138">
        <v>0</v>
      </c>
      <c r="R96" s="1139"/>
      <c r="S96" s="1136">
        <v>0</v>
      </c>
      <c r="T96" s="1138" t="s">
        <v>1020</v>
      </c>
    </row>
    <row r="97" spans="1:20" ht="15.75" customHeight="1">
      <c r="A97" s="254"/>
      <c r="B97" s="1397" t="s">
        <v>702</v>
      </c>
      <c r="C97" s="553" t="s">
        <v>14</v>
      </c>
      <c r="D97" s="1144">
        <v>22.799999999999997</v>
      </c>
      <c r="E97" s="1147">
        <v>21.8</v>
      </c>
      <c r="F97" s="1147">
        <v>23.500000000000004</v>
      </c>
      <c r="G97" s="1147">
        <v>24.400000000000002</v>
      </c>
      <c r="H97" s="1146">
        <v>24.3</v>
      </c>
      <c r="I97" s="1147">
        <v>19.2</v>
      </c>
      <c r="J97" s="1145">
        <v>19.7</v>
      </c>
      <c r="K97" s="1145">
        <v>19.100000000000001</v>
      </c>
      <c r="L97" s="1145">
        <v>19.100000000000001</v>
      </c>
      <c r="M97" s="1146">
        <v>19.100000000000001</v>
      </c>
      <c r="N97" s="1181"/>
      <c r="O97" s="1144">
        <v>68.099999999999994</v>
      </c>
      <c r="P97" s="1145">
        <v>48.7</v>
      </c>
      <c r="Q97" s="1146">
        <v>116.8</v>
      </c>
      <c r="R97" s="1181"/>
      <c r="S97" s="1144">
        <v>96.199999999999989</v>
      </c>
      <c r="T97" s="1146">
        <v>-0.1763698630136987</v>
      </c>
    </row>
    <row r="98" spans="1:20" ht="15.75" customHeight="1">
      <c r="A98" s="254"/>
      <c r="B98" s="1397"/>
      <c r="C98" s="553"/>
      <c r="D98" s="1205"/>
      <c r="E98" s="1206"/>
      <c r="F98" s="1206"/>
      <c r="G98" s="1206"/>
      <c r="H98" s="1207"/>
      <c r="I98" s="1206"/>
      <c r="J98" s="1206"/>
      <c r="K98" s="1206"/>
      <c r="L98" s="1206"/>
      <c r="M98" s="1207"/>
      <c r="N98" s="1139"/>
      <c r="O98" s="1205"/>
      <c r="P98" s="1206"/>
      <c r="Q98" s="1207"/>
      <c r="R98" s="1139"/>
      <c r="S98" s="1205"/>
      <c r="T98" s="1207"/>
    </row>
    <row r="99" spans="1:20" ht="15.75" customHeight="1">
      <c r="A99" s="254"/>
      <c r="B99" s="1397" t="s">
        <v>751</v>
      </c>
      <c r="C99" s="545" t="s">
        <v>14</v>
      </c>
      <c r="D99" s="1209"/>
      <c r="E99" s="1210"/>
      <c r="F99" s="1210"/>
      <c r="G99" s="1169">
        <v>0</v>
      </c>
      <c r="H99" s="1170">
        <v>0</v>
      </c>
      <c r="I99" s="1169">
        <v>0</v>
      </c>
      <c r="J99" s="1171">
        <v>0</v>
      </c>
      <c r="K99" s="1171">
        <v>0</v>
      </c>
      <c r="L99" s="1171">
        <v>0</v>
      </c>
      <c r="M99" s="1170">
        <v>0</v>
      </c>
      <c r="N99" s="1139"/>
      <c r="O99" s="1136">
        <v>0</v>
      </c>
      <c r="P99" s="1137">
        <v>0</v>
      </c>
      <c r="Q99" s="1138">
        <v>0</v>
      </c>
      <c r="R99" s="1139"/>
      <c r="S99" s="1136">
        <v>0</v>
      </c>
      <c r="T99" s="1138" t="s">
        <v>1020</v>
      </c>
    </row>
    <row r="100" spans="1:20" ht="15.75" customHeight="1" thickBot="1">
      <c r="A100" s="254"/>
      <c r="B100" s="1398" t="s">
        <v>752</v>
      </c>
      <c r="C100" s="554" t="s">
        <v>14</v>
      </c>
      <c r="D100" s="1211"/>
      <c r="E100" s="1212"/>
      <c r="F100" s="1212"/>
      <c r="G100" s="1213">
        <v>0</v>
      </c>
      <c r="H100" s="1214">
        <v>0</v>
      </c>
      <c r="I100" s="1213">
        <v>0</v>
      </c>
      <c r="J100" s="1215">
        <v>0</v>
      </c>
      <c r="K100" s="1215">
        <v>0</v>
      </c>
      <c r="L100" s="1215">
        <v>0</v>
      </c>
      <c r="M100" s="1214">
        <v>0</v>
      </c>
      <c r="N100" s="1139"/>
      <c r="O100" s="1152">
        <v>0</v>
      </c>
      <c r="P100" s="1153">
        <v>0</v>
      </c>
      <c r="Q100" s="1154">
        <v>0</v>
      </c>
      <c r="R100" s="1139"/>
      <c r="S100" s="1152">
        <v>0</v>
      </c>
      <c r="T100" s="1154" t="s">
        <v>1020</v>
      </c>
    </row>
    <row r="101" spans="1:20">
      <c r="A101" s="254"/>
      <c r="B101" s="254"/>
      <c r="C101" s="254"/>
      <c r="D101" s="1135"/>
      <c r="E101" s="1135"/>
      <c r="F101" s="1135"/>
      <c r="G101" s="1135"/>
      <c r="H101" s="1135"/>
      <c r="I101" s="1135"/>
      <c r="J101" s="1135"/>
      <c r="K101" s="1135"/>
      <c r="L101" s="1135"/>
      <c r="M101" s="1135"/>
      <c r="N101" s="1135"/>
      <c r="O101" s="1135"/>
      <c r="P101" s="1135"/>
      <c r="Q101" s="1135"/>
      <c r="R101" s="1135"/>
      <c r="S101" s="1135"/>
      <c r="T101" s="1135"/>
    </row>
    <row r="102" spans="1:20">
      <c r="A102" s="254"/>
      <c r="B102" s="254"/>
      <c r="C102" s="316"/>
      <c r="D102" s="1155"/>
      <c r="E102" s="1155"/>
      <c r="F102" s="1155"/>
      <c r="G102" s="1155"/>
      <c r="H102" s="1155"/>
      <c r="I102" s="1155"/>
      <c r="J102" s="1155"/>
      <c r="K102" s="1155"/>
      <c r="L102" s="1155"/>
      <c r="M102" s="1155"/>
      <c r="N102" s="1139"/>
      <c r="O102" s="1155"/>
      <c r="P102" s="1155"/>
      <c r="Q102" s="1155"/>
      <c r="R102" s="1139"/>
      <c r="S102" s="1155"/>
      <c r="T102" s="1155"/>
    </row>
    <row r="103" spans="1:20" s="1255" customFormat="1" ht="15.75" customHeight="1">
      <c r="A103" s="1392"/>
      <c r="B103" s="1420" t="s">
        <v>140</v>
      </c>
      <c r="C103" s="320"/>
      <c r="D103" s="1155"/>
      <c r="E103" s="1155"/>
      <c r="F103" s="1155"/>
      <c r="G103" s="1155"/>
      <c r="H103" s="1155"/>
      <c r="I103" s="1155"/>
      <c r="J103" s="1155"/>
      <c r="K103" s="1155"/>
      <c r="L103" s="1155"/>
      <c r="M103" s="1155"/>
      <c r="N103" s="1155"/>
      <c r="O103" s="1407"/>
      <c r="P103" s="1407"/>
      <c r="Q103" s="1407"/>
      <c r="R103" s="1395"/>
      <c r="S103" s="1155"/>
      <c r="T103" s="1155"/>
    </row>
    <row r="104" spans="1:20" ht="13.5" thickBot="1">
      <c r="A104" s="254"/>
      <c r="B104" s="532"/>
      <c r="C104" s="557"/>
      <c r="D104" s="1194"/>
      <c r="E104" s="1194"/>
      <c r="F104" s="1194"/>
      <c r="G104" s="1194"/>
      <c r="H104" s="1194"/>
      <c r="I104" s="1194"/>
      <c r="J104" s="1194"/>
      <c r="K104" s="1194"/>
      <c r="L104" s="1194"/>
      <c r="M104" s="1194"/>
      <c r="N104" s="1139"/>
      <c r="O104" s="1194"/>
      <c r="P104" s="1194"/>
      <c r="Q104" s="1194"/>
      <c r="R104" s="1139"/>
      <c r="S104" s="1194"/>
      <c r="T104" s="1194"/>
    </row>
    <row r="105" spans="1:20" ht="15.75" customHeight="1">
      <c r="A105" s="254"/>
      <c r="B105" s="1898" t="s">
        <v>140</v>
      </c>
      <c r="C105" s="1902" t="s">
        <v>31</v>
      </c>
      <c r="D105" s="1156" t="s">
        <v>116</v>
      </c>
      <c r="E105" s="1157"/>
      <c r="F105" s="1157"/>
      <c r="G105" s="1157"/>
      <c r="H105" s="1158"/>
      <c r="I105" s="1157" t="s">
        <v>117</v>
      </c>
      <c r="J105" s="1159"/>
      <c r="K105" s="1159"/>
      <c r="L105" s="1159"/>
      <c r="M105" s="1158"/>
      <c r="N105" s="1139"/>
      <c r="O105" s="1195" t="s">
        <v>116</v>
      </c>
      <c r="P105" s="1196"/>
      <c r="Q105" s="1197"/>
      <c r="R105" s="1139"/>
      <c r="S105" s="1195" t="s">
        <v>117</v>
      </c>
      <c r="T105" s="1197"/>
    </row>
    <row r="106" spans="1:20" ht="25.5">
      <c r="A106" s="254"/>
      <c r="B106" s="1899"/>
      <c r="C106" s="1903"/>
      <c r="D106" s="1160" t="s">
        <v>32</v>
      </c>
      <c r="E106" s="1161" t="s">
        <v>33</v>
      </c>
      <c r="F106" s="1161" t="s">
        <v>29</v>
      </c>
      <c r="G106" s="1161" t="s">
        <v>34</v>
      </c>
      <c r="H106" s="1162" t="s">
        <v>35</v>
      </c>
      <c r="I106" s="1163" t="s">
        <v>118</v>
      </c>
      <c r="J106" s="1161" t="s">
        <v>136</v>
      </c>
      <c r="K106" s="1161" t="s">
        <v>137</v>
      </c>
      <c r="L106" s="1161" t="s">
        <v>138</v>
      </c>
      <c r="M106" s="1162" t="s">
        <v>139</v>
      </c>
      <c r="N106" s="1139"/>
      <c r="O106" s="1198" t="s">
        <v>126</v>
      </c>
      <c r="P106" s="1199" t="s">
        <v>127</v>
      </c>
      <c r="Q106" s="1200" t="s">
        <v>246</v>
      </c>
      <c r="R106" s="1139"/>
      <c r="S106" s="1198" t="s">
        <v>127</v>
      </c>
      <c r="T106" s="1200" t="s">
        <v>128</v>
      </c>
    </row>
    <row r="107" spans="1:20" ht="15.75" customHeight="1">
      <c r="A107" s="254"/>
      <c r="B107" s="1416" t="s">
        <v>141</v>
      </c>
      <c r="C107" s="329"/>
      <c r="D107" s="1164"/>
      <c r="E107" s="1165"/>
      <c r="F107" s="1165"/>
      <c r="G107" s="1165"/>
      <c r="H107" s="1166"/>
      <c r="I107" s="1165"/>
      <c r="J107" s="1165"/>
      <c r="K107" s="1165"/>
      <c r="L107" s="1165"/>
      <c r="M107" s="1166"/>
      <c r="N107" s="1139"/>
      <c r="O107" s="1201"/>
      <c r="P107" s="1202"/>
      <c r="Q107" s="1203"/>
      <c r="R107" s="1139"/>
      <c r="S107" s="1164"/>
      <c r="T107" s="1166"/>
    </row>
    <row r="108" spans="1:20" ht="15.75" customHeight="1">
      <c r="A108" s="254"/>
      <c r="B108" s="1417" t="s">
        <v>863</v>
      </c>
      <c r="C108" s="553" t="s">
        <v>14</v>
      </c>
      <c r="D108" s="1168">
        <v>19</v>
      </c>
      <c r="E108" s="1169">
        <v>18.8</v>
      </c>
      <c r="F108" s="1169">
        <v>19.100000000000001</v>
      </c>
      <c r="G108" s="1169">
        <v>17</v>
      </c>
      <c r="H108" s="1170">
        <v>16.2</v>
      </c>
      <c r="I108" s="1169">
        <v>12.3</v>
      </c>
      <c r="J108" s="1171">
        <v>12.5</v>
      </c>
      <c r="K108" s="1171">
        <v>12</v>
      </c>
      <c r="L108" s="1171">
        <v>12</v>
      </c>
      <c r="M108" s="1170">
        <v>12</v>
      </c>
      <c r="N108" s="1139"/>
      <c r="O108" s="1136">
        <v>56.9</v>
      </c>
      <c r="P108" s="1137">
        <v>33.200000000000003</v>
      </c>
      <c r="Q108" s="1138">
        <v>90.100000000000009</v>
      </c>
      <c r="R108" s="1139"/>
      <c r="S108" s="1136">
        <v>77.8</v>
      </c>
      <c r="T108" s="1138">
        <v>-0.1365149833518314</v>
      </c>
    </row>
    <row r="109" spans="1:20" ht="15.75" customHeight="1">
      <c r="A109" s="254"/>
      <c r="B109" s="1417" t="s">
        <v>142</v>
      </c>
      <c r="C109" s="553" t="s">
        <v>14</v>
      </c>
      <c r="D109" s="1168">
        <v>0.2</v>
      </c>
      <c r="E109" s="1169">
        <v>0.6</v>
      </c>
      <c r="F109" s="1169">
        <v>0.3</v>
      </c>
      <c r="G109" s="1169">
        <v>0.6</v>
      </c>
      <c r="H109" s="1170">
        <v>0.6</v>
      </c>
      <c r="I109" s="1169">
        <v>0.8</v>
      </c>
      <c r="J109" s="1171">
        <v>0.8</v>
      </c>
      <c r="K109" s="1171">
        <v>0.8</v>
      </c>
      <c r="L109" s="1171">
        <v>0.8</v>
      </c>
      <c r="M109" s="1170">
        <v>0.8</v>
      </c>
      <c r="N109" s="1139"/>
      <c r="O109" s="1136">
        <v>1.1000000000000001</v>
      </c>
      <c r="P109" s="1137">
        <v>1.2</v>
      </c>
      <c r="Q109" s="1138">
        <v>2.3000000000000003</v>
      </c>
      <c r="R109" s="1139"/>
      <c r="S109" s="1136">
        <v>3</v>
      </c>
      <c r="T109" s="1138">
        <v>0.30434782608695637</v>
      </c>
    </row>
    <row r="110" spans="1:20" ht="15.75" customHeight="1">
      <c r="A110" s="254"/>
      <c r="B110" s="1418" t="s">
        <v>865</v>
      </c>
      <c r="C110" s="553" t="s">
        <v>14</v>
      </c>
      <c r="D110" s="1136">
        <v>19.2</v>
      </c>
      <c r="E110" s="1204">
        <v>19.400000000000002</v>
      </c>
      <c r="F110" s="1204">
        <v>19.400000000000002</v>
      </c>
      <c r="G110" s="1204">
        <v>17.600000000000001</v>
      </c>
      <c r="H110" s="1138">
        <v>16.8</v>
      </c>
      <c r="I110" s="1204">
        <v>13.1</v>
      </c>
      <c r="J110" s="1137">
        <v>13.3</v>
      </c>
      <c r="K110" s="1137">
        <v>12.8</v>
      </c>
      <c r="L110" s="1137">
        <v>12.8</v>
      </c>
      <c r="M110" s="1138">
        <v>12.8</v>
      </c>
      <c r="N110" s="1139"/>
      <c r="O110" s="1136">
        <v>58</v>
      </c>
      <c r="P110" s="1137">
        <v>34.400000000000006</v>
      </c>
      <c r="Q110" s="1138">
        <v>92.399999999999991</v>
      </c>
      <c r="R110" s="1139"/>
      <c r="S110" s="1136">
        <v>80.8</v>
      </c>
      <c r="T110" s="1138">
        <v>-0.12554112554112548</v>
      </c>
    </row>
    <row r="111" spans="1:20" ht="15.75" customHeight="1">
      <c r="A111" s="254"/>
      <c r="B111" s="1416" t="s">
        <v>877</v>
      </c>
      <c r="C111" s="330"/>
      <c r="D111" s="1205"/>
      <c r="E111" s="1206"/>
      <c r="F111" s="1206"/>
      <c r="G111" s="1206"/>
      <c r="H111" s="1207"/>
      <c r="I111" s="1206"/>
      <c r="J111" s="1206"/>
      <c r="K111" s="1206"/>
      <c r="L111" s="1206"/>
      <c r="M111" s="1207"/>
      <c r="N111" s="1139"/>
      <c r="O111" s="1208"/>
      <c r="P111" s="1206"/>
      <c r="Q111" s="1207"/>
      <c r="R111" s="1139"/>
      <c r="S111" s="1205"/>
      <c r="T111" s="1207"/>
    </row>
    <row r="112" spans="1:20" ht="15.75" customHeight="1">
      <c r="A112" s="254"/>
      <c r="B112" s="1417" t="s">
        <v>863</v>
      </c>
      <c r="C112" s="553" t="s">
        <v>14</v>
      </c>
      <c r="D112" s="1168">
        <v>0.9</v>
      </c>
      <c r="E112" s="1169">
        <v>1.6</v>
      </c>
      <c r="F112" s="1169">
        <v>1.1000000000000001</v>
      </c>
      <c r="G112" s="1169">
        <v>3.2</v>
      </c>
      <c r="H112" s="1170">
        <v>2.2000000000000002</v>
      </c>
      <c r="I112" s="1169">
        <v>4.0999999999999996</v>
      </c>
      <c r="J112" s="1171">
        <v>4.0999999999999996</v>
      </c>
      <c r="K112" s="1171">
        <v>4.0999999999999996</v>
      </c>
      <c r="L112" s="1171">
        <v>4.0999999999999996</v>
      </c>
      <c r="M112" s="1170">
        <v>4.0999999999999996</v>
      </c>
      <c r="N112" s="1139"/>
      <c r="O112" s="1136">
        <v>3.6</v>
      </c>
      <c r="P112" s="1137">
        <v>5.4</v>
      </c>
      <c r="Q112" s="1138">
        <v>9</v>
      </c>
      <c r="R112" s="1139"/>
      <c r="S112" s="1136">
        <v>7.3</v>
      </c>
      <c r="T112" s="1138">
        <v>-0.18888888888888891</v>
      </c>
    </row>
    <row r="113" spans="1:20" ht="15.75" customHeight="1">
      <c r="A113" s="254"/>
      <c r="B113" s="1417" t="s">
        <v>142</v>
      </c>
      <c r="C113" s="553" t="s">
        <v>14</v>
      </c>
      <c r="D113" s="1168">
        <v>0</v>
      </c>
      <c r="E113" s="1169">
        <v>0</v>
      </c>
      <c r="F113" s="1169">
        <v>0.5</v>
      </c>
      <c r="G113" s="1169">
        <v>1</v>
      </c>
      <c r="H113" s="1170">
        <v>1.4</v>
      </c>
      <c r="I113" s="1169">
        <v>2.2999999999999998</v>
      </c>
      <c r="J113" s="1171">
        <v>1.1000000000000001</v>
      </c>
      <c r="K113" s="1171">
        <v>1.1000000000000001</v>
      </c>
      <c r="L113" s="1171">
        <v>1.1000000000000001</v>
      </c>
      <c r="M113" s="1170">
        <v>1.1000000000000001</v>
      </c>
      <c r="N113" s="1139"/>
      <c r="O113" s="1136">
        <v>0.5</v>
      </c>
      <c r="P113" s="1137">
        <v>2.4</v>
      </c>
      <c r="Q113" s="1138">
        <v>2.9</v>
      </c>
      <c r="R113" s="1139"/>
      <c r="S113" s="1136">
        <v>1.9</v>
      </c>
      <c r="T113" s="1138">
        <v>-0.34482758620689657</v>
      </c>
    </row>
    <row r="114" spans="1:20" ht="15.75" customHeight="1">
      <c r="A114" s="254"/>
      <c r="B114" s="1418" t="s">
        <v>866</v>
      </c>
      <c r="C114" s="553" t="s">
        <v>14</v>
      </c>
      <c r="D114" s="1136">
        <v>0.9</v>
      </c>
      <c r="E114" s="1204">
        <v>1.6</v>
      </c>
      <c r="F114" s="1204">
        <v>1.6</v>
      </c>
      <c r="G114" s="1204">
        <v>4.2</v>
      </c>
      <c r="H114" s="1138">
        <v>3.6</v>
      </c>
      <c r="I114" s="1204">
        <v>6.4</v>
      </c>
      <c r="J114" s="1137">
        <v>5.2</v>
      </c>
      <c r="K114" s="1137">
        <v>5.2</v>
      </c>
      <c r="L114" s="1137">
        <v>5.2</v>
      </c>
      <c r="M114" s="1138">
        <v>5.2</v>
      </c>
      <c r="N114" s="1139"/>
      <c r="O114" s="1136">
        <v>4.0999999999999996</v>
      </c>
      <c r="P114" s="1137">
        <v>7.8000000000000007</v>
      </c>
      <c r="Q114" s="1138">
        <v>11.9</v>
      </c>
      <c r="R114" s="1139"/>
      <c r="S114" s="1136">
        <v>9.2000000000000011</v>
      </c>
      <c r="T114" s="1138">
        <v>-0.22689075630252095</v>
      </c>
    </row>
    <row r="115" spans="1:20" ht="15.75" customHeight="1">
      <c r="A115" s="254"/>
      <c r="B115" s="1416" t="s">
        <v>714</v>
      </c>
      <c r="C115" s="330"/>
      <c r="D115" s="1205"/>
      <c r="E115" s="1206"/>
      <c r="F115" s="1206"/>
      <c r="G115" s="1206"/>
      <c r="H115" s="1207"/>
      <c r="I115" s="1206"/>
      <c r="J115" s="1206"/>
      <c r="K115" s="1206"/>
      <c r="L115" s="1206"/>
      <c r="M115" s="1207"/>
      <c r="N115" s="1139"/>
      <c r="O115" s="1205"/>
      <c r="P115" s="1206"/>
      <c r="Q115" s="1207"/>
      <c r="R115" s="1139"/>
      <c r="S115" s="1205"/>
      <c r="T115" s="1207"/>
    </row>
    <row r="116" spans="1:20" ht="15.75" customHeight="1">
      <c r="A116" s="254"/>
      <c r="B116" s="1417" t="s">
        <v>863</v>
      </c>
      <c r="C116" s="553" t="s">
        <v>14</v>
      </c>
      <c r="D116" s="1168">
        <v>0</v>
      </c>
      <c r="E116" s="1169">
        <v>0</v>
      </c>
      <c r="F116" s="1169">
        <v>0</v>
      </c>
      <c r="G116" s="1169">
        <v>0</v>
      </c>
      <c r="H116" s="1170">
        <v>0</v>
      </c>
      <c r="I116" s="1169">
        <v>0</v>
      </c>
      <c r="J116" s="1171">
        <v>0</v>
      </c>
      <c r="K116" s="1171">
        <v>0</v>
      </c>
      <c r="L116" s="1171">
        <v>0</v>
      </c>
      <c r="M116" s="1170">
        <v>0</v>
      </c>
      <c r="N116" s="1139"/>
      <c r="O116" s="1136">
        <v>0</v>
      </c>
      <c r="P116" s="1137">
        <v>0</v>
      </c>
      <c r="Q116" s="1138">
        <v>0</v>
      </c>
      <c r="R116" s="1139"/>
      <c r="S116" s="1136">
        <v>0</v>
      </c>
      <c r="T116" s="1138" t="s">
        <v>1020</v>
      </c>
    </row>
    <row r="117" spans="1:20" ht="15.75" customHeight="1">
      <c r="A117" s="254"/>
      <c r="B117" s="1417" t="s">
        <v>142</v>
      </c>
      <c r="C117" s="553" t="s">
        <v>14</v>
      </c>
      <c r="D117" s="1168">
        <v>0</v>
      </c>
      <c r="E117" s="1169">
        <v>0</v>
      </c>
      <c r="F117" s="1169">
        <v>0</v>
      </c>
      <c r="G117" s="1169">
        <v>0</v>
      </c>
      <c r="H117" s="1170">
        <v>0</v>
      </c>
      <c r="I117" s="1169">
        <v>0</v>
      </c>
      <c r="J117" s="1171">
        <v>0</v>
      </c>
      <c r="K117" s="1171">
        <v>0</v>
      </c>
      <c r="L117" s="1171">
        <v>0</v>
      </c>
      <c r="M117" s="1170">
        <v>0</v>
      </c>
      <c r="N117" s="1139"/>
      <c r="O117" s="1136">
        <v>0</v>
      </c>
      <c r="P117" s="1137">
        <v>0</v>
      </c>
      <c r="Q117" s="1138">
        <v>0</v>
      </c>
      <c r="R117" s="1139"/>
      <c r="S117" s="1136">
        <v>0</v>
      </c>
      <c r="T117" s="1138" t="s">
        <v>1020</v>
      </c>
    </row>
    <row r="118" spans="1:20" ht="15.75" customHeight="1">
      <c r="A118" s="254"/>
      <c r="B118" s="1418" t="s">
        <v>867</v>
      </c>
      <c r="C118" s="553" t="s">
        <v>14</v>
      </c>
      <c r="D118" s="1136">
        <v>0</v>
      </c>
      <c r="E118" s="1204">
        <v>0</v>
      </c>
      <c r="F118" s="1204">
        <v>0</v>
      </c>
      <c r="G118" s="1204">
        <v>0</v>
      </c>
      <c r="H118" s="1138">
        <v>0</v>
      </c>
      <c r="I118" s="1204">
        <v>0</v>
      </c>
      <c r="J118" s="1137">
        <v>0</v>
      </c>
      <c r="K118" s="1137">
        <v>0</v>
      </c>
      <c r="L118" s="1137">
        <v>0</v>
      </c>
      <c r="M118" s="1138">
        <v>0</v>
      </c>
      <c r="N118" s="1139"/>
      <c r="O118" s="1136">
        <v>0</v>
      </c>
      <c r="P118" s="1137">
        <v>0</v>
      </c>
      <c r="Q118" s="1138">
        <v>0</v>
      </c>
      <c r="R118" s="1139"/>
      <c r="S118" s="1136">
        <v>0</v>
      </c>
      <c r="T118" s="1138" t="s">
        <v>1020</v>
      </c>
    </row>
    <row r="119" spans="1:20" ht="15.75" customHeight="1">
      <c r="A119" s="254"/>
      <c r="B119" s="1416" t="s">
        <v>605</v>
      </c>
      <c r="C119" s="330"/>
      <c r="D119" s="1205"/>
      <c r="E119" s="1206"/>
      <c r="F119" s="1206"/>
      <c r="G119" s="1206"/>
      <c r="H119" s="1207"/>
      <c r="I119" s="1206"/>
      <c r="J119" s="1206"/>
      <c r="K119" s="1206"/>
      <c r="L119" s="1206"/>
      <c r="M119" s="1207"/>
      <c r="N119" s="1139"/>
      <c r="O119" s="1205"/>
      <c r="P119" s="1206"/>
      <c r="Q119" s="1207"/>
      <c r="R119" s="1139"/>
      <c r="S119" s="1205"/>
      <c r="T119" s="1207"/>
    </row>
    <row r="120" spans="1:20" ht="15.75" customHeight="1">
      <c r="A120" s="254"/>
      <c r="B120" s="1417" t="s">
        <v>863</v>
      </c>
      <c r="C120" s="553" t="s">
        <v>14</v>
      </c>
      <c r="D120" s="1168">
        <v>0</v>
      </c>
      <c r="E120" s="1169">
        <v>0</v>
      </c>
      <c r="F120" s="1169">
        <v>0</v>
      </c>
      <c r="G120" s="1169">
        <v>0</v>
      </c>
      <c r="H120" s="1170">
        <v>0</v>
      </c>
      <c r="I120" s="1169">
        <v>0</v>
      </c>
      <c r="J120" s="1171">
        <v>0</v>
      </c>
      <c r="K120" s="1171">
        <v>0</v>
      </c>
      <c r="L120" s="1171">
        <v>0</v>
      </c>
      <c r="M120" s="1170">
        <v>0</v>
      </c>
      <c r="N120" s="1139"/>
      <c r="O120" s="1136">
        <v>0</v>
      </c>
      <c r="P120" s="1137">
        <v>0</v>
      </c>
      <c r="Q120" s="1138">
        <v>0</v>
      </c>
      <c r="R120" s="1139"/>
      <c r="S120" s="1136">
        <v>0</v>
      </c>
      <c r="T120" s="1138" t="s">
        <v>1020</v>
      </c>
    </row>
    <row r="121" spans="1:20" ht="15.75" customHeight="1">
      <c r="A121" s="254"/>
      <c r="B121" s="1417" t="s">
        <v>142</v>
      </c>
      <c r="C121" s="553" t="s">
        <v>14</v>
      </c>
      <c r="D121" s="1168">
        <v>0</v>
      </c>
      <c r="E121" s="1169">
        <v>0</v>
      </c>
      <c r="F121" s="1169">
        <v>0</v>
      </c>
      <c r="G121" s="1169">
        <v>0</v>
      </c>
      <c r="H121" s="1170">
        <v>0</v>
      </c>
      <c r="I121" s="1169">
        <v>0</v>
      </c>
      <c r="J121" s="1171">
        <v>0</v>
      </c>
      <c r="K121" s="1171">
        <v>0</v>
      </c>
      <c r="L121" s="1171">
        <v>0</v>
      </c>
      <c r="M121" s="1170">
        <v>0</v>
      </c>
      <c r="N121" s="1139"/>
      <c r="O121" s="1136">
        <v>0</v>
      </c>
      <c r="P121" s="1137">
        <v>0</v>
      </c>
      <c r="Q121" s="1138">
        <v>0</v>
      </c>
      <c r="R121" s="1139"/>
      <c r="S121" s="1136">
        <v>0</v>
      </c>
      <c r="T121" s="1138" t="s">
        <v>1020</v>
      </c>
    </row>
    <row r="122" spans="1:20" ht="15.75" customHeight="1">
      <c r="A122" s="254"/>
      <c r="B122" s="1418" t="s">
        <v>700</v>
      </c>
      <c r="C122" s="553" t="s">
        <v>14</v>
      </c>
      <c r="D122" s="1136">
        <v>0</v>
      </c>
      <c r="E122" s="1204">
        <v>0</v>
      </c>
      <c r="F122" s="1204">
        <v>0</v>
      </c>
      <c r="G122" s="1204">
        <v>0</v>
      </c>
      <c r="H122" s="1138">
        <v>0</v>
      </c>
      <c r="I122" s="1204">
        <v>0</v>
      </c>
      <c r="J122" s="1137">
        <v>0</v>
      </c>
      <c r="K122" s="1137">
        <v>0</v>
      </c>
      <c r="L122" s="1137">
        <v>0</v>
      </c>
      <c r="M122" s="1138">
        <v>0</v>
      </c>
      <c r="N122" s="1139"/>
      <c r="O122" s="1136">
        <v>0</v>
      </c>
      <c r="P122" s="1137">
        <v>0</v>
      </c>
      <c r="Q122" s="1138">
        <v>0</v>
      </c>
      <c r="R122" s="1139"/>
      <c r="S122" s="1136">
        <v>0</v>
      </c>
      <c r="T122" s="1138" t="s">
        <v>1020</v>
      </c>
    </row>
    <row r="123" spans="1:20" ht="15.75" customHeight="1">
      <c r="A123" s="254"/>
      <c r="B123" s="1405"/>
      <c r="C123" s="553"/>
      <c r="D123" s="1205"/>
      <c r="E123" s="1206"/>
      <c r="F123" s="1206"/>
      <c r="G123" s="1206"/>
      <c r="H123" s="1207"/>
      <c r="I123" s="1206"/>
      <c r="J123" s="1206"/>
      <c r="K123" s="1206"/>
      <c r="L123" s="1206"/>
      <c r="M123" s="1207"/>
      <c r="N123" s="1139"/>
      <c r="O123" s="1205"/>
      <c r="P123" s="1206"/>
      <c r="Q123" s="1207"/>
      <c r="R123" s="1139"/>
      <c r="S123" s="1205"/>
      <c r="T123" s="1207"/>
    </row>
    <row r="124" spans="1:20" ht="15.75" customHeight="1">
      <c r="A124" s="254"/>
      <c r="B124" s="1416" t="s">
        <v>455</v>
      </c>
      <c r="C124" s="545" t="s">
        <v>14</v>
      </c>
      <c r="D124" s="1147">
        <v>20.099999999999998</v>
      </c>
      <c r="E124" s="1147">
        <v>21.000000000000004</v>
      </c>
      <c r="F124" s="1147">
        <v>21.000000000000004</v>
      </c>
      <c r="G124" s="1147">
        <v>21.8</v>
      </c>
      <c r="H124" s="1146">
        <v>20.400000000000002</v>
      </c>
      <c r="I124" s="1147">
        <v>19.5</v>
      </c>
      <c r="J124" s="1145">
        <v>18.5</v>
      </c>
      <c r="K124" s="1145">
        <v>18</v>
      </c>
      <c r="L124" s="1145">
        <v>18</v>
      </c>
      <c r="M124" s="1146">
        <v>18</v>
      </c>
      <c r="N124" s="1181"/>
      <c r="O124" s="1144">
        <v>62.100000000000009</v>
      </c>
      <c r="P124" s="1145">
        <v>42.2</v>
      </c>
      <c r="Q124" s="1146">
        <v>104.30000000000001</v>
      </c>
      <c r="R124" s="1181"/>
      <c r="S124" s="1144">
        <v>90</v>
      </c>
      <c r="T124" s="1146">
        <v>-0.13710450623202311</v>
      </c>
    </row>
    <row r="125" spans="1:20" ht="15.75" customHeight="1">
      <c r="A125" s="254"/>
      <c r="B125" s="1416" t="s">
        <v>456</v>
      </c>
      <c r="C125" s="545" t="s">
        <v>14</v>
      </c>
      <c r="D125" s="1168">
        <v>1.3</v>
      </c>
      <c r="E125" s="1169">
        <v>2.9</v>
      </c>
      <c r="F125" s="1169">
        <v>6.8</v>
      </c>
      <c r="G125" s="1169">
        <v>8.3000000000000007</v>
      </c>
      <c r="H125" s="1170">
        <v>7.8</v>
      </c>
      <c r="I125" s="1169">
        <v>6.8</v>
      </c>
      <c r="J125" s="1171">
        <v>7</v>
      </c>
      <c r="K125" s="1171">
        <v>6.8</v>
      </c>
      <c r="L125" s="1171">
        <v>6.8</v>
      </c>
      <c r="M125" s="1170">
        <v>6.8</v>
      </c>
      <c r="N125" s="1181"/>
      <c r="O125" s="1144">
        <v>11</v>
      </c>
      <c r="P125" s="1145">
        <v>16.100000000000001</v>
      </c>
      <c r="Q125" s="1146">
        <v>27.1</v>
      </c>
      <c r="R125" s="1181"/>
      <c r="S125" s="1144">
        <v>34.200000000000003</v>
      </c>
      <c r="T125" s="1146">
        <v>0.26199261992619932</v>
      </c>
    </row>
    <row r="126" spans="1:20" ht="15.75" customHeight="1">
      <c r="A126" s="254"/>
      <c r="B126" s="1416" t="s">
        <v>457</v>
      </c>
      <c r="C126" s="545" t="s">
        <v>14</v>
      </c>
      <c r="D126" s="1144">
        <v>21.4</v>
      </c>
      <c r="E126" s="1147">
        <v>23.900000000000002</v>
      </c>
      <c r="F126" s="1147">
        <v>27.800000000000004</v>
      </c>
      <c r="G126" s="1147">
        <v>30.1</v>
      </c>
      <c r="H126" s="1146">
        <v>28.200000000000003</v>
      </c>
      <c r="I126" s="1147">
        <v>26.3</v>
      </c>
      <c r="J126" s="1145">
        <v>25.5</v>
      </c>
      <c r="K126" s="1145">
        <v>24.8</v>
      </c>
      <c r="L126" s="1145">
        <v>24.8</v>
      </c>
      <c r="M126" s="1146">
        <v>24.8</v>
      </c>
      <c r="N126" s="1181"/>
      <c r="O126" s="1144">
        <v>73.099999999999994</v>
      </c>
      <c r="P126" s="1145">
        <v>58.300000000000004</v>
      </c>
      <c r="Q126" s="1146">
        <v>131.39999999999998</v>
      </c>
      <c r="R126" s="1181"/>
      <c r="S126" s="1144">
        <v>124.2</v>
      </c>
      <c r="T126" s="1146">
        <v>-5.4794520547945022E-2</v>
      </c>
    </row>
    <row r="127" spans="1:20" ht="15.75" customHeight="1">
      <c r="A127" s="254"/>
      <c r="B127" s="1416"/>
      <c r="C127" s="322"/>
      <c r="D127" s="1201"/>
      <c r="E127" s="1202"/>
      <c r="F127" s="1202"/>
      <c r="G127" s="1202"/>
      <c r="H127" s="1203"/>
      <c r="I127" s="1202"/>
      <c r="J127" s="1202"/>
      <c r="K127" s="1202"/>
      <c r="L127" s="1202"/>
      <c r="M127" s="1203"/>
      <c r="N127" s="1139"/>
      <c r="O127" s="1205"/>
      <c r="P127" s="1206"/>
      <c r="Q127" s="1207"/>
      <c r="R127" s="1139"/>
      <c r="S127" s="1205"/>
      <c r="T127" s="1207"/>
    </row>
    <row r="128" spans="1:20" ht="15.75" customHeight="1" thickBot="1">
      <c r="A128" s="254"/>
      <c r="B128" s="1419" t="s">
        <v>490</v>
      </c>
      <c r="C128" s="550" t="s">
        <v>14</v>
      </c>
      <c r="D128" s="1151">
        <v>1.3999999999999986</v>
      </c>
      <c r="E128" s="1151">
        <v>-2.1000000000000014</v>
      </c>
      <c r="F128" s="1151">
        <v>-4.3000000000000007</v>
      </c>
      <c r="G128" s="1151">
        <v>-5.6999999999999993</v>
      </c>
      <c r="H128" s="1150">
        <v>-3.9000000000000021</v>
      </c>
      <c r="I128" s="1151">
        <v>-5.5000000000000036</v>
      </c>
      <c r="J128" s="1149">
        <v>-5.6999999999999993</v>
      </c>
      <c r="K128" s="1149">
        <v>-5.5999999999999979</v>
      </c>
      <c r="L128" s="1149">
        <v>-5.5999999999999979</v>
      </c>
      <c r="M128" s="1150">
        <v>-5.5999999999999979</v>
      </c>
      <c r="N128" s="1181"/>
      <c r="O128" s="1148">
        <v>-5.0000000000000036</v>
      </c>
      <c r="P128" s="1149">
        <v>-9.6000000000000014</v>
      </c>
      <c r="Q128" s="1150">
        <v>-14.600000000000005</v>
      </c>
      <c r="R128" s="1181"/>
      <c r="S128" s="1148">
        <v>-27.999999999999996</v>
      </c>
      <c r="T128" s="1150">
        <v>0.91780821917808131</v>
      </c>
    </row>
    <row r="129" spans="1:20">
      <c r="A129" s="254"/>
      <c r="B129" s="254"/>
      <c r="C129" s="316"/>
      <c r="D129" s="1155"/>
      <c r="E129" s="1155"/>
      <c r="F129" s="1155"/>
      <c r="G129" s="1155"/>
      <c r="H129" s="1155"/>
      <c r="I129" s="1155"/>
      <c r="J129" s="1155"/>
      <c r="K129" s="1155"/>
      <c r="L129" s="1155"/>
      <c r="M129" s="1155"/>
      <c r="N129" s="1155"/>
      <c r="O129" s="1155"/>
      <c r="P129" s="1155"/>
      <c r="Q129" s="1155"/>
      <c r="R129" s="1155"/>
      <c r="S129" s="1155"/>
      <c r="T129" s="1155"/>
    </row>
    <row r="130" spans="1:20" ht="13.5" thickBot="1">
      <c r="A130" s="254"/>
      <c r="B130" s="254"/>
      <c r="C130" s="316"/>
      <c r="D130" s="1155"/>
      <c r="E130" s="1155"/>
      <c r="F130" s="1155"/>
      <c r="G130" s="1155"/>
      <c r="H130" s="1155"/>
      <c r="I130" s="1155"/>
      <c r="J130" s="1155"/>
      <c r="K130" s="1155"/>
      <c r="L130" s="1155"/>
      <c r="M130" s="1155"/>
      <c r="N130" s="1155"/>
      <c r="O130" s="1155"/>
      <c r="P130" s="1155"/>
      <c r="Q130" s="1155"/>
      <c r="R130" s="1155"/>
      <c r="S130" s="1155"/>
      <c r="T130" s="1155"/>
    </row>
    <row r="131" spans="1:20">
      <c r="A131" s="254"/>
      <c r="B131" s="1900"/>
      <c r="C131" s="1902" t="s">
        <v>31</v>
      </c>
      <c r="D131" s="1156" t="s">
        <v>116</v>
      </c>
      <c r="E131" s="1157"/>
      <c r="F131" s="1157"/>
      <c r="G131" s="1157"/>
      <c r="H131" s="1158"/>
      <c r="I131" s="1157" t="s">
        <v>117</v>
      </c>
      <c r="J131" s="1159"/>
      <c r="K131" s="1159"/>
      <c r="L131" s="1159"/>
      <c r="M131" s="1158"/>
      <c r="N131" s="1139"/>
      <c r="O131" s="1195" t="s">
        <v>116</v>
      </c>
      <c r="P131" s="1196"/>
      <c r="Q131" s="1197"/>
      <c r="R131" s="1139"/>
      <c r="S131" s="1195" t="s">
        <v>117</v>
      </c>
      <c r="T131" s="1197"/>
    </row>
    <row r="132" spans="1:20" ht="25.5">
      <c r="A132" s="254"/>
      <c r="B132" s="1901"/>
      <c r="C132" s="1903"/>
      <c r="D132" s="1160" t="s">
        <v>32</v>
      </c>
      <c r="E132" s="1161" t="s">
        <v>33</v>
      </c>
      <c r="F132" s="1161" t="s">
        <v>29</v>
      </c>
      <c r="G132" s="1161" t="s">
        <v>34</v>
      </c>
      <c r="H132" s="1162" t="s">
        <v>35</v>
      </c>
      <c r="I132" s="1163" t="s">
        <v>118</v>
      </c>
      <c r="J132" s="1161" t="s">
        <v>136</v>
      </c>
      <c r="K132" s="1161" t="s">
        <v>137</v>
      </c>
      <c r="L132" s="1161" t="s">
        <v>138</v>
      </c>
      <c r="M132" s="1162" t="s">
        <v>139</v>
      </c>
      <c r="N132" s="1139"/>
      <c r="O132" s="1198" t="s">
        <v>126</v>
      </c>
      <c r="P132" s="1199" t="s">
        <v>127</v>
      </c>
      <c r="Q132" s="1200" t="s">
        <v>246</v>
      </c>
      <c r="R132" s="1139"/>
      <c r="S132" s="1198" t="s">
        <v>127</v>
      </c>
      <c r="T132" s="1200" t="s">
        <v>128</v>
      </c>
    </row>
    <row r="133" spans="1:20" s="1255" customFormat="1" ht="15.75" customHeight="1">
      <c r="A133" s="1392"/>
      <c r="B133" s="1401" t="s">
        <v>491</v>
      </c>
      <c r="C133" s="1402" t="s">
        <v>14</v>
      </c>
      <c r="D133" s="1131">
        <v>1</v>
      </c>
      <c r="E133" s="1132">
        <v>0.79999999999999993</v>
      </c>
      <c r="F133" s="1132">
        <v>0.5</v>
      </c>
      <c r="G133" s="1132">
        <v>1</v>
      </c>
      <c r="H133" s="1133">
        <v>0.9</v>
      </c>
      <c r="I133" s="1132">
        <v>0.9</v>
      </c>
      <c r="J133" s="1134">
        <v>0.9</v>
      </c>
      <c r="K133" s="1134">
        <v>0.79999999999999993</v>
      </c>
      <c r="L133" s="1134">
        <v>0.79999999999999993</v>
      </c>
      <c r="M133" s="1133">
        <v>0.79999999999999993</v>
      </c>
      <c r="N133" s="1155"/>
      <c r="O133" s="1216">
        <v>2.2999999999999998</v>
      </c>
      <c r="P133" s="1217">
        <v>1.9</v>
      </c>
      <c r="Q133" s="1218">
        <v>4.2</v>
      </c>
      <c r="R133" s="1395"/>
      <c r="S133" s="1216">
        <v>4.2</v>
      </c>
      <c r="T133" s="1218">
        <v>0</v>
      </c>
    </row>
    <row r="134" spans="1:20" s="1255" customFormat="1" ht="15.75" customHeight="1">
      <c r="A134" s="1392"/>
      <c r="B134" s="1401" t="s">
        <v>361</v>
      </c>
      <c r="C134" s="1402" t="s">
        <v>14</v>
      </c>
      <c r="D134" s="1140">
        <v>0</v>
      </c>
      <c r="E134" s="1141">
        <v>0</v>
      </c>
      <c r="F134" s="1141">
        <v>2</v>
      </c>
      <c r="G134" s="1141">
        <v>1.6</v>
      </c>
      <c r="H134" s="1142">
        <v>3.0000000000000004</v>
      </c>
      <c r="I134" s="1141">
        <v>0.39999999999999997</v>
      </c>
      <c r="J134" s="1143">
        <v>0.4</v>
      </c>
      <c r="K134" s="1143">
        <v>0.4</v>
      </c>
      <c r="L134" s="1143">
        <v>0.4</v>
      </c>
      <c r="M134" s="1142">
        <v>0.4</v>
      </c>
      <c r="N134" s="1155"/>
      <c r="O134" s="1136">
        <v>2</v>
      </c>
      <c r="P134" s="1137">
        <v>4.6000000000000005</v>
      </c>
      <c r="Q134" s="1138">
        <v>6.6000000000000005</v>
      </c>
      <c r="R134" s="1395"/>
      <c r="S134" s="1136">
        <v>2</v>
      </c>
      <c r="T134" s="1138">
        <v>-0.69696969696969702</v>
      </c>
    </row>
    <row r="135" spans="1:20" s="1255" customFormat="1" ht="15.75" customHeight="1">
      <c r="A135" s="1392"/>
      <c r="B135" s="1401" t="s">
        <v>495</v>
      </c>
      <c r="C135" s="1402" t="s">
        <v>14</v>
      </c>
      <c r="D135" s="1140">
        <v>0</v>
      </c>
      <c r="E135" s="1141">
        <v>0</v>
      </c>
      <c r="F135" s="1141">
        <v>0</v>
      </c>
      <c r="G135" s="1141">
        <v>0</v>
      </c>
      <c r="H135" s="1142">
        <v>0</v>
      </c>
      <c r="I135" s="1141">
        <v>0</v>
      </c>
      <c r="J135" s="1143">
        <v>0</v>
      </c>
      <c r="K135" s="1143">
        <v>0</v>
      </c>
      <c r="L135" s="1143">
        <v>0</v>
      </c>
      <c r="M135" s="1142">
        <v>0</v>
      </c>
      <c r="N135" s="1155"/>
      <c r="O135" s="1136">
        <v>0</v>
      </c>
      <c r="P135" s="1137">
        <v>0</v>
      </c>
      <c r="Q135" s="1138">
        <v>0</v>
      </c>
      <c r="R135" s="1395"/>
      <c r="S135" s="1136">
        <v>0</v>
      </c>
      <c r="T135" s="1138" t="s">
        <v>1020</v>
      </c>
    </row>
    <row r="136" spans="1:20" s="1255" customFormat="1" ht="15.75" customHeight="1" thickBot="1">
      <c r="A136" s="1392"/>
      <c r="B136" s="1403" t="s">
        <v>496</v>
      </c>
      <c r="C136" s="1404" t="s">
        <v>14</v>
      </c>
      <c r="D136" s="1219">
        <v>0</v>
      </c>
      <c r="E136" s="1220">
        <v>0</v>
      </c>
      <c r="F136" s="1220">
        <v>0</v>
      </c>
      <c r="G136" s="1220">
        <v>0</v>
      </c>
      <c r="H136" s="1221">
        <v>0</v>
      </c>
      <c r="I136" s="1220">
        <v>0</v>
      </c>
      <c r="J136" s="1222">
        <v>0</v>
      </c>
      <c r="K136" s="1222">
        <v>0</v>
      </c>
      <c r="L136" s="1222">
        <v>0</v>
      </c>
      <c r="M136" s="1221">
        <v>0</v>
      </c>
      <c r="N136" s="1155"/>
      <c r="O136" s="1152">
        <v>0</v>
      </c>
      <c r="P136" s="1153">
        <v>0</v>
      </c>
      <c r="Q136" s="1154">
        <v>0</v>
      </c>
      <c r="R136" s="1395"/>
      <c r="S136" s="1152">
        <v>0</v>
      </c>
      <c r="T136" s="1154" t="s">
        <v>1020</v>
      </c>
    </row>
    <row r="137" spans="1:20">
      <c r="A137" s="331"/>
      <c r="B137" s="560"/>
      <c r="C137" s="332"/>
      <c r="D137" s="323"/>
      <c r="E137" s="323"/>
      <c r="F137" s="323"/>
      <c r="G137" s="323"/>
      <c r="H137" s="323"/>
      <c r="I137" s="323"/>
      <c r="J137" s="323"/>
      <c r="K137" s="323"/>
      <c r="L137" s="323"/>
      <c r="M137" s="323"/>
      <c r="N137" s="323"/>
      <c r="O137" s="320"/>
      <c r="P137" s="320"/>
      <c r="Q137" s="320"/>
      <c r="R137" s="320"/>
      <c r="S137" s="320"/>
      <c r="T137" s="320"/>
    </row>
    <row r="138" spans="1:20">
      <c r="A138" s="254"/>
      <c r="B138" s="254"/>
      <c r="C138" s="316"/>
      <c r="D138" s="320"/>
      <c r="E138" s="320"/>
      <c r="F138" s="320"/>
      <c r="G138" s="320"/>
      <c r="H138" s="320"/>
      <c r="I138" s="320"/>
      <c r="J138" s="320"/>
      <c r="K138" s="320"/>
      <c r="L138" s="320"/>
      <c r="M138" s="320"/>
      <c r="N138" s="320"/>
      <c r="O138" s="320"/>
      <c r="P138" s="320"/>
      <c r="Q138" s="320"/>
      <c r="R138" s="320"/>
      <c r="S138" s="320"/>
      <c r="T138" s="320"/>
    </row>
    <row r="139" spans="1:20">
      <c r="A139" s="254"/>
      <c r="B139" s="254"/>
      <c r="C139" s="316"/>
      <c r="D139" s="320"/>
      <c r="E139" s="320"/>
      <c r="F139" s="320"/>
      <c r="G139" s="320"/>
      <c r="H139" s="320"/>
      <c r="I139" s="320"/>
      <c r="J139" s="320"/>
      <c r="K139" s="320"/>
      <c r="L139" s="320"/>
      <c r="M139" s="320"/>
      <c r="N139" s="320"/>
      <c r="O139" s="320"/>
      <c r="P139" s="320"/>
      <c r="Q139" s="320"/>
      <c r="R139" s="320"/>
      <c r="S139" s="320"/>
      <c r="T139" s="320"/>
    </row>
    <row r="140" spans="1:20">
      <c r="A140" s="254"/>
      <c r="B140" s="254"/>
      <c r="C140" s="316"/>
      <c r="D140" s="320"/>
      <c r="E140" s="320"/>
      <c r="F140" s="320"/>
      <c r="G140" s="320"/>
      <c r="H140" s="320"/>
      <c r="I140" s="320"/>
      <c r="J140" s="320"/>
      <c r="K140" s="320"/>
      <c r="L140" s="320"/>
      <c r="M140" s="320"/>
      <c r="N140" s="320"/>
      <c r="O140" s="320"/>
      <c r="P140" s="320"/>
      <c r="Q140" s="320"/>
      <c r="R140" s="320"/>
      <c r="S140" s="320"/>
      <c r="T140" s="320"/>
    </row>
    <row r="141" spans="1:20">
      <c r="A141" s="254"/>
      <c r="B141" s="254"/>
      <c r="C141" s="316"/>
      <c r="D141" s="320"/>
      <c r="E141" s="320"/>
      <c r="F141" s="320"/>
      <c r="G141" s="320"/>
      <c r="H141" s="320"/>
      <c r="I141" s="320"/>
      <c r="J141" s="320"/>
      <c r="K141" s="320"/>
      <c r="L141" s="320"/>
      <c r="M141" s="320"/>
      <c r="N141" s="320"/>
      <c r="O141" s="320"/>
      <c r="P141" s="320"/>
      <c r="Q141" s="320"/>
      <c r="R141" s="320"/>
      <c r="S141" s="320"/>
      <c r="T141" s="320"/>
    </row>
    <row r="142" spans="1:20">
      <c r="A142" s="254"/>
      <c r="B142" s="254"/>
      <c r="C142" s="316"/>
      <c r="D142" s="320"/>
      <c r="E142" s="320"/>
      <c r="F142" s="320"/>
      <c r="G142" s="320"/>
      <c r="H142" s="320"/>
      <c r="I142" s="320"/>
      <c r="J142" s="320"/>
      <c r="K142" s="320"/>
      <c r="L142" s="320"/>
      <c r="M142" s="320"/>
      <c r="N142" s="320"/>
      <c r="O142" s="320"/>
      <c r="P142" s="320"/>
      <c r="Q142" s="320"/>
      <c r="R142" s="320"/>
      <c r="S142" s="320"/>
      <c r="T142" s="320"/>
    </row>
    <row r="143" spans="1:20">
      <c r="A143" s="254"/>
      <c r="B143" s="254"/>
      <c r="C143" s="316"/>
      <c r="D143" s="320"/>
      <c r="E143" s="320"/>
      <c r="F143" s="320"/>
      <c r="G143" s="320"/>
      <c r="H143" s="320"/>
      <c r="I143" s="320"/>
      <c r="J143" s="320"/>
      <c r="K143" s="320"/>
      <c r="L143" s="320"/>
      <c r="M143" s="320"/>
      <c r="N143" s="320"/>
      <c r="O143" s="320"/>
      <c r="P143" s="320"/>
      <c r="Q143" s="320"/>
      <c r="R143" s="320"/>
      <c r="S143" s="320"/>
      <c r="T143" s="320"/>
    </row>
    <row r="144" spans="1:20">
      <c r="A144" s="254"/>
      <c r="B144" s="254"/>
      <c r="C144" s="316"/>
      <c r="D144" s="320"/>
      <c r="E144" s="320"/>
      <c r="F144" s="320"/>
      <c r="G144" s="320"/>
      <c r="H144" s="320"/>
      <c r="I144" s="320"/>
      <c r="J144" s="320"/>
      <c r="K144" s="320"/>
      <c r="L144" s="320"/>
      <c r="M144" s="320"/>
      <c r="N144" s="320"/>
      <c r="O144" s="320"/>
      <c r="P144" s="320"/>
      <c r="Q144" s="320"/>
      <c r="R144" s="320"/>
      <c r="S144" s="320"/>
      <c r="T144" s="320"/>
    </row>
  </sheetData>
  <mergeCells count="12">
    <mergeCell ref="B105:B106"/>
    <mergeCell ref="B131:B132"/>
    <mergeCell ref="C8:C9"/>
    <mergeCell ref="B76:B77"/>
    <mergeCell ref="B8:B9"/>
    <mergeCell ref="B18:B19"/>
    <mergeCell ref="B51:B52"/>
    <mergeCell ref="C131:C132"/>
    <mergeCell ref="C105:C106"/>
    <mergeCell ref="C76:C77"/>
    <mergeCell ref="C51:C52"/>
    <mergeCell ref="C18:C19"/>
  </mergeCells>
  <phoneticPr fontId="0" type="noConversion"/>
  <hyperlinks>
    <hyperlink ref="F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C1DFFF"/>
    <pageSetUpPr fitToPage="1"/>
  </sheetPr>
  <dimension ref="A1:AD267"/>
  <sheetViews>
    <sheetView topLeftCell="C73" zoomScaleSheetLayoutView="85" workbookViewId="0">
      <selection sqref="A1:XFD1048576"/>
    </sheetView>
  </sheetViews>
  <sheetFormatPr defaultColWidth="10.28515625" defaultRowHeight="12.75"/>
  <cols>
    <col min="1" max="1" width="3.7109375" style="651" customWidth="1"/>
    <col min="2" max="2" width="105.28515625" style="651" customWidth="1"/>
    <col min="3" max="3" width="7.42578125" style="652" customWidth="1"/>
    <col min="4" max="8" width="10" style="653" customWidth="1"/>
    <col min="9" max="13" width="10.28515625" style="653" customWidth="1"/>
    <col min="14" max="14" width="3.140625" style="653" customWidth="1"/>
    <col min="15" max="17" width="10.28515625" style="653" customWidth="1"/>
    <col min="18" max="18" width="3.140625" style="653" customWidth="1"/>
    <col min="19" max="19" width="10.28515625" style="653" customWidth="1"/>
    <col min="20" max="20" width="13" style="653" customWidth="1"/>
    <col min="21" max="16384" width="10.28515625" style="651"/>
  </cols>
  <sheetData>
    <row r="1" spans="1:30" s="642" customFormat="1" ht="26.25">
      <c r="A1" s="636" t="s">
        <v>858</v>
      </c>
      <c r="B1" s="637"/>
      <c r="C1" s="638"/>
      <c r="D1" s="639"/>
      <c r="E1" s="639"/>
      <c r="F1" s="639"/>
      <c r="G1" s="639"/>
      <c r="H1" s="639"/>
      <c r="I1" s="639"/>
      <c r="J1" s="640"/>
      <c r="K1" s="641"/>
      <c r="L1" s="641"/>
      <c r="M1" s="640"/>
      <c r="N1" s="640"/>
      <c r="O1" s="641"/>
      <c r="P1" s="640"/>
      <c r="Q1" s="640"/>
      <c r="R1" s="640"/>
      <c r="S1" s="640"/>
      <c r="T1" s="640"/>
      <c r="Y1" s="643"/>
      <c r="Z1" s="643"/>
      <c r="AA1" s="643"/>
      <c r="AB1" s="643"/>
      <c r="AC1" s="643"/>
      <c r="AD1" s="643"/>
    </row>
    <row r="2" spans="1:30" s="642" customFormat="1" ht="18">
      <c r="A2" s="644"/>
      <c r="C2" s="645"/>
      <c r="D2" s="640"/>
      <c r="E2" s="640"/>
      <c r="F2" s="640"/>
      <c r="G2" s="640"/>
      <c r="H2" s="640"/>
      <c r="I2" s="640"/>
      <c r="J2" s="640"/>
      <c r="K2" s="640"/>
      <c r="L2" s="640"/>
      <c r="M2" s="640"/>
      <c r="N2" s="640"/>
      <c r="O2" s="640"/>
      <c r="P2" s="640"/>
      <c r="Q2" s="640"/>
      <c r="R2" s="640"/>
      <c r="S2" s="640"/>
      <c r="T2" s="640"/>
      <c r="Y2" s="643"/>
      <c r="Z2" s="643"/>
      <c r="AA2" s="643"/>
      <c r="AB2" s="643"/>
      <c r="AC2" s="643"/>
      <c r="AD2" s="643"/>
    </row>
    <row r="3" spans="1:30" s="647" customFormat="1" ht="18.75" thickBot="1">
      <c r="A3" s="646" t="s">
        <v>255</v>
      </c>
      <c r="C3" s="648"/>
      <c r="D3" s="649"/>
      <c r="E3" s="649"/>
      <c r="F3" s="649"/>
      <c r="G3" s="649"/>
      <c r="H3" s="649"/>
      <c r="I3" s="649"/>
      <c r="J3" s="649"/>
      <c r="K3" s="649"/>
      <c r="L3" s="649"/>
      <c r="M3" s="649"/>
      <c r="N3" s="649"/>
      <c r="O3" s="649"/>
      <c r="P3" s="649"/>
      <c r="Q3" s="649"/>
      <c r="R3" s="649"/>
      <c r="S3" s="649"/>
      <c r="T3" s="649"/>
      <c r="Y3" s="650"/>
      <c r="Z3" s="650"/>
      <c r="AA3" s="650"/>
      <c r="AB3" s="650"/>
      <c r="AC3" s="650"/>
      <c r="AD3" s="650"/>
    </row>
    <row r="4" spans="1:30">
      <c r="R4" s="654"/>
    </row>
    <row r="5" spans="1:30">
      <c r="D5" s="651"/>
      <c r="E5" s="651"/>
      <c r="F5" s="651"/>
      <c r="G5" s="651"/>
      <c r="H5" s="651"/>
      <c r="I5" s="651"/>
      <c r="J5" s="651"/>
      <c r="K5" s="651"/>
      <c r="L5" s="651"/>
      <c r="M5" s="651"/>
      <c r="N5" s="651"/>
      <c r="O5" s="651"/>
      <c r="P5" s="651"/>
      <c r="Q5" s="651"/>
      <c r="R5" s="654"/>
      <c r="S5" s="651"/>
      <c r="T5" s="651"/>
    </row>
    <row r="6" spans="1:30">
      <c r="B6" s="655" t="s">
        <v>256</v>
      </c>
      <c r="D6" s="651"/>
      <c r="E6" s="651"/>
      <c r="F6" s="651"/>
      <c r="G6" s="651"/>
      <c r="H6" s="651"/>
      <c r="I6" s="651"/>
      <c r="J6" s="651"/>
      <c r="K6" s="651"/>
      <c r="L6" s="651"/>
      <c r="M6" s="651"/>
      <c r="N6" s="651"/>
      <c r="O6" s="651"/>
      <c r="P6" s="651"/>
      <c r="Q6" s="651"/>
      <c r="R6" s="654"/>
      <c r="S6" s="651"/>
      <c r="T6" s="651"/>
    </row>
    <row r="7" spans="1:30" ht="13.5" thickBot="1">
      <c r="D7" s="651"/>
      <c r="E7" s="651"/>
      <c r="F7" s="651"/>
      <c r="G7" s="651"/>
      <c r="H7" s="651"/>
      <c r="I7" s="651"/>
      <c r="J7" s="651"/>
      <c r="K7" s="651"/>
      <c r="L7" s="651"/>
      <c r="M7" s="651"/>
      <c r="N7" s="651"/>
      <c r="O7" s="651"/>
      <c r="P7" s="651"/>
      <c r="Q7" s="651"/>
      <c r="R7" s="654"/>
      <c r="S7" s="651"/>
      <c r="T7" s="651"/>
    </row>
    <row r="8" spans="1:30">
      <c r="B8" s="656"/>
      <c r="C8" s="1906" t="s">
        <v>31</v>
      </c>
      <c r="D8" s="657" t="s">
        <v>116</v>
      </c>
      <c r="E8" s="658"/>
      <c r="F8" s="658"/>
      <c r="G8" s="658"/>
      <c r="H8" s="659"/>
      <c r="I8" s="658" t="s">
        <v>117</v>
      </c>
      <c r="J8" s="660"/>
      <c r="K8" s="660"/>
      <c r="L8" s="660"/>
      <c r="M8" s="659"/>
      <c r="N8" s="651"/>
      <c r="O8" s="661" t="s">
        <v>116</v>
      </c>
      <c r="P8" s="662"/>
      <c r="Q8" s="663"/>
      <c r="R8" s="654"/>
      <c r="S8" s="661" t="s">
        <v>117</v>
      </c>
      <c r="T8" s="663"/>
    </row>
    <row r="9" spans="1:30">
      <c r="B9" s="664"/>
      <c r="C9" s="1907"/>
      <c r="D9" s="665" t="s">
        <v>32</v>
      </c>
      <c r="E9" s="666" t="s">
        <v>33</v>
      </c>
      <c r="F9" s="666" t="s">
        <v>29</v>
      </c>
      <c r="G9" s="666" t="s">
        <v>34</v>
      </c>
      <c r="H9" s="667" t="s">
        <v>35</v>
      </c>
      <c r="I9" s="668" t="s">
        <v>118</v>
      </c>
      <c r="J9" s="666" t="s">
        <v>136</v>
      </c>
      <c r="K9" s="666" t="s">
        <v>137</v>
      </c>
      <c r="L9" s="666" t="s">
        <v>138</v>
      </c>
      <c r="M9" s="667" t="s">
        <v>139</v>
      </c>
      <c r="N9" s="651"/>
      <c r="O9" s="669" t="s">
        <v>126</v>
      </c>
      <c r="P9" s="670" t="s">
        <v>127</v>
      </c>
      <c r="Q9" s="671" t="s">
        <v>246</v>
      </c>
      <c r="R9" s="654"/>
      <c r="S9" s="669" t="s">
        <v>127</v>
      </c>
      <c r="T9" s="671" t="s">
        <v>128</v>
      </c>
    </row>
    <row r="10" spans="1:30">
      <c r="B10" s="672" t="s">
        <v>257</v>
      </c>
      <c r="C10" s="673" t="s">
        <v>14</v>
      </c>
      <c r="D10" s="674">
        <f t="shared" ref="D10:M10" si="0">SUM(D178,D217,D240)</f>
        <v>0</v>
      </c>
      <c r="E10" s="674">
        <f t="shared" si="0"/>
        <v>0</v>
      </c>
      <c r="F10" s="674">
        <f t="shared" si="0"/>
        <v>0</v>
      </c>
      <c r="G10" s="674">
        <f t="shared" si="0"/>
        <v>0</v>
      </c>
      <c r="H10" s="675">
        <f t="shared" si="0"/>
        <v>0</v>
      </c>
      <c r="I10" s="674">
        <f t="shared" si="0"/>
        <v>0</v>
      </c>
      <c r="J10" s="676">
        <f t="shared" si="0"/>
        <v>0</v>
      </c>
      <c r="K10" s="676">
        <f t="shared" si="0"/>
        <v>0</v>
      </c>
      <c r="L10" s="676">
        <f t="shared" si="0"/>
        <v>0</v>
      </c>
      <c r="M10" s="675">
        <f t="shared" si="0"/>
        <v>0</v>
      </c>
      <c r="N10" s="651"/>
      <c r="O10" s="677">
        <f t="shared" ref="O10:O15" si="1">SUM(D10:G10)</f>
        <v>0</v>
      </c>
      <c r="P10" s="678">
        <f t="shared" ref="P10:P15" si="2">SUM(H10)</f>
        <v>0</v>
      </c>
      <c r="Q10" s="679">
        <f t="shared" ref="Q10:Q15" si="3">SUM(D10:H10)</f>
        <v>0</v>
      </c>
      <c r="R10" s="654"/>
      <c r="S10" s="677">
        <f t="shared" ref="S10:S15" si="4">SUM(I10:M10)</f>
        <v>0</v>
      </c>
      <c r="T10" s="680" t="str">
        <f t="shared" ref="T10:T15" si="5">IF(Q10&lt;&gt;0,(S10-Q10)/Q10,"0")</f>
        <v>0</v>
      </c>
    </row>
    <row r="11" spans="1:30">
      <c r="B11" s="672" t="s">
        <v>258</v>
      </c>
      <c r="C11" s="673" t="s">
        <v>14</v>
      </c>
      <c r="D11" s="681">
        <f t="shared" ref="D11:M11" si="6">D240</f>
        <v>0</v>
      </c>
      <c r="E11" s="674">
        <f t="shared" si="6"/>
        <v>0</v>
      </c>
      <c r="F11" s="674">
        <f t="shared" si="6"/>
        <v>0</v>
      </c>
      <c r="G11" s="674">
        <f t="shared" si="6"/>
        <v>0</v>
      </c>
      <c r="H11" s="675">
        <f t="shared" si="6"/>
        <v>0</v>
      </c>
      <c r="I11" s="674">
        <f t="shared" si="6"/>
        <v>0</v>
      </c>
      <c r="J11" s="676">
        <f t="shared" si="6"/>
        <v>0</v>
      </c>
      <c r="K11" s="676">
        <f t="shared" si="6"/>
        <v>0</v>
      </c>
      <c r="L11" s="676">
        <f t="shared" si="6"/>
        <v>0</v>
      </c>
      <c r="M11" s="675">
        <f t="shared" si="6"/>
        <v>0</v>
      </c>
      <c r="N11" s="651"/>
      <c r="O11" s="677">
        <f t="shared" si="1"/>
        <v>0</v>
      </c>
      <c r="P11" s="678">
        <f t="shared" si="2"/>
        <v>0</v>
      </c>
      <c r="Q11" s="679">
        <f t="shared" si="3"/>
        <v>0</v>
      </c>
      <c r="R11" s="654"/>
      <c r="S11" s="677">
        <f t="shared" si="4"/>
        <v>0</v>
      </c>
      <c r="T11" s="680" t="str">
        <f t="shared" si="5"/>
        <v>0</v>
      </c>
    </row>
    <row r="12" spans="1:30">
      <c r="B12" s="682" t="s">
        <v>259</v>
      </c>
      <c r="C12" s="673" t="s">
        <v>14</v>
      </c>
      <c r="D12" s="681">
        <f t="shared" ref="D12:M12" si="7">D263</f>
        <v>0</v>
      </c>
      <c r="E12" s="674">
        <f t="shared" si="7"/>
        <v>0</v>
      </c>
      <c r="F12" s="674">
        <f t="shared" si="7"/>
        <v>0</v>
      </c>
      <c r="G12" s="674">
        <f t="shared" si="7"/>
        <v>0</v>
      </c>
      <c r="H12" s="675">
        <f t="shared" si="7"/>
        <v>0</v>
      </c>
      <c r="I12" s="674">
        <f t="shared" si="7"/>
        <v>0</v>
      </c>
      <c r="J12" s="676">
        <f t="shared" si="7"/>
        <v>0</v>
      </c>
      <c r="K12" s="676">
        <f t="shared" si="7"/>
        <v>0</v>
      </c>
      <c r="L12" s="676">
        <f t="shared" si="7"/>
        <v>0</v>
      </c>
      <c r="M12" s="675">
        <f t="shared" si="7"/>
        <v>0</v>
      </c>
      <c r="N12" s="651"/>
      <c r="O12" s="677">
        <f t="shared" si="1"/>
        <v>0</v>
      </c>
      <c r="P12" s="678">
        <f t="shared" si="2"/>
        <v>0</v>
      </c>
      <c r="Q12" s="679">
        <f t="shared" si="3"/>
        <v>0</v>
      </c>
      <c r="R12" s="654"/>
      <c r="S12" s="677">
        <f t="shared" si="4"/>
        <v>0</v>
      </c>
      <c r="T12" s="680" t="str">
        <f t="shared" si="5"/>
        <v>0</v>
      </c>
    </row>
    <row r="13" spans="1:30">
      <c r="B13" s="672" t="s">
        <v>260</v>
      </c>
      <c r="C13" s="673" t="s">
        <v>14</v>
      </c>
      <c r="D13" s="683">
        <f t="shared" ref="D13:M13" si="8">D11-D12</f>
        <v>0</v>
      </c>
      <c r="E13" s="684">
        <f t="shared" si="8"/>
        <v>0</v>
      </c>
      <c r="F13" s="684">
        <f t="shared" si="8"/>
        <v>0</v>
      </c>
      <c r="G13" s="684">
        <f t="shared" si="8"/>
        <v>0</v>
      </c>
      <c r="H13" s="685">
        <f t="shared" si="8"/>
        <v>0</v>
      </c>
      <c r="I13" s="686">
        <f t="shared" si="8"/>
        <v>0</v>
      </c>
      <c r="J13" s="684">
        <f t="shared" si="8"/>
        <v>0</v>
      </c>
      <c r="K13" s="684">
        <f t="shared" si="8"/>
        <v>0</v>
      </c>
      <c r="L13" s="684">
        <f t="shared" si="8"/>
        <v>0</v>
      </c>
      <c r="M13" s="685">
        <f t="shared" si="8"/>
        <v>0</v>
      </c>
      <c r="N13" s="651"/>
      <c r="O13" s="677">
        <f t="shared" si="1"/>
        <v>0</v>
      </c>
      <c r="P13" s="678">
        <f t="shared" si="2"/>
        <v>0</v>
      </c>
      <c r="Q13" s="679">
        <f t="shared" si="3"/>
        <v>0</v>
      </c>
      <c r="R13" s="654"/>
      <c r="S13" s="677">
        <f t="shared" si="4"/>
        <v>0</v>
      </c>
      <c r="T13" s="680" t="str">
        <f t="shared" si="5"/>
        <v>0</v>
      </c>
    </row>
    <row r="14" spans="1:30">
      <c r="B14" s="672" t="s">
        <v>261</v>
      </c>
      <c r="C14" s="673" t="s">
        <v>14</v>
      </c>
      <c r="D14" s="687"/>
      <c r="E14" s="687"/>
      <c r="F14" s="687"/>
      <c r="G14" s="687"/>
      <c r="H14" s="687"/>
      <c r="I14" s="687"/>
      <c r="J14" s="687"/>
      <c r="K14" s="687"/>
      <c r="L14" s="687"/>
      <c r="M14" s="687"/>
      <c r="N14" s="651"/>
      <c r="O14" s="677">
        <f t="shared" si="1"/>
        <v>0</v>
      </c>
      <c r="P14" s="678">
        <f t="shared" si="2"/>
        <v>0</v>
      </c>
      <c r="Q14" s="679">
        <f t="shared" si="3"/>
        <v>0</v>
      </c>
      <c r="R14" s="654"/>
      <c r="S14" s="677">
        <f t="shared" si="4"/>
        <v>0</v>
      </c>
      <c r="T14" s="680" t="str">
        <f t="shared" si="5"/>
        <v>0</v>
      </c>
    </row>
    <row r="15" spans="1:30">
      <c r="B15" s="672" t="s">
        <v>262</v>
      </c>
      <c r="C15" s="673" t="s">
        <v>14</v>
      </c>
      <c r="D15" s="688">
        <f t="shared" ref="D15:M15" si="9">D13+D14</f>
        <v>0</v>
      </c>
      <c r="E15" s="689">
        <f t="shared" si="9"/>
        <v>0</v>
      </c>
      <c r="F15" s="689">
        <f t="shared" si="9"/>
        <v>0</v>
      </c>
      <c r="G15" s="689">
        <f t="shared" si="9"/>
        <v>0</v>
      </c>
      <c r="H15" s="690">
        <f t="shared" si="9"/>
        <v>0</v>
      </c>
      <c r="I15" s="689">
        <f t="shared" si="9"/>
        <v>0</v>
      </c>
      <c r="J15" s="691">
        <f t="shared" si="9"/>
        <v>0</v>
      </c>
      <c r="K15" s="691">
        <f t="shared" si="9"/>
        <v>0</v>
      </c>
      <c r="L15" s="691">
        <f t="shared" si="9"/>
        <v>0</v>
      </c>
      <c r="M15" s="690">
        <f t="shared" si="9"/>
        <v>0</v>
      </c>
      <c r="N15" s="651"/>
      <c r="O15" s="677">
        <f t="shared" si="1"/>
        <v>0</v>
      </c>
      <c r="P15" s="678">
        <f t="shared" si="2"/>
        <v>0</v>
      </c>
      <c r="Q15" s="679">
        <f t="shared" si="3"/>
        <v>0</v>
      </c>
      <c r="R15" s="654"/>
      <c r="S15" s="677">
        <f t="shared" si="4"/>
        <v>0</v>
      </c>
      <c r="T15" s="680" t="str">
        <f t="shared" si="5"/>
        <v>0</v>
      </c>
    </row>
    <row r="16" spans="1:30" ht="13.5" thickBot="1">
      <c r="B16" s="692" t="s">
        <v>619</v>
      </c>
      <c r="C16" s="693"/>
      <c r="D16" s="694" t="str">
        <f t="shared" ref="D16:M16" si="10">IF(D13-SUM(D31,D35,D39,D43)=0,"OK","ERROR")</f>
        <v>OK</v>
      </c>
      <c r="E16" s="695" t="str">
        <f t="shared" si="10"/>
        <v>OK</v>
      </c>
      <c r="F16" s="695" t="str">
        <f t="shared" si="10"/>
        <v>OK</v>
      </c>
      <c r="G16" s="695" t="str">
        <f t="shared" si="10"/>
        <v>OK</v>
      </c>
      <c r="H16" s="696" t="str">
        <f t="shared" si="10"/>
        <v>OK</v>
      </c>
      <c r="I16" s="695" t="str">
        <f t="shared" si="10"/>
        <v>OK</v>
      </c>
      <c r="J16" s="697" t="str">
        <f t="shared" si="10"/>
        <v>OK</v>
      </c>
      <c r="K16" s="697" t="str">
        <f t="shared" si="10"/>
        <v>OK</v>
      </c>
      <c r="L16" s="697" t="str">
        <f t="shared" si="10"/>
        <v>OK</v>
      </c>
      <c r="M16" s="696" t="str">
        <f t="shared" si="10"/>
        <v>OK</v>
      </c>
      <c r="N16" s="651"/>
      <c r="O16" s="698"/>
      <c r="P16" s="699"/>
      <c r="Q16" s="700"/>
      <c r="R16" s="654"/>
      <c r="S16" s="698"/>
      <c r="T16" s="701"/>
    </row>
    <row r="17" spans="2:20" ht="13.5" thickBot="1">
      <c r="D17" s="651"/>
      <c r="E17" s="651"/>
      <c r="F17" s="651"/>
      <c r="G17" s="651"/>
      <c r="H17" s="651"/>
      <c r="I17" s="651"/>
      <c r="J17" s="651"/>
      <c r="K17" s="651"/>
      <c r="L17" s="651"/>
      <c r="M17" s="651"/>
      <c r="N17" s="651"/>
      <c r="O17" s="651"/>
      <c r="P17" s="651"/>
      <c r="Q17" s="651"/>
      <c r="R17" s="654"/>
      <c r="S17" s="651"/>
      <c r="T17" s="651"/>
    </row>
    <row r="18" spans="2:20">
      <c r="B18" s="656"/>
      <c r="C18" s="1906" t="s">
        <v>31</v>
      </c>
      <c r="D18" s="657" t="s">
        <v>116</v>
      </c>
      <c r="E18" s="658"/>
      <c r="F18" s="658"/>
      <c r="G18" s="658"/>
      <c r="H18" s="659"/>
      <c r="I18" s="658" t="s">
        <v>117</v>
      </c>
      <c r="J18" s="660"/>
      <c r="K18" s="660"/>
      <c r="L18" s="660"/>
      <c r="M18" s="659"/>
      <c r="N18" s="651"/>
      <c r="O18" s="661" t="s">
        <v>116</v>
      </c>
      <c r="P18" s="662"/>
      <c r="Q18" s="663"/>
      <c r="R18" s="654"/>
      <c r="S18" s="661" t="s">
        <v>117</v>
      </c>
      <c r="T18" s="663"/>
    </row>
    <row r="19" spans="2:20">
      <c r="B19" s="664"/>
      <c r="C19" s="1907"/>
      <c r="D19" s="665" t="s">
        <v>32</v>
      </c>
      <c r="E19" s="666" t="s">
        <v>33</v>
      </c>
      <c r="F19" s="666" t="s">
        <v>29</v>
      </c>
      <c r="G19" s="666" t="s">
        <v>34</v>
      </c>
      <c r="H19" s="667" t="s">
        <v>35</v>
      </c>
      <c r="I19" s="668" t="s">
        <v>118</v>
      </c>
      <c r="J19" s="666" t="s">
        <v>136</v>
      </c>
      <c r="K19" s="666" t="s">
        <v>137</v>
      </c>
      <c r="L19" s="666" t="s">
        <v>138</v>
      </c>
      <c r="M19" s="667" t="s">
        <v>139</v>
      </c>
      <c r="N19" s="651"/>
      <c r="O19" s="669" t="s">
        <v>126</v>
      </c>
      <c r="P19" s="670" t="s">
        <v>127</v>
      </c>
      <c r="Q19" s="671" t="s">
        <v>246</v>
      </c>
      <c r="R19" s="654"/>
      <c r="S19" s="669" t="s">
        <v>127</v>
      </c>
      <c r="T19" s="671" t="s">
        <v>128</v>
      </c>
    </row>
    <row r="20" spans="2:20">
      <c r="B20" s="672" t="s">
        <v>263</v>
      </c>
      <c r="C20" s="673" t="s">
        <v>14</v>
      </c>
      <c r="D20" s="687"/>
      <c r="E20" s="702"/>
      <c r="F20" s="702"/>
      <c r="G20" s="702"/>
      <c r="H20" s="703"/>
      <c r="I20" s="702"/>
      <c r="J20" s="704"/>
      <c r="K20" s="704"/>
      <c r="L20" s="704"/>
      <c r="M20" s="703"/>
      <c r="N20" s="651"/>
      <c r="O20" s="677">
        <f>SUM(D20:G20)</f>
        <v>0</v>
      </c>
      <c r="P20" s="678">
        <f>SUM(H20)</f>
        <v>0</v>
      </c>
      <c r="Q20" s="679">
        <f>SUM(D20:H20)</f>
        <v>0</v>
      </c>
      <c r="R20" s="654"/>
      <c r="S20" s="677">
        <f>SUM(I20:M20)</f>
        <v>0</v>
      </c>
      <c r="T20" s="680" t="str">
        <f>IF(Q20&lt;&gt;0,(S20-Q20)/Q20,"0")</f>
        <v>0</v>
      </c>
    </row>
    <row r="21" spans="2:20">
      <c r="B21" s="672" t="s">
        <v>264</v>
      </c>
      <c r="C21" s="673" t="s">
        <v>14</v>
      </c>
      <c r="D21" s="687"/>
      <c r="E21" s="702"/>
      <c r="F21" s="702"/>
      <c r="G21" s="702"/>
      <c r="H21" s="703"/>
      <c r="I21" s="702"/>
      <c r="J21" s="704"/>
      <c r="K21" s="704"/>
      <c r="L21" s="704"/>
      <c r="M21" s="703"/>
      <c r="N21" s="651"/>
      <c r="O21" s="677">
        <f>SUM(D21:G21)</f>
        <v>0</v>
      </c>
      <c r="P21" s="678">
        <f>SUM(H21)</f>
        <v>0</v>
      </c>
      <c r="Q21" s="679">
        <f>SUM(D21:H21)</f>
        <v>0</v>
      </c>
      <c r="R21" s="654"/>
      <c r="S21" s="677">
        <f>SUM(I21:M21)</f>
        <v>0</v>
      </c>
      <c r="T21" s="680" t="str">
        <f>IF(Q21&lt;&gt;0,(S21-Q21)/Q21,"0")</f>
        <v>0</v>
      </c>
    </row>
    <row r="22" spans="2:20" ht="13.5" thickBot="1">
      <c r="B22" s="692" t="s">
        <v>246</v>
      </c>
      <c r="C22" s="693" t="s">
        <v>14</v>
      </c>
      <c r="D22" s="705">
        <f t="shared" ref="D22:M22" si="11">D20+D21</f>
        <v>0</v>
      </c>
      <c r="E22" s="706">
        <f t="shared" si="11"/>
        <v>0</v>
      </c>
      <c r="F22" s="706">
        <f t="shared" si="11"/>
        <v>0</v>
      </c>
      <c r="G22" s="706">
        <f t="shared" si="11"/>
        <v>0</v>
      </c>
      <c r="H22" s="707">
        <f t="shared" si="11"/>
        <v>0</v>
      </c>
      <c r="I22" s="706">
        <f t="shared" si="11"/>
        <v>0</v>
      </c>
      <c r="J22" s="708">
        <f t="shared" si="11"/>
        <v>0</v>
      </c>
      <c r="K22" s="708">
        <f t="shared" si="11"/>
        <v>0</v>
      </c>
      <c r="L22" s="708">
        <f t="shared" si="11"/>
        <v>0</v>
      </c>
      <c r="M22" s="707">
        <f t="shared" si="11"/>
        <v>0</v>
      </c>
      <c r="N22" s="651"/>
      <c r="O22" s="709">
        <f>SUM(D22:G22)</f>
        <v>0</v>
      </c>
      <c r="P22" s="710">
        <f>SUM(H22)</f>
        <v>0</v>
      </c>
      <c r="Q22" s="711">
        <f>SUM(D22:H22)</f>
        <v>0</v>
      </c>
      <c r="R22" s="654"/>
      <c r="S22" s="709">
        <f>SUM(I22:M22)</f>
        <v>0</v>
      </c>
      <c r="T22" s="712" t="str">
        <f>IF(Q22&lt;&gt;0,(S22-Q22)/Q22,"0")</f>
        <v>0</v>
      </c>
    </row>
    <row r="23" spans="2:20">
      <c r="D23" s="651"/>
      <c r="E23" s="651"/>
      <c r="F23" s="651"/>
      <c r="G23" s="651"/>
      <c r="H23" s="651"/>
      <c r="I23" s="651"/>
      <c r="J23" s="651"/>
      <c r="K23" s="651"/>
      <c r="L23" s="651"/>
      <c r="M23" s="651"/>
      <c r="N23" s="651"/>
      <c r="O23" s="651"/>
      <c r="P23" s="651"/>
      <c r="Q23" s="651"/>
      <c r="R23" s="654"/>
      <c r="S23" s="651"/>
      <c r="T23" s="651"/>
    </row>
    <row r="24" spans="2:20">
      <c r="B24" s="713" t="s">
        <v>265</v>
      </c>
      <c r="C24" s="714"/>
      <c r="D24" s="715"/>
      <c r="E24" s="715"/>
      <c r="F24" s="715"/>
      <c r="G24" s="715"/>
      <c r="H24" s="715"/>
      <c r="I24" s="715"/>
      <c r="J24" s="715"/>
      <c r="K24" s="715"/>
      <c r="L24" s="715"/>
      <c r="M24" s="715"/>
      <c r="N24" s="654"/>
      <c r="O24" s="715"/>
      <c r="P24" s="715"/>
      <c r="Q24" s="715"/>
      <c r="R24" s="654"/>
      <c r="S24" s="715"/>
      <c r="T24" s="715"/>
    </row>
    <row r="25" spans="2:20" ht="13.5" thickBot="1">
      <c r="B25" s="713"/>
      <c r="C25" s="714"/>
      <c r="D25" s="715"/>
      <c r="E25" s="715"/>
      <c r="F25" s="715"/>
      <c r="G25" s="715"/>
      <c r="H25" s="715"/>
      <c r="I25" s="715"/>
      <c r="J25" s="715"/>
      <c r="K25" s="715"/>
      <c r="L25" s="715"/>
      <c r="M25" s="715"/>
      <c r="N25" s="654"/>
      <c r="O25" s="715"/>
      <c r="P25" s="715"/>
      <c r="Q25" s="715"/>
      <c r="R25" s="654"/>
      <c r="S25" s="715"/>
      <c r="T25" s="715"/>
    </row>
    <row r="26" spans="2:20">
      <c r="B26" s="1904" t="s">
        <v>266</v>
      </c>
      <c r="C26" s="1906" t="s">
        <v>31</v>
      </c>
      <c r="D26" s="657" t="s">
        <v>116</v>
      </c>
      <c r="E26" s="658"/>
      <c r="F26" s="658"/>
      <c r="G26" s="658"/>
      <c r="H26" s="659"/>
      <c r="I26" s="658" t="s">
        <v>117</v>
      </c>
      <c r="J26" s="660"/>
      <c r="K26" s="660"/>
      <c r="L26" s="660"/>
      <c r="M26" s="659"/>
      <c r="N26" s="654"/>
      <c r="O26" s="661" t="s">
        <v>116</v>
      </c>
      <c r="P26" s="662"/>
      <c r="Q26" s="663"/>
      <c r="R26" s="654"/>
      <c r="S26" s="661" t="s">
        <v>117</v>
      </c>
      <c r="T26" s="663"/>
    </row>
    <row r="27" spans="2:20">
      <c r="B27" s="1905"/>
      <c r="C27" s="1907"/>
      <c r="D27" s="665" t="s">
        <v>32</v>
      </c>
      <c r="E27" s="666" t="s">
        <v>33</v>
      </c>
      <c r="F27" s="666" t="s">
        <v>29</v>
      </c>
      <c r="G27" s="666" t="s">
        <v>34</v>
      </c>
      <c r="H27" s="667" t="s">
        <v>35</v>
      </c>
      <c r="I27" s="668" t="s">
        <v>118</v>
      </c>
      <c r="J27" s="666" t="s">
        <v>136</v>
      </c>
      <c r="K27" s="666" t="s">
        <v>137</v>
      </c>
      <c r="L27" s="666" t="s">
        <v>138</v>
      </c>
      <c r="M27" s="667" t="s">
        <v>139</v>
      </c>
      <c r="N27" s="654"/>
      <c r="O27" s="669" t="s">
        <v>126</v>
      </c>
      <c r="P27" s="670" t="s">
        <v>127</v>
      </c>
      <c r="Q27" s="671" t="s">
        <v>246</v>
      </c>
      <c r="R27" s="654"/>
      <c r="S27" s="669" t="s">
        <v>127</v>
      </c>
      <c r="T27" s="671" t="s">
        <v>128</v>
      </c>
    </row>
    <row r="28" spans="2:20">
      <c r="B28" s="716" t="s">
        <v>141</v>
      </c>
      <c r="C28" s="717"/>
      <c r="D28" s="718"/>
      <c r="E28" s="719"/>
      <c r="F28" s="719"/>
      <c r="G28" s="719"/>
      <c r="H28" s="720"/>
      <c r="I28" s="719"/>
      <c r="J28" s="719"/>
      <c r="K28" s="719"/>
      <c r="L28" s="719"/>
      <c r="M28" s="720"/>
      <c r="N28" s="654"/>
      <c r="O28" s="721"/>
      <c r="P28" s="722"/>
      <c r="Q28" s="723"/>
      <c r="R28" s="654"/>
      <c r="S28" s="718"/>
      <c r="T28" s="720"/>
    </row>
    <row r="29" spans="2:20">
      <c r="B29" s="724" t="s">
        <v>267</v>
      </c>
      <c r="C29" s="725" t="s">
        <v>14</v>
      </c>
      <c r="D29" s="726"/>
      <c r="E29" s="727"/>
      <c r="F29" s="727"/>
      <c r="G29" s="727"/>
      <c r="H29" s="728"/>
      <c r="I29" s="729">
        <f t="shared" ref="I29:M30" si="12">I225-I248</f>
        <v>0</v>
      </c>
      <c r="J29" s="730">
        <f t="shared" si="12"/>
        <v>0</v>
      </c>
      <c r="K29" s="730">
        <f t="shared" si="12"/>
        <v>0</v>
      </c>
      <c r="L29" s="730">
        <f t="shared" si="12"/>
        <v>0</v>
      </c>
      <c r="M29" s="731">
        <f t="shared" si="12"/>
        <v>0</v>
      </c>
      <c r="N29" s="654"/>
      <c r="O29" s="698"/>
      <c r="P29" s="699"/>
      <c r="Q29" s="700"/>
      <c r="R29" s="654"/>
      <c r="S29" s="698"/>
      <c r="T29" s="701"/>
    </row>
    <row r="30" spans="2:20">
      <c r="B30" s="724" t="s">
        <v>268</v>
      </c>
      <c r="C30" s="725" t="s">
        <v>14</v>
      </c>
      <c r="D30" s="726"/>
      <c r="E30" s="727"/>
      <c r="F30" s="727"/>
      <c r="G30" s="727"/>
      <c r="H30" s="728"/>
      <c r="I30" s="729">
        <f t="shared" si="12"/>
        <v>0</v>
      </c>
      <c r="J30" s="730">
        <f t="shared" si="12"/>
        <v>0</v>
      </c>
      <c r="K30" s="730">
        <f t="shared" si="12"/>
        <v>0</v>
      </c>
      <c r="L30" s="730">
        <f t="shared" si="12"/>
        <v>0</v>
      </c>
      <c r="M30" s="731">
        <f t="shared" si="12"/>
        <v>0</v>
      </c>
      <c r="N30" s="654"/>
      <c r="O30" s="698"/>
      <c r="P30" s="699"/>
      <c r="Q30" s="700"/>
      <c r="R30" s="654"/>
      <c r="S30" s="698"/>
      <c r="T30" s="701"/>
    </row>
    <row r="31" spans="2:20">
      <c r="B31" s="732" t="s">
        <v>865</v>
      </c>
      <c r="C31" s="725" t="s">
        <v>14</v>
      </c>
      <c r="D31" s="677">
        <f>D227-D250</f>
        <v>0</v>
      </c>
      <c r="E31" s="733">
        <f>E227-E250</f>
        <v>0</v>
      </c>
      <c r="F31" s="733">
        <f>F227-F250</f>
        <v>0</v>
      </c>
      <c r="G31" s="733">
        <f>G227-G250</f>
        <v>0</v>
      </c>
      <c r="H31" s="679">
        <f>H227-H250</f>
        <v>0</v>
      </c>
      <c r="I31" s="733">
        <f>SUM(I29:I30)</f>
        <v>0</v>
      </c>
      <c r="J31" s="678">
        <f>SUM(J29:J30)</f>
        <v>0</v>
      </c>
      <c r="K31" s="678">
        <f>SUM(K29:K30)</f>
        <v>0</v>
      </c>
      <c r="L31" s="678">
        <f>SUM(L29:L30)</f>
        <v>0</v>
      </c>
      <c r="M31" s="679">
        <f>SUM(M29:M30)</f>
        <v>0</v>
      </c>
      <c r="N31" s="654"/>
      <c r="O31" s="677">
        <f>SUM(D31:G31)</f>
        <v>0</v>
      </c>
      <c r="P31" s="678">
        <f>SUM(H31)</f>
        <v>0</v>
      </c>
      <c r="Q31" s="679">
        <f>SUM(D31:H31)</f>
        <v>0</v>
      </c>
      <c r="R31" s="654"/>
      <c r="S31" s="677">
        <f>SUM(I31:M31)</f>
        <v>0</v>
      </c>
      <c r="T31" s="680" t="str">
        <f>IF(Q31&lt;&gt;0,(S31-Q31)/Q31,"0")</f>
        <v>0</v>
      </c>
    </row>
    <row r="32" spans="2:20">
      <c r="B32" s="716" t="s">
        <v>877</v>
      </c>
      <c r="C32" s="734"/>
      <c r="D32" s="735"/>
      <c r="E32" s="736"/>
      <c r="F32" s="736"/>
      <c r="G32" s="736"/>
      <c r="H32" s="737"/>
      <c r="I32" s="736"/>
      <c r="J32" s="736"/>
      <c r="K32" s="736"/>
      <c r="L32" s="736"/>
      <c r="M32" s="737"/>
      <c r="N32" s="654"/>
      <c r="O32" s="738"/>
      <c r="P32" s="736"/>
      <c r="Q32" s="737"/>
      <c r="R32" s="654"/>
      <c r="S32" s="735"/>
      <c r="T32" s="737"/>
    </row>
    <row r="33" spans="2:20">
      <c r="B33" s="724" t="s">
        <v>269</v>
      </c>
      <c r="C33" s="725" t="s">
        <v>14</v>
      </c>
      <c r="D33" s="726"/>
      <c r="E33" s="727"/>
      <c r="F33" s="727"/>
      <c r="G33" s="727"/>
      <c r="H33" s="728"/>
      <c r="I33" s="729">
        <f t="shared" ref="I33:M34" si="13">I229-I252</f>
        <v>0</v>
      </c>
      <c r="J33" s="730">
        <f t="shared" si="13"/>
        <v>0</v>
      </c>
      <c r="K33" s="730">
        <f t="shared" si="13"/>
        <v>0</v>
      </c>
      <c r="L33" s="730">
        <f t="shared" si="13"/>
        <v>0</v>
      </c>
      <c r="M33" s="731">
        <f t="shared" si="13"/>
        <v>0</v>
      </c>
      <c r="N33" s="654"/>
      <c r="O33" s="698"/>
      <c r="P33" s="699"/>
      <c r="Q33" s="700"/>
      <c r="R33" s="654"/>
      <c r="S33" s="698"/>
      <c r="T33" s="701"/>
    </row>
    <row r="34" spans="2:20">
      <c r="B34" s="724" t="s">
        <v>270</v>
      </c>
      <c r="C34" s="725" t="s">
        <v>14</v>
      </c>
      <c r="D34" s="726"/>
      <c r="E34" s="727"/>
      <c r="F34" s="727"/>
      <c r="G34" s="727"/>
      <c r="H34" s="728"/>
      <c r="I34" s="729">
        <f t="shared" si="13"/>
        <v>0</v>
      </c>
      <c r="J34" s="730">
        <f t="shared" si="13"/>
        <v>0</v>
      </c>
      <c r="K34" s="730">
        <f t="shared" si="13"/>
        <v>0</v>
      </c>
      <c r="L34" s="730">
        <f t="shared" si="13"/>
        <v>0</v>
      </c>
      <c r="M34" s="731">
        <f t="shared" si="13"/>
        <v>0</v>
      </c>
      <c r="N34" s="654"/>
      <c r="O34" s="698"/>
      <c r="P34" s="699"/>
      <c r="Q34" s="700"/>
      <c r="R34" s="654"/>
      <c r="S34" s="698"/>
      <c r="T34" s="701"/>
    </row>
    <row r="35" spans="2:20">
      <c r="B35" s="732" t="s">
        <v>866</v>
      </c>
      <c r="C35" s="725" t="s">
        <v>14</v>
      </c>
      <c r="D35" s="677">
        <f>D231-D254</f>
        <v>0</v>
      </c>
      <c r="E35" s="733">
        <f>E231-E254</f>
        <v>0</v>
      </c>
      <c r="F35" s="733">
        <f>F231-F254</f>
        <v>0</v>
      </c>
      <c r="G35" s="733">
        <f>G231-G254</f>
        <v>0</v>
      </c>
      <c r="H35" s="679">
        <f>H231-H254</f>
        <v>0</v>
      </c>
      <c r="I35" s="733">
        <f>SUM(I33:I34)</f>
        <v>0</v>
      </c>
      <c r="J35" s="678">
        <f>SUM(J33:J34)</f>
        <v>0</v>
      </c>
      <c r="K35" s="678">
        <f>SUM(K33:K34)</f>
        <v>0</v>
      </c>
      <c r="L35" s="678">
        <f>SUM(L33:L34)</f>
        <v>0</v>
      </c>
      <c r="M35" s="679">
        <f>SUM(M33:M34)</f>
        <v>0</v>
      </c>
      <c r="N35" s="654"/>
      <c r="O35" s="677">
        <f>SUM(D35:G35)</f>
        <v>0</v>
      </c>
      <c r="P35" s="678">
        <f>SUM(H35)</f>
        <v>0</v>
      </c>
      <c r="Q35" s="679">
        <f>SUM(D35:H35)</f>
        <v>0</v>
      </c>
      <c r="R35" s="654"/>
      <c r="S35" s="677">
        <f>SUM(I35:M35)</f>
        <v>0</v>
      </c>
      <c r="T35" s="680" t="str">
        <f>IF(Q35&lt;&gt;0,(S35-Q35)/Q35,"0")</f>
        <v>0</v>
      </c>
    </row>
    <row r="36" spans="2:20">
      <c r="B36" s="716" t="s">
        <v>714</v>
      </c>
      <c r="C36" s="734"/>
      <c r="D36" s="735"/>
      <c r="E36" s="736"/>
      <c r="F36" s="736"/>
      <c r="G36" s="736"/>
      <c r="H36" s="737"/>
      <c r="I36" s="736"/>
      <c r="J36" s="736"/>
      <c r="K36" s="736"/>
      <c r="L36" s="736"/>
      <c r="M36" s="737"/>
      <c r="N36" s="654"/>
      <c r="O36" s="735"/>
      <c r="P36" s="736"/>
      <c r="Q36" s="737"/>
      <c r="R36" s="654"/>
      <c r="S36" s="735"/>
      <c r="T36" s="737"/>
    </row>
    <row r="37" spans="2:20">
      <c r="B37" s="724" t="s">
        <v>271</v>
      </c>
      <c r="C37" s="725" t="s">
        <v>14</v>
      </c>
      <c r="D37" s="726"/>
      <c r="E37" s="727"/>
      <c r="F37" s="727"/>
      <c r="G37" s="727"/>
      <c r="H37" s="728"/>
      <c r="I37" s="729">
        <f t="shared" ref="I37:M38" si="14">I233-I256</f>
        <v>0</v>
      </c>
      <c r="J37" s="730">
        <f t="shared" si="14"/>
        <v>0</v>
      </c>
      <c r="K37" s="730">
        <f t="shared" si="14"/>
        <v>0</v>
      </c>
      <c r="L37" s="730">
        <f t="shared" si="14"/>
        <v>0</v>
      </c>
      <c r="M37" s="731">
        <f t="shared" si="14"/>
        <v>0</v>
      </c>
      <c r="N37" s="654"/>
      <c r="O37" s="698"/>
      <c r="P37" s="699"/>
      <c r="Q37" s="700"/>
      <c r="R37" s="654"/>
      <c r="S37" s="698"/>
      <c r="T37" s="701"/>
    </row>
    <row r="38" spans="2:20">
      <c r="B38" s="724" t="s">
        <v>272</v>
      </c>
      <c r="C38" s="725" t="s">
        <v>14</v>
      </c>
      <c r="D38" s="726"/>
      <c r="E38" s="727"/>
      <c r="F38" s="727"/>
      <c r="G38" s="727"/>
      <c r="H38" s="728"/>
      <c r="I38" s="729">
        <f t="shared" si="14"/>
        <v>0</v>
      </c>
      <c r="J38" s="730">
        <f t="shared" si="14"/>
        <v>0</v>
      </c>
      <c r="K38" s="730">
        <f t="shared" si="14"/>
        <v>0</v>
      </c>
      <c r="L38" s="730">
        <f t="shared" si="14"/>
        <v>0</v>
      </c>
      <c r="M38" s="731">
        <f t="shared" si="14"/>
        <v>0</v>
      </c>
      <c r="N38" s="654"/>
      <c r="O38" s="698"/>
      <c r="P38" s="699"/>
      <c r="Q38" s="700"/>
      <c r="R38" s="654"/>
      <c r="S38" s="698"/>
      <c r="T38" s="701"/>
    </row>
    <row r="39" spans="2:20">
      <c r="B39" s="732" t="s">
        <v>867</v>
      </c>
      <c r="C39" s="725" t="s">
        <v>14</v>
      </c>
      <c r="D39" s="677">
        <f>D235-D258</f>
        <v>0</v>
      </c>
      <c r="E39" s="733">
        <f>E235-E258</f>
        <v>0</v>
      </c>
      <c r="F39" s="733">
        <f>F235-F258</f>
        <v>0</v>
      </c>
      <c r="G39" s="733">
        <f>G235-G258</f>
        <v>0</v>
      </c>
      <c r="H39" s="679">
        <f>H235-H258</f>
        <v>0</v>
      </c>
      <c r="I39" s="733">
        <f>SUM(I37:I38)</f>
        <v>0</v>
      </c>
      <c r="J39" s="678">
        <f>SUM(J37:J38)</f>
        <v>0</v>
      </c>
      <c r="K39" s="678">
        <f>SUM(K37:K38)</f>
        <v>0</v>
      </c>
      <c r="L39" s="678">
        <f>SUM(L37:L38)</f>
        <v>0</v>
      </c>
      <c r="M39" s="679">
        <f>SUM(M37:M38)</f>
        <v>0</v>
      </c>
      <c r="N39" s="654"/>
      <c r="O39" s="677">
        <f>SUM(D39:G39)</f>
        <v>0</v>
      </c>
      <c r="P39" s="678">
        <f>SUM(H39)</f>
        <v>0</v>
      </c>
      <c r="Q39" s="679">
        <f>SUM(D39:H39)</f>
        <v>0</v>
      </c>
      <c r="R39" s="654"/>
      <c r="S39" s="677">
        <f>SUM(I39:M39)</f>
        <v>0</v>
      </c>
      <c r="T39" s="680" t="str">
        <f>IF(Q39&lt;&gt;0,(S39-Q39)/Q39,"0")</f>
        <v>0</v>
      </c>
    </row>
    <row r="40" spans="2:20">
      <c r="B40" s="716" t="s">
        <v>605</v>
      </c>
      <c r="C40" s="734"/>
      <c r="D40" s="735"/>
      <c r="E40" s="736"/>
      <c r="F40" s="736"/>
      <c r="G40" s="736"/>
      <c r="H40" s="737"/>
      <c r="I40" s="736"/>
      <c r="J40" s="736"/>
      <c r="K40" s="736"/>
      <c r="L40" s="736"/>
      <c r="M40" s="737"/>
      <c r="N40" s="654"/>
      <c r="O40" s="735"/>
      <c r="P40" s="736"/>
      <c r="Q40" s="737"/>
      <c r="R40" s="654"/>
      <c r="S40" s="735"/>
      <c r="T40" s="737"/>
    </row>
    <row r="41" spans="2:20">
      <c r="B41" s="724" t="s">
        <v>273</v>
      </c>
      <c r="C41" s="725" t="s">
        <v>14</v>
      </c>
      <c r="D41" s="726"/>
      <c r="E41" s="727"/>
      <c r="F41" s="727"/>
      <c r="G41" s="727"/>
      <c r="H41" s="728"/>
      <c r="I41" s="729">
        <f t="shared" ref="I41:M42" si="15">I237-I260</f>
        <v>0</v>
      </c>
      <c r="J41" s="730">
        <f t="shared" si="15"/>
        <v>0</v>
      </c>
      <c r="K41" s="730">
        <f t="shared" si="15"/>
        <v>0</v>
      </c>
      <c r="L41" s="730">
        <f t="shared" si="15"/>
        <v>0</v>
      </c>
      <c r="M41" s="731">
        <f t="shared" si="15"/>
        <v>0</v>
      </c>
      <c r="N41" s="654"/>
      <c r="O41" s="698"/>
      <c r="P41" s="699"/>
      <c r="Q41" s="700"/>
      <c r="R41" s="654"/>
      <c r="S41" s="698"/>
      <c r="T41" s="701"/>
    </row>
    <row r="42" spans="2:20">
      <c r="B42" s="724" t="s">
        <v>274</v>
      </c>
      <c r="C42" s="725" t="s">
        <v>14</v>
      </c>
      <c r="D42" s="726"/>
      <c r="E42" s="727"/>
      <c r="F42" s="727"/>
      <c r="G42" s="727"/>
      <c r="H42" s="728"/>
      <c r="I42" s="729">
        <f t="shared" si="15"/>
        <v>0</v>
      </c>
      <c r="J42" s="730">
        <f t="shared" si="15"/>
        <v>0</v>
      </c>
      <c r="K42" s="730">
        <f t="shared" si="15"/>
        <v>0</v>
      </c>
      <c r="L42" s="730">
        <f t="shared" si="15"/>
        <v>0</v>
      </c>
      <c r="M42" s="731">
        <f t="shared" si="15"/>
        <v>0</v>
      </c>
      <c r="N42" s="654"/>
      <c r="O42" s="698"/>
      <c r="P42" s="699"/>
      <c r="Q42" s="700"/>
      <c r="R42" s="654"/>
      <c r="S42" s="698"/>
      <c r="T42" s="701"/>
    </row>
    <row r="43" spans="2:20" ht="13.5" thickBot="1">
      <c r="B43" s="739" t="s">
        <v>700</v>
      </c>
      <c r="C43" s="740" t="s">
        <v>14</v>
      </c>
      <c r="D43" s="709">
        <f>D239-D262</f>
        <v>0</v>
      </c>
      <c r="E43" s="741">
        <f>E239-E262</f>
        <v>0</v>
      </c>
      <c r="F43" s="741">
        <f>F239-F262</f>
        <v>0</v>
      </c>
      <c r="G43" s="741">
        <f>G239-G262</f>
        <v>0</v>
      </c>
      <c r="H43" s="711">
        <f>H239-H262</f>
        <v>0</v>
      </c>
      <c r="I43" s="741">
        <f>SUM(I41:I42)</f>
        <v>0</v>
      </c>
      <c r="J43" s="710">
        <f>SUM(J41:J42)</f>
        <v>0</v>
      </c>
      <c r="K43" s="710">
        <f>SUM(K41:K42)</f>
        <v>0</v>
      </c>
      <c r="L43" s="710">
        <f>SUM(L41:L42)</f>
        <v>0</v>
      </c>
      <c r="M43" s="711">
        <f>SUM(M41:M42)</f>
        <v>0</v>
      </c>
      <c r="N43" s="654"/>
      <c r="O43" s="677">
        <f>SUM(D43:G43)</f>
        <v>0</v>
      </c>
      <c r="P43" s="678">
        <f>SUM(H43)</f>
        <v>0</v>
      </c>
      <c r="Q43" s="679">
        <f>SUM(D43:H43)</f>
        <v>0</v>
      </c>
      <c r="R43" s="654"/>
      <c r="S43" s="677">
        <f>SUM(I43:M43)</f>
        <v>0</v>
      </c>
      <c r="T43" s="680" t="str">
        <f>IF(Q43&lt;&gt;0,(S43-Q43)/Q43,"0")</f>
        <v>0</v>
      </c>
    </row>
    <row r="44" spans="2:20">
      <c r="D44" s="651"/>
      <c r="E44" s="651"/>
      <c r="F44" s="651"/>
      <c r="G44" s="651"/>
      <c r="H44" s="651"/>
      <c r="I44" s="651"/>
      <c r="J44" s="651"/>
      <c r="K44" s="651"/>
      <c r="L44" s="651"/>
      <c r="M44" s="651"/>
      <c r="N44" s="651"/>
      <c r="O44" s="651"/>
      <c r="P44" s="651"/>
      <c r="Q44" s="651"/>
      <c r="R44" s="654"/>
      <c r="S44" s="651"/>
      <c r="T44" s="651"/>
    </row>
    <row r="45" spans="2:20">
      <c r="N45" s="654"/>
      <c r="O45" s="654"/>
      <c r="P45" s="654"/>
      <c r="Q45" s="654"/>
      <c r="R45" s="654"/>
      <c r="S45" s="654"/>
      <c r="T45" s="654"/>
    </row>
    <row r="46" spans="2:20">
      <c r="B46" s="655" t="s">
        <v>275</v>
      </c>
      <c r="N46" s="654"/>
      <c r="O46" s="654"/>
      <c r="P46" s="654"/>
      <c r="Q46" s="654"/>
      <c r="R46" s="654"/>
      <c r="S46" s="654"/>
      <c r="T46" s="654"/>
    </row>
    <row r="47" spans="2:20" ht="13.5" thickBot="1">
      <c r="B47" s="655"/>
      <c r="N47" s="654"/>
      <c r="O47" s="654"/>
      <c r="P47" s="654"/>
      <c r="Q47" s="654"/>
      <c r="R47" s="654"/>
      <c r="S47" s="654"/>
      <c r="T47" s="654"/>
    </row>
    <row r="48" spans="2:20">
      <c r="B48" s="1908"/>
      <c r="C48" s="1906" t="s">
        <v>31</v>
      </c>
      <c r="D48" s="657" t="s">
        <v>116</v>
      </c>
      <c r="E48" s="658"/>
      <c r="F48" s="658"/>
      <c r="G48" s="658"/>
      <c r="H48" s="659"/>
      <c r="I48" s="657" t="s">
        <v>117</v>
      </c>
      <c r="J48" s="660"/>
      <c r="K48" s="660"/>
      <c r="L48" s="660"/>
      <c r="M48" s="659"/>
      <c r="N48" s="654"/>
      <c r="O48" s="654"/>
      <c r="P48" s="654"/>
      <c r="Q48" s="654"/>
      <c r="R48" s="654"/>
      <c r="S48" s="654"/>
      <c r="T48" s="654"/>
    </row>
    <row r="49" spans="2:20">
      <c r="B49" s="1909"/>
      <c r="C49" s="1907"/>
      <c r="D49" s="665" t="s">
        <v>32</v>
      </c>
      <c r="E49" s="666" t="s">
        <v>33</v>
      </c>
      <c r="F49" s="666" t="s">
        <v>29</v>
      </c>
      <c r="G49" s="666" t="s">
        <v>34</v>
      </c>
      <c r="H49" s="667" t="s">
        <v>35</v>
      </c>
      <c r="I49" s="665" t="s">
        <v>118</v>
      </c>
      <c r="J49" s="666" t="s">
        <v>136</v>
      </c>
      <c r="K49" s="666" t="s">
        <v>137</v>
      </c>
      <c r="L49" s="666" t="s">
        <v>138</v>
      </c>
      <c r="M49" s="667" t="s">
        <v>139</v>
      </c>
      <c r="N49" s="654"/>
      <c r="O49" s="654"/>
      <c r="P49" s="654"/>
      <c r="Q49" s="654"/>
      <c r="R49" s="654"/>
      <c r="S49" s="654"/>
      <c r="T49" s="654"/>
    </row>
    <row r="50" spans="2:20">
      <c r="B50" s="742" t="s">
        <v>276</v>
      </c>
      <c r="C50" s="743"/>
      <c r="D50" s="744"/>
      <c r="E50" s="745"/>
      <c r="F50" s="745"/>
      <c r="G50" s="745"/>
      <c r="H50" s="746"/>
      <c r="I50" s="747"/>
      <c r="J50" s="748"/>
      <c r="K50" s="748"/>
      <c r="L50" s="748"/>
      <c r="M50" s="749"/>
      <c r="N50" s="750"/>
      <c r="O50" s="654"/>
      <c r="P50" s="654"/>
      <c r="Q50" s="654"/>
      <c r="R50" s="654"/>
      <c r="S50" s="654"/>
      <c r="T50" s="654"/>
    </row>
    <row r="51" spans="2:20">
      <c r="B51" s="751" t="s">
        <v>277</v>
      </c>
      <c r="C51" s="725"/>
      <c r="D51" s="752"/>
      <c r="E51" s="753"/>
      <c r="F51" s="753"/>
      <c r="G51" s="753"/>
      <c r="H51" s="754"/>
      <c r="I51" s="755"/>
      <c r="J51" s="756"/>
      <c r="K51" s="756"/>
      <c r="L51" s="756"/>
      <c r="M51" s="757"/>
      <c r="N51" s="750"/>
      <c r="O51" s="654"/>
      <c r="P51" s="654"/>
      <c r="Q51" s="654"/>
      <c r="R51" s="654"/>
      <c r="S51" s="654"/>
      <c r="T51" s="654"/>
    </row>
    <row r="52" spans="2:20">
      <c r="B52" s="758" t="s">
        <v>520</v>
      </c>
      <c r="C52" s="725" t="s">
        <v>521</v>
      </c>
      <c r="D52" s="759">
        <f t="shared" ref="D52:M52" si="16">D83+D114</f>
        <v>0</v>
      </c>
      <c r="E52" s="760">
        <f t="shared" si="16"/>
        <v>0</v>
      </c>
      <c r="F52" s="760">
        <f t="shared" si="16"/>
        <v>0</v>
      </c>
      <c r="G52" s="760">
        <f t="shared" si="16"/>
        <v>0</v>
      </c>
      <c r="H52" s="761">
        <f t="shared" si="16"/>
        <v>0</v>
      </c>
      <c r="I52" s="759">
        <f t="shared" si="16"/>
        <v>0</v>
      </c>
      <c r="J52" s="762">
        <f t="shared" si="16"/>
        <v>0</v>
      </c>
      <c r="K52" s="762">
        <f t="shared" si="16"/>
        <v>0</v>
      </c>
      <c r="L52" s="762">
        <f t="shared" si="16"/>
        <v>0</v>
      </c>
      <c r="M52" s="761">
        <f t="shared" si="16"/>
        <v>0</v>
      </c>
      <c r="N52" s="654"/>
      <c r="O52" s="654"/>
      <c r="P52" s="654"/>
      <c r="Q52" s="654"/>
      <c r="R52" s="654"/>
      <c r="S52" s="654"/>
      <c r="T52" s="654"/>
    </row>
    <row r="53" spans="2:20">
      <c r="B53" s="763" t="s">
        <v>278</v>
      </c>
      <c r="C53" s="725"/>
      <c r="D53" s="759">
        <f t="shared" ref="D53:M53" si="17">D84+D115</f>
        <v>0</v>
      </c>
      <c r="E53" s="760">
        <f t="shared" si="17"/>
        <v>0</v>
      </c>
      <c r="F53" s="760">
        <f t="shared" si="17"/>
        <v>0</v>
      </c>
      <c r="G53" s="760">
        <f t="shared" si="17"/>
        <v>0</v>
      </c>
      <c r="H53" s="761">
        <f t="shared" si="17"/>
        <v>0</v>
      </c>
      <c r="I53" s="759">
        <f t="shared" si="17"/>
        <v>0</v>
      </c>
      <c r="J53" s="762">
        <f t="shared" si="17"/>
        <v>0</v>
      </c>
      <c r="K53" s="762">
        <f t="shared" si="17"/>
        <v>0</v>
      </c>
      <c r="L53" s="762">
        <f t="shared" si="17"/>
        <v>0</v>
      </c>
      <c r="M53" s="761">
        <f t="shared" si="17"/>
        <v>0</v>
      </c>
      <c r="N53" s="654"/>
      <c r="O53" s="654"/>
      <c r="P53" s="654"/>
      <c r="Q53" s="654"/>
      <c r="R53" s="654"/>
      <c r="S53" s="654"/>
      <c r="T53" s="654"/>
    </row>
    <row r="54" spans="2:20">
      <c r="B54" s="724" t="s">
        <v>279</v>
      </c>
      <c r="C54" s="725"/>
      <c r="D54" s="764"/>
      <c r="E54" s="765"/>
      <c r="F54" s="765"/>
      <c r="G54" s="765"/>
      <c r="H54" s="766"/>
      <c r="I54" s="759">
        <f t="shared" ref="I54:M56" si="18">I85+I116</f>
        <v>0</v>
      </c>
      <c r="J54" s="762">
        <f t="shared" si="18"/>
        <v>0</v>
      </c>
      <c r="K54" s="762">
        <f t="shared" si="18"/>
        <v>0</v>
      </c>
      <c r="L54" s="762">
        <f t="shared" si="18"/>
        <v>0</v>
      </c>
      <c r="M54" s="761">
        <f t="shared" si="18"/>
        <v>0</v>
      </c>
      <c r="N54" s="654"/>
      <c r="O54" s="654"/>
      <c r="P54" s="654"/>
      <c r="Q54" s="654"/>
      <c r="R54" s="654"/>
      <c r="S54" s="654"/>
      <c r="T54" s="654"/>
    </row>
    <row r="55" spans="2:20">
      <c r="B55" s="724" t="s">
        <v>280</v>
      </c>
      <c r="C55" s="725" t="s">
        <v>521</v>
      </c>
      <c r="D55" s="764"/>
      <c r="E55" s="765"/>
      <c r="F55" s="765"/>
      <c r="G55" s="765"/>
      <c r="H55" s="766"/>
      <c r="I55" s="759">
        <f t="shared" si="18"/>
        <v>0</v>
      </c>
      <c r="J55" s="762">
        <f t="shared" si="18"/>
        <v>0</v>
      </c>
      <c r="K55" s="762">
        <f t="shared" si="18"/>
        <v>0</v>
      </c>
      <c r="L55" s="762">
        <f t="shared" si="18"/>
        <v>0</v>
      </c>
      <c r="M55" s="761">
        <f t="shared" si="18"/>
        <v>0</v>
      </c>
      <c r="N55" s="654"/>
      <c r="O55" s="654"/>
      <c r="P55" s="654"/>
      <c r="Q55" s="654"/>
      <c r="R55" s="654"/>
      <c r="S55" s="654"/>
      <c r="T55" s="654"/>
    </row>
    <row r="56" spans="2:20">
      <c r="B56" s="724" t="s">
        <v>281</v>
      </c>
      <c r="C56" s="725"/>
      <c r="D56" s="759">
        <f>D87+D118</f>
        <v>0</v>
      </c>
      <c r="E56" s="762">
        <f>E87+E118</f>
        <v>0</v>
      </c>
      <c r="F56" s="762">
        <f>F87+F118</f>
        <v>0</v>
      </c>
      <c r="G56" s="762">
        <f>G87+G118</f>
        <v>0</v>
      </c>
      <c r="H56" s="761">
        <f>H87+H118</f>
        <v>0</v>
      </c>
      <c r="I56" s="759">
        <f t="shared" si="18"/>
        <v>0</v>
      </c>
      <c r="J56" s="762">
        <f t="shared" si="18"/>
        <v>0</v>
      </c>
      <c r="K56" s="762">
        <f t="shared" si="18"/>
        <v>0</v>
      </c>
      <c r="L56" s="762">
        <f t="shared" si="18"/>
        <v>0</v>
      </c>
      <c r="M56" s="761">
        <f t="shared" si="18"/>
        <v>0</v>
      </c>
      <c r="N56" s="654"/>
      <c r="O56" s="654"/>
      <c r="P56" s="654"/>
      <c r="Q56" s="654"/>
      <c r="R56" s="654"/>
      <c r="S56" s="654"/>
      <c r="T56" s="654"/>
    </row>
    <row r="57" spans="2:20">
      <c r="B57" s="767" t="s">
        <v>282</v>
      </c>
      <c r="C57" s="725"/>
      <c r="D57" s="768"/>
      <c r="E57" s="769"/>
      <c r="F57" s="769"/>
      <c r="G57" s="769"/>
      <c r="H57" s="770"/>
      <c r="I57" s="771"/>
      <c r="J57" s="772"/>
      <c r="K57" s="772"/>
      <c r="L57" s="772"/>
      <c r="M57" s="773"/>
      <c r="N57" s="750"/>
      <c r="O57" s="654"/>
      <c r="P57" s="654"/>
      <c r="Q57" s="654"/>
      <c r="R57" s="654"/>
      <c r="S57" s="654"/>
      <c r="T57" s="654"/>
    </row>
    <row r="58" spans="2:20">
      <c r="B58" s="774" t="s">
        <v>520</v>
      </c>
      <c r="C58" s="725" t="s">
        <v>521</v>
      </c>
      <c r="D58" s="759">
        <f t="shared" ref="D58:M58" si="19">D89+D120</f>
        <v>0</v>
      </c>
      <c r="E58" s="760">
        <f t="shared" si="19"/>
        <v>0</v>
      </c>
      <c r="F58" s="760">
        <f t="shared" si="19"/>
        <v>0</v>
      </c>
      <c r="G58" s="760">
        <f t="shared" si="19"/>
        <v>0</v>
      </c>
      <c r="H58" s="761">
        <f t="shared" si="19"/>
        <v>0</v>
      </c>
      <c r="I58" s="759">
        <f t="shared" si="19"/>
        <v>0</v>
      </c>
      <c r="J58" s="762">
        <f t="shared" si="19"/>
        <v>0</v>
      </c>
      <c r="K58" s="762">
        <f t="shared" si="19"/>
        <v>0</v>
      </c>
      <c r="L58" s="762">
        <f t="shared" si="19"/>
        <v>0</v>
      </c>
      <c r="M58" s="761">
        <f t="shared" si="19"/>
        <v>0</v>
      </c>
      <c r="N58" s="654"/>
      <c r="O58" s="654"/>
      <c r="P58" s="654"/>
      <c r="Q58" s="654"/>
      <c r="R58" s="654"/>
      <c r="S58" s="654"/>
      <c r="T58" s="654"/>
    </row>
    <row r="59" spans="2:20">
      <c r="B59" s="775" t="s">
        <v>278</v>
      </c>
      <c r="C59" s="725"/>
      <c r="D59" s="759">
        <f t="shared" ref="D59:M59" si="20">D90+D121</f>
        <v>0</v>
      </c>
      <c r="E59" s="760">
        <f t="shared" si="20"/>
        <v>0</v>
      </c>
      <c r="F59" s="760">
        <f t="shared" si="20"/>
        <v>0</v>
      </c>
      <c r="G59" s="760">
        <f t="shared" si="20"/>
        <v>0</v>
      </c>
      <c r="H59" s="761">
        <f t="shared" si="20"/>
        <v>0</v>
      </c>
      <c r="I59" s="759">
        <f t="shared" si="20"/>
        <v>0</v>
      </c>
      <c r="J59" s="762">
        <f t="shared" si="20"/>
        <v>0</v>
      </c>
      <c r="K59" s="762">
        <f t="shared" si="20"/>
        <v>0</v>
      </c>
      <c r="L59" s="762">
        <f t="shared" si="20"/>
        <v>0</v>
      </c>
      <c r="M59" s="761">
        <f t="shared" si="20"/>
        <v>0</v>
      </c>
      <c r="N59" s="654"/>
      <c r="O59" s="654"/>
      <c r="P59" s="654"/>
      <c r="Q59" s="654"/>
      <c r="R59" s="654"/>
      <c r="S59" s="654"/>
      <c r="T59" s="654"/>
    </row>
    <row r="60" spans="2:20">
      <c r="B60" s="724" t="s">
        <v>269</v>
      </c>
      <c r="C60" s="725"/>
      <c r="D60" s="776"/>
      <c r="E60" s="777"/>
      <c r="F60" s="777"/>
      <c r="G60" s="777"/>
      <c r="H60" s="778"/>
      <c r="I60" s="759">
        <f t="shared" ref="I60:M62" si="21">I91+I122</f>
        <v>0</v>
      </c>
      <c r="J60" s="762">
        <f t="shared" si="21"/>
        <v>0</v>
      </c>
      <c r="K60" s="762">
        <f t="shared" si="21"/>
        <v>0</v>
      </c>
      <c r="L60" s="762">
        <f t="shared" si="21"/>
        <v>0</v>
      </c>
      <c r="M60" s="761">
        <f t="shared" si="21"/>
        <v>0</v>
      </c>
      <c r="N60" s="654"/>
      <c r="O60" s="654"/>
      <c r="P60" s="654"/>
      <c r="Q60" s="654"/>
      <c r="R60" s="654"/>
      <c r="S60" s="654"/>
      <c r="T60" s="654"/>
    </row>
    <row r="61" spans="2:20">
      <c r="B61" s="724" t="s">
        <v>270</v>
      </c>
      <c r="C61" s="725" t="s">
        <v>521</v>
      </c>
      <c r="D61" s="776"/>
      <c r="E61" s="777"/>
      <c r="F61" s="777"/>
      <c r="G61" s="777"/>
      <c r="H61" s="778"/>
      <c r="I61" s="759">
        <f t="shared" si="21"/>
        <v>0</v>
      </c>
      <c r="J61" s="762">
        <f t="shared" si="21"/>
        <v>0</v>
      </c>
      <c r="K61" s="762">
        <f t="shared" si="21"/>
        <v>0</v>
      </c>
      <c r="L61" s="762">
        <f t="shared" si="21"/>
        <v>0</v>
      </c>
      <c r="M61" s="761">
        <f t="shared" si="21"/>
        <v>0</v>
      </c>
      <c r="N61" s="654"/>
      <c r="O61" s="654"/>
      <c r="P61" s="654"/>
      <c r="Q61" s="654"/>
      <c r="R61" s="654"/>
      <c r="S61" s="654"/>
      <c r="T61" s="654"/>
    </row>
    <row r="62" spans="2:20">
      <c r="B62" s="724" t="s">
        <v>283</v>
      </c>
      <c r="C62" s="725"/>
      <c r="D62" s="759">
        <f>D93+D124</f>
        <v>0</v>
      </c>
      <c r="E62" s="762">
        <f>E93+E124</f>
        <v>0</v>
      </c>
      <c r="F62" s="762">
        <f>F93+F124</f>
        <v>0</v>
      </c>
      <c r="G62" s="762">
        <f>G93+G124</f>
        <v>0</v>
      </c>
      <c r="H62" s="761">
        <f>H93+H124</f>
        <v>0</v>
      </c>
      <c r="I62" s="759">
        <f t="shared" si="21"/>
        <v>0</v>
      </c>
      <c r="J62" s="762">
        <f t="shared" si="21"/>
        <v>0</v>
      </c>
      <c r="K62" s="762">
        <f t="shared" si="21"/>
        <v>0</v>
      </c>
      <c r="L62" s="762">
        <f t="shared" si="21"/>
        <v>0</v>
      </c>
      <c r="M62" s="761">
        <f t="shared" si="21"/>
        <v>0</v>
      </c>
      <c r="N62" s="654"/>
      <c r="O62" s="654"/>
      <c r="P62" s="654"/>
      <c r="Q62" s="654"/>
      <c r="R62" s="654"/>
      <c r="S62" s="654"/>
      <c r="T62" s="654"/>
    </row>
    <row r="63" spans="2:20">
      <c r="B63" s="767" t="s">
        <v>284</v>
      </c>
      <c r="C63" s="725"/>
      <c r="D63" s="768"/>
      <c r="E63" s="769"/>
      <c r="F63" s="769"/>
      <c r="G63" s="769"/>
      <c r="H63" s="770"/>
      <c r="I63" s="779"/>
      <c r="J63" s="780"/>
      <c r="K63" s="780"/>
      <c r="L63" s="780"/>
      <c r="M63" s="781"/>
      <c r="N63" s="750"/>
      <c r="O63" s="654"/>
      <c r="P63" s="654"/>
      <c r="Q63" s="654"/>
      <c r="R63" s="654"/>
      <c r="S63" s="654"/>
      <c r="T63" s="654"/>
    </row>
    <row r="64" spans="2:20">
      <c r="B64" s="774" t="s">
        <v>520</v>
      </c>
      <c r="C64" s="725" t="s">
        <v>521</v>
      </c>
      <c r="D64" s="759">
        <f t="shared" ref="D64:M64" si="22">D95+D126</f>
        <v>0</v>
      </c>
      <c r="E64" s="760">
        <f t="shared" si="22"/>
        <v>0</v>
      </c>
      <c r="F64" s="760">
        <f t="shared" si="22"/>
        <v>0</v>
      </c>
      <c r="G64" s="760">
        <f t="shared" si="22"/>
        <v>0</v>
      </c>
      <c r="H64" s="761">
        <f t="shared" si="22"/>
        <v>0</v>
      </c>
      <c r="I64" s="759">
        <f t="shared" si="22"/>
        <v>0</v>
      </c>
      <c r="J64" s="762">
        <f t="shared" si="22"/>
        <v>0</v>
      </c>
      <c r="K64" s="762">
        <f t="shared" si="22"/>
        <v>0</v>
      </c>
      <c r="L64" s="762">
        <f t="shared" si="22"/>
        <v>0</v>
      </c>
      <c r="M64" s="761">
        <f t="shared" si="22"/>
        <v>0</v>
      </c>
      <c r="N64" s="654"/>
      <c r="O64" s="654"/>
      <c r="P64" s="654"/>
      <c r="Q64" s="654"/>
      <c r="R64" s="654"/>
      <c r="S64" s="654"/>
      <c r="T64" s="654"/>
    </row>
    <row r="65" spans="1:20">
      <c r="B65" s="775" t="s">
        <v>278</v>
      </c>
      <c r="C65" s="725"/>
      <c r="D65" s="759">
        <f t="shared" ref="D65:M65" si="23">D96+D127</f>
        <v>0</v>
      </c>
      <c r="E65" s="760">
        <f t="shared" si="23"/>
        <v>0</v>
      </c>
      <c r="F65" s="760">
        <f t="shared" si="23"/>
        <v>0</v>
      </c>
      <c r="G65" s="760">
        <f t="shared" si="23"/>
        <v>0</v>
      </c>
      <c r="H65" s="761">
        <f t="shared" si="23"/>
        <v>0</v>
      </c>
      <c r="I65" s="759">
        <f t="shared" si="23"/>
        <v>0</v>
      </c>
      <c r="J65" s="762">
        <f t="shared" si="23"/>
        <v>0</v>
      </c>
      <c r="K65" s="762">
        <f t="shared" si="23"/>
        <v>0</v>
      </c>
      <c r="L65" s="762">
        <f t="shared" si="23"/>
        <v>0</v>
      </c>
      <c r="M65" s="761">
        <f t="shared" si="23"/>
        <v>0</v>
      </c>
      <c r="N65" s="654"/>
      <c r="O65" s="654"/>
      <c r="P65" s="654"/>
      <c r="Q65" s="654"/>
      <c r="R65" s="654"/>
      <c r="S65" s="654"/>
      <c r="T65" s="654"/>
    </row>
    <row r="66" spans="1:20">
      <c r="B66" s="724" t="s">
        <v>271</v>
      </c>
      <c r="C66" s="725"/>
      <c r="D66" s="776"/>
      <c r="E66" s="777"/>
      <c r="F66" s="777"/>
      <c r="G66" s="777"/>
      <c r="H66" s="778"/>
      <c r="I66" s="759">
        <f t="shared" ref="I66:M68" si="24">I97+I128</f>
        <v>0</v>
      </c>
      <c r="J66" s="762">
        <f t="shared" si="24"/>
        <v>0</v>
      </c>
      <c r="K66" s="762">
        <f t="shared" si="24"/>
        <v>0</v>
      </c>
      <c r="L66" s="762">
        <f t="shared" si="24"/>
        <v>0</v>
      </c>
      <c r="M66" s="761">
        <f t="shared" si="24"/>
        <v>0</v>
      </c>
      <c r="N66" s="654"/>
      <c r="O66" s="654"/>
      <c r="P66" s="654"/>
      <c r="Q66" s="654"/>
      <c r="R66" s="654"/>
      <c r="S66" s="654"/>
      <c r="T66" s="654"/>
    </row>
    <row r="67" spans="1:20">
      <c r="B67" s="724" t="s">
        <v>272</v>
      </c>
      <c r="C67" s="725" t="s">
        <v>521</v>
      </c>
      <c r="D67" s="776"/>
      <c r="E67" s="777"/>
      <c r="F67" s="777"/>
      <c r="G67" s="777"/>
      <c r="H67" s="778"/>
      <c r="I67" s="759">
        <f t="shared" si="24"/>
        <v>0</v>
      </c>
      <c r="J67" s="762">
        <f t="shared" si="24"/>
        <v>0</v>
      </c>
      <c r="K67" s="762">
        <f t="shared" si="24"/>
        <v>0</v>
      </c>
      <c r="L67" s="762">
        <f t="shared" si="24"/>
        <v>0</v>
      </c>
      <c r="M67" s="761">
        <f t="shared" si="24"/>
        <v>0</v>
      </c>
      <c r="N67" s="654"/>
      <c r="O67" s="654"/>
      <c r="P67" s="654"/>
      <c r="Q67" s="654"/>
      <c r="R67" s="654"/>
      <c r="S67" s="654"/>
      <c r="T67" s="654"/>
    </row>
    <row r="68" spans="1:20">
      <c r="B68" s="724" t="s">
        <v>285</v>
      </c>
      <c r="C68" s="725"/>
      <c r="D68" s="759">
        <f>D99+D130</f>
        <v>0</v>
      </c>
      <c r="E68" s="762">
        <f>E99+E130</f>
        <v>0</v>
      </c>
      <c r="F68" s="762">
        <f>F99+F130</f>
        <v>0</v>
      </c>
      <c r="G68" s="762">
        <f>G99+G130</f>
        <v>0</v>
      </c>
      <c r="H68" s="761">
        <f>H99+H130</f>
        <v>0</v>
      </c>
      <c r="I68" s="759">
        <f t="shared" si="24"/>
        <v>0</v>
      </c>
      <c r="J68" s="762">
        <f t="shared" si="24"/>
        <v>0</v>
      </c>
      <c r="K68" s="762">
        <f t="shared" si="24"/>
        <v>0</v>
      </c>
      <c r="L68" s="762">
        <f t="shared" si="24"/>
        <v>0</v>
      </c>
      <c r="M68" s="761">
        <f t="shared" si="24"/>
        <v>0</v>
      </c>
      <c r="N68" s="654"/>
      <c r="O68" s="654"/>
      <c r="P68" s="654"/>
      <c r="Q68" s="654"/>
      <c r="R68" s="654"/>
      <c r="S68" s="654"/>
      <c r="T68" s="654"/>
    </row>
    <row r="69" spans="1:20">
      <c r="B69" s="767" t="s">
        <v>286</v>
      </c>
      <c r="C69" s="725"/>
      <c r="D69" s="768"/>
      <c r="E69" s="769"/>
      <c r="F69" s="769"/>
      <c r="G69" s="769"/>
      <c r="H69" s="770"/>
      <c r="I69" s="779"/>
      <c r="J69" s="780"/>
      <c r="K69" s="780"/>
      <c r="L69" s="780"/>
      <c r="M69" s="781"/>
      <c r="N69" s="750"/>
      <c r="O69" s="654"/>
      <c r="P69" s="654"/>
      <c r="Q69" s="654"/>
      <c r="R69" s="654"/>
      <c r="S69" s="654"/>
      <c r="T69" s="654"/>
    </row>
    <row r="70" spans="1:20">
      <c r="B70" s="774" t="s">
        <v>520</v>
      </c>
      <c r="C70" s="725" t="s">
        <v>521</v>
      </c>
      <c r="D70" s="782">
        <f t="shared" ref="D70:M70" si="25">D101+D132</f>
        <v>0</v>
      </c>
      <c r="E70" s="783">
        <f t="shared" si="25"/>
        <v>0</v>
      </c>
      <c r="F70" s="783">
        <f t="shared" si="25"/>
        <v>0</v>
      </c>
      <c r="G70" s="783">
        <f t="shared" si="25"/>
        <v>0</v>
      </c>
      <c r="H70" s="784">
        <f t="shared" si="25"/>
        <v>0</v>
      </c>
      <c r="I70" s="782">
        <f t="shared" si="25"/>
        <v>0</v>
      </c>
      <c r="J70" s="785">
        <f t="shared" si="25"/>
        <v>0</v>
      </c>
      <c r="K70" s="785">
        <f t="shared" si="25"/>
        <v>0</v>
      </c>
      <c r="L70" s="785">
        <f t="shared" si="25"/>
        <v>0</v>
      </c>
      <c r="M70" s="784">
        <f t="shared" si="25"/>
        <v>0</v>
      </c>
      <c r="N70" s="654"/>
      <c r="O70" s="654"/>
      <c r="P70" s="654"/>
      <c r="Q70" s="654"/>
      <c r="R70" s="654"/>
      <c r="S70" s="654"/>
      <c r="T70" s="654"/>
    </row>
    <row r="71" spans="1:20">
      <c r="B71" s="775" t="s">
        <v>278</v>
      </c>
      <c r="C71" s="725"/>
      <c r="D71" s="782">
        <f t="shared" ref="D71:M71" si="26">D102+D133</f>
        <v>0</v>
      </c>
      <c r="E71" s="783">
        <f t="shared" si="26"/>
        <v>0</v>
      </c>
      <c r="F71" s="783">
        <f t="shared" si="26"/>
        <v>0</v>
      </c>
      <c r="G71" s="783">
        <f t="shared" si="26"/>
        <v>0</v>
      </c>
      <c r="H71" s="784">
        <f t="shared" si="26"/>
        <v>0</v>
      </c>
      <c r="I71" s="782">
        <f t="shared" si="26"/>
        <v>0</v>
      </c>
      <c r="J71" s="785">
        <f t="shared" si="26"/>
        <v>0</v>
      </c>
      <c r="K71" s="785">
        <f t="shared" si="26"/>
        <v>0</v>
      </c>
      <c r="L71" s="785">
        <f t="shared" si="26"/>
        <v>0</v>
      </c>
      <c r="M71" s="784">
        <f t="shared" si="26"/>
        <v>0</v>
      </c>
      <c r="N71" s="654"/>
      <c r="O71" s="654"/>
      <c r="P71" s="654"/>
      <c r="Q71" s="654"/>
      <c r="R71" s="654"/>
      <c r="S71" s="654"/>
      <c r="T71" s="654"/>
    </row>
    <row r="72" spans="1:20">
      <c r="B72" s="724" t="s">
        <v>273</v>
      </c>
      <c r="C72" s="725"/>
      <c r="D72" s="786"/>
      <c r="E72" s="787"/>
      <c r="F72" s="787"/>
      <c r="G72" s="787"/>
      <c r="H72" s="788"/>
      <c r="I72" s="782">
        <f t="shared" ref="I72:M74" si="27">I103+I134</f>
        <v>0</v>
      </c>
      <c r="J72" s="785">
        <f t="shared" si="27"/>
        <v>0</v>
      </c>
      <c r="K72" s="785">
        <f t="shared" si="27"/>
        <v>0</v>
      </c>
      <c r="L72" s="785">
        <f t="shared" si="27"/>
        <v>0</v>
      </c>
      <c r="M72" s="784">
        <f t="shared" si="27"/>
        <v>0</v>
      </c>
      <c r="N72" s="654"/>
      <c r="O72" s="654"/>
      <c r="P72" s="654"/>
      <c r="Q72" s="654"/>
      <c r="R72" s="654"/>
      <c r="S72" s="654"/>
      <c r="T72" s="654"/>
    </row>
    <row r="73" spans="1:20">
      <c r="B73" s="724" t="s">
        <v>274</v>
      </c>
      <c r="C73" s="725" t="s">
        <v>521</v>
      </c>
      <c r="D73" s="786"/>
      <c r="E73" s="787"/>
      <c r="F73" s="787"/>
      <c r="G73" s="787"/>
      <c r="H73" s="788"/>
      <c r="I73" s="782">
        <f t="shared" si="27"/>
        <v>0</v>
      </c>
      <c r="J73" s="785">
        <f t="shared" si="27"/>
        <v>0</v>
      </c>
      <c r="K73" s="785">
        <f t="shared" si="27"/>
        <v>0</v>
      </c>
      <c r="L73" s="785">
        <f t="shared" si="27"/>
        <v>0</v>
      </c>
      <c r="M73" s="784">
        <f t="shared" si="27"/>
        <v>0</v>
      </c>
      <c r="N73" s="654"/>
      <c r="O73" s="654"/>
      <c r="P73" s="654"/>
      <c r="Q73" s="654"/>
      <c r="R73" s="654"/>
      <c r="S73" s="654"/>
      <c r="T73" s="654"/>
    </row>
    <row r="74" spans="1:20">
      <c r="B74" s="724" t="s">
        <v>287</v>
      </c>
      <c r="C74" s="725"/>
      <c r="D74" s="782">
        <f>D105+D136</f>
        <v>0</v>
      </c>
      <c r="E74" s="783">
        <f>E105+E136</f>
        <v>0</v>
      </c>
      <c r="F74" s="783">
        <f>F105+F136</f>
        <v>0</v>
      </c>
      <c r="G74" s="783">
        <f>G105+G136</f>
        <v>0</v>
      </c>
      <c r="H74" s="784">
        <f>H105+H136</f>
        <v>0</v>
      </c>
      <c r="I74" s="782">
        <f t="shared" si="27"/>
        <v>0</v>
      </c>
      <c r="J74" s="785">
        <f t="shared" si="27"/>
        <v>0</v>
      </c>
      <c r="K74" s="785">
        <f t="shared" si="27"/>
        <v>0</v>
      </c>
      <c r="L74" s="785">
        <f t="shared" si="27"/>
        <v>0</v>
      </c>
      <c r="M74" s="784">
        <f t="shared" si="27"/>
        <v>0</v>
      </c>
      <c r="N74" s="654"/>
      <c r="O74" s="654"/>
      <c r="P74" s="654"/>
      <c r="Q74" s="654"/>
      <c r="R74" s="654"/>
      <c r="S74" s="654"/>
      <c r="T74" s="654"/>
    </row>
    <row r="75" spans="1:20" ht="13.5" thickBot="1">
      <c r="B75" s="789" t="s">
        <v>853</v>
      </c>
      <c r="C75" s="740" t="s">
        <v>521</v>
      </c>
      <c r="D75" s="790">
        <f t="shared" ref="D75:M75" si="28">SUM(D52:D55,D58:D61,D64:D67,D70:D73)</f>
        <v>0</v>
      </c>
      <c r="E75" s="791">
        <f t="shared" si="28"/>
        <v>0</v>
      </c>
      <c r="F75" s="791">
        <f t="shared" si="28"/>
        <v>0</v>
      </c>
      <c r="G75" s="791">
        <f t="shared" si="28"/>
        <v>0</v>
      </c>
      <c r="H75" s="792">
        <f t="shared" si="28"/>
        <v>0</v>
      </c>
      <c r="I75" s="790">
        <f t="shared" si="28"/>
        <v>0</v>
      </c>
      <c r="J75" s="791">
        <f t="shared" si="28"/>
        <v>0</v>
      </c>
      <c r="K75" s="791">
        <f t="shared" si="28"/>
        <v>0</v>
      </c>
      <c r="L75" s="791">
        <f t="shared" si="28"/>
        <v>0</v>
      </c>
      <c r="M75" s="792">
        <f t="shared" si="28"/>
        <v>0</v>
      </c>
      <c r="N75" s="793"/>
      <c r="O75" s="654"/>
      <c r="P75" s="654"/>
      <c r="Q75" s="654"/>
      <c r="R75" s="654"/>
      <c r="S75" s="654"/>
      <c r="T75" s="654"/>
    </row>
    <row r="76" spans="1:20">
      <c r="B76" s="794"/>
      <c r="C76" s="795"/>
      <c r="D76" s="654"/>
      <c r="E76" s="654"/>
      <c r="F76" s="654"/>
      <c r="G76" s="654"/>
      <c r="H76" s="654"/>
      <c r="I76" s="654"/>
      <c r="J76" s="654"/>
      <c r="K76" s="654"/>
      <c r="L76" s="654"/>
      <c r="M76" s="654"/>
      <c r="N76" s="654"/>
      <c r="O76" s="654"/>
      <c r="P76" s="654"/>
      <c r="Q76" s="654"/>
      <c r="R76" s="654"/>
      <c r="S76" s="654"/>
      <c r="T76" s="654"/>
    </row>
    <row r="77" spans="1:20">
      <c r="B77" s="655" t="s">
        <v>288</v>
      </c>
      <c r="N77" s="654"/>
      <c r="O77" s="654"/>
      <c r="P77" s="654"/>
      <c r="Q77" s="654"/>
      <c r="R77" s="654"/>
      <c r="S77" s="654"/>
      <c r="T77" s="654"/>
    </row>
    <row r="78" spans="1:20" ht="13.5" thickBot="1">
      <c r="B78" s="655"/>
      <c r="N78" s="654"/>
      <c r="O78" s="654"/>
      <c r="P78" s="654"/>
      <c r="Q78" s="654"/>
      <c r="R78" s="654"/>
      <c r="S78" s="654"/>
      <c r="T78" s="654"/>
    </row>
    <row r="79" spans="1:20">
      <c r="A79" s="796"/>
      <c r="B79" s="1908"/>
      <c r="C79" s="1906" t="s">
        <v>31</v>
      </c>
      <c r="D79" s="657" t="s">
        <v>116</v>
      </c>
      <c r="E79" s="658"/>
      <c r="F79" s="658"/>
      <c r="G79" s="658"/>
      <c r="H79" s="659"/>
      <c r="I79" s="657" t="s">
        <v>117</v>
      </c>
      <c r="J79" s="660"/>
      <c r="K79" s="660"/>
      <c r="L79" s="659"/>
      <c r="M79" s="659"/>
      <c r="N79" s="654"/>
      <c r="O79" s="654"/>
      <c r="P79" s="654"/>
      <c r="Q79" s="654"/>
      <c r="R79" s="654"/>
      <c r="S79" s="654"/>
      <c r="T79" s="654"/>
    </row>
    <row r="80" spans="1:20">
      <c r="A80" s="796"/>
      <c r="B80" s="1909"/>
      <c r="C80" s="1907"/>
      <c r="D80" s="665" t="s">
        <v>32</v>
      </c>
      <c r="E80" s="666" t="s">
        <v>33</v>
      </c>
      <c r="F80" s="666" t="s">
        <v>29</v>
      </c>
      <c r="G80" s="666" t="s">
        <v>34</v>
      </c>
      <c r="H80" s="667" t="s">
        <v>35</v>
      </c>
      <c r="I80" s="665" t="s">
        <v>118</v>
      </c>
      <c r="J80" s="666" t="s">
        <v>136</v>
      </c>
      <c r="K80" s="666" t="s">
        <v>137</v>
      </c>
      <c r="L80" s="670" t="s">
        <v>138</v>
      </c>
      <c r="M80" s="797" t="s">
        <v>139</v>
      </c>
      <c r="N80" s="654"/>
      <c r="O80" s="654"/>
      <c r="P80" s="654"/>
      <c r="Q80" s="654"/>
      <c r="R80" s="654"/>
      <c r="S80" s="654"/>
      <c r="T80" s="654"/>
    </row>
    <row r="81" spans="1:20">
      <c r="A81" s="796"/>
      <c r="B81" s="742" t="s">
        <v>276</v>
      </c>
      <c r="C81" s="743"/>
      <c r="D81" s="744"/>
      <c r="E81" s="745"/>
      <c r="F81" s="745"/>
      <c r="G81" s="745"/>
      <c r="H81" s="746"/>
      <c r="I81" s="747"/>
      <c r="J81" s="748"/>
      <c r="K81" s="748"/>
      <c r="L81" s="798"/>
      <c r="M81" s="749"/>
      <c r="N81" s="750"/>
      <c r="O81" s="654"/>
      <c r="P81" s="654"/>
      <c r="Q81" s="654"/>
      <c r="R81" s="654"/>
      <c r="S81" s="654"/>
      <c r="T81" s="654"/>
    </row>
    <row r="82" spans="1:20">
      <c r="A82" s="796"/>
      <c r="B82" s="751" t="s">
        <v>277</v>
      </c>
      <c r="C82" s="799"/>
      <c r="D82" s="752"/>
      <c r="E82" s="753"/>
      <c r="F82" s="753"/>
      <c r="G82" s="753"/>
      <c r="H82" s="754"/>
      <c r="I82" s="755"/>
      <c r="J82" s="756"/>
      <c r="K82" s="756"/>
      <c r="L82" s="800"/>
      <c r="M82" s="757"/>
      <c r="N82" s="750"/>
      <c r="O82" s="654"/>
      <c r="P82" s="654"/>
      <c r="Q82" s="654"/>
      <c r="R82" s="654"/>
      <c r="S82" s="654"/>
      <c r="T82" s="654"/>
    </row>
    <row r="83" spans="1:20">
      <c r="A83" s="796"/>
      <c r="B83" s="758" t="s">
        <v>520</v>
      </c>
      <c r="C83" s="725" t="s">
        <v>521</v>
      </c>
      <c r="D83" s="801"/>
      <c r="E83" s="802"/>
      <c r="F83" s="802"/>
      <c r="G83" s="802"/>
      <c r="H83" s="803"/>
      <c r="I83" s="801"/>
      <c r="J83" s="804"/>
      <c r="K83" s="804"/>
      <c r="L83" s="804"/>
      <c r="M83" s="805"/>
      <c r="N83" s="654"/>
      <c r="O83" s="654"/>
      <c r="P83" s="654"/>
      <c r="Q83" s="654"/>
      <c r="R83" s="654"/>
      <c r="S83" s="654"/>
      <c r="T83" s="654"/>
    </row>
    <row r="84" spans="1:20">
      <c r="A84" s="796"/>
      <c r="B84" s="763" t="s">
        <v>278</v>
      </c>
      <c r="C84" s="725"/>
      <c r="D84" s="801"/>
      <c r="E84" s="802"/>
      <c r="F84" s="802"/>
      <c r="G84" s="802"/>
      <c r="H84" s="803"/>
      <c r="I84" s="801"/>
      <c r="J84" s="804"/>
      <c r="K84" s="804"/>
      <c r="L84" s="804"/>
      <c r="M84" s="805"/>
      <c r="N84" s="654"/>
      <c r="O84" s="654"/>
      <c r="P84" s="654"/>
      <c r="Q84" s="654"/>
      <c r="R84" s="654"/>
      <c r="S84" s="654"/>
      <c r="T84" s="654"/>
    </row>
    <row r="85" spans="1:20">
      <c r="A85" s="796"/>
      <c r="B85" s="724" t="s">
        <v>279</v>
      </c>
      <c r="C85" s="725"/>
      <c r="D85" s="776"/>
      <c r="E85" s="777"/>
      <c r="F85" s="777"/>
      <c r="G85" s="777"/>
      <c r="H85" s="778"/>
      <c r="I85" s="801"/>
      <c r="J85" s="804"/>
      <c r="K85" s="804"/>
      <c r="L85" s="804"/>
      <c r="M85" s="805"/>
      <c r="N85" s="654"/>
      <c r="O85" s="654"/>
      <c r="P85" s="654"/>
      <c r="Q85" s="654"/>
      <c r="R85" s="654"/>
      <c r="S85" s="654"/>
      <c r="T85" s="654"/>
    </row>
    <row r="86" spans="1:20">
      <c r="A86" s="796"/>
      <c r="B86" s="724" t="s">
        <v>280</v>
      </c>
      <c r="C86" s="725" t="s">
        <v>521</v>
      </c>
      <c r="D86" s="776"/>
      <c r="E86" s="777"/>
      <c r="F86" s="777"/>
      <c r="G86" s="777"/>
      <c r="H86" s="778"/>
      <c r="I86" s="801"/>
      <c r="J86" s="804"/>
      <c r="K86" s="804"/>
      <c r="L86" s="804"/>
      <c r="M86" s="805"/>
      <c r="N86" s="654"/>
      <c r="O86" s="654"/>
      <c r="P86" s="654"/>
      <c r="Q86" s="654"/>
      <c r="R86" s="654"/>
      <c r="S86" s="654"/>
      <c r="T86" s="654"/>
    </row>
    <row r="87" spans="1:20">
      <c r="A87" s="796"/>
      <c r="B87" s="724" t="s">
        <v>281</v>
      </c>
      <c r="C87" s="725"/>
      <c r="D87" s="801"/>
      <c r="E87" s="804"/>
      <c r="F87" s="804"/>
      <c r="G87" s="804"/>
      <c r="H87" s="803"/>
      <c r="I87" s="806">
        <f>SUM(I85:I86)</f>
        <v>0</v>
      </c>
      <c r="J87" s="807">
        <f>SUM(J85:J86)</f>
        <v>0</v>
      </c>
      <c r="K87" s="807">
        <f>SUM(K85:K86)</f>
        <v>0</v>
      </c>
      <c r="L87" s="807">
        <f>SUM(L85:L86)</f>
        <v>0</v>
      </c>
      <c r="M87" s="808">
        <f>SUM(M85:M86)</f>
        <v>0</v>
      </c>
      <c r="N87" s="654"/>
      <c r="O87" s="654"/>
      <c r="P87" s="654"/>
      <c r="Q87" s="654"/>
      <c r="R87" s="654"/>
      <c r="S87" s="654"/>
      <c r="T87" s="654"/>
    </row>
    <row r="88" spans="1:20">
      <c r="A88" s="796"/>
      <c r="B88" s="767" t="s">
        <v>289</v>
      </c>
      <c r="C88" s="725"/>
      <c r="D88" s="768"/>
      <c r="E88" s="769"/>
      <c r="F88" s="769"/>
      <c r="G88" s="769"/>
      <c r="H88" s="770"/>
      <c r="I88" s="771"/>
      <c r="J88" s="772"/>
      <c r="K88" s="772"/>
      <c r="L88" s="809"/>
      <c r="M88" s="773"/>
      <c r="N88" s="750"/>
      <c r="O88" s="654"/>
      <c r="P88" s="654"/>
      <c r="Q88" s="654"/>
      <c r="R88" s="654"/>
      <c r="S88" s="654"/>
      <c r="T88" s="654"/>
    </row>
    <row r="89" spans="1:20">
      <c r="A89" s="796"/>
      <c r="B89" s="774" t="s">
        <v>520</v>
      </c>
      <c r="C89" s="725" t="s">
        <v>521</v>
      </c>
      <c r="D89" s="801"/>
      <c r="E89" s="802"/>
      <c r="F89" s="802"/>
      <c r="G89" s="802"/>
      <c r="H89" s="803"/>
      <c r="I89" s="801"/>
      <c r="J89" s="804"/>
      <c r="K89" s="804"/>
      <c r="L89" s="804"/>
      <c r="M89" s="805"/>
      <c r="N89" s="654"/>
      <c r="O89" s="654"/>
      <c r="P89" s="654"/>
      <c r="Q89" s="654"/>
      <c r="R89" s="654"/>
      <c r="S89" s="654"/>
      <c r="T89" s="654"/>
    </row>
    <row r="90" spans="1:20">
      <c r="A90" s="796"/>
      <c r="B90" s="775" t="s">
        <v>278</v>
      </c>
      <c r="C90" s="725"/>
      <c r="D90" s="801"/>
      <c r="E90" s="802"/>
      <c r="F90" s="802"/>
      <c r="G90" s="802"/>
      <c r="H90" s="803"/>
      <c r="I90" s="801"/>
      <c r="J90" s="804"/>
      <c r="K90" s="804"/>
      <c r="L90" s="804"/>
      <c r="M90" s="805"/>
      <c r="N90" s="654"/>
      <c r="O90" s="654"/>
      <c r="P90" s="654"/>
      <c r="Q90" s="654"/>
      <c r="R90" s="654"/>
      <c r="S90" s="654"/>
      <c r="T90" s="654"/>
    </row>
    <row r="91" spans="1:20">
      <c r="A91" s="796"/>
      <c r="B91" s="724" t="s">
        <v>269</v>
      </c>
      <c r="C91" s="725"/>
      <c r="D91" s="776"/>
      <c r="E91" s="777"/>
      <c r="F91" s="777"/>
      <c r="G91" s="777"/>
      <c r="H91" s="778"/>
      <c r="I91" s="801"/>
      <c r="J91" s="804"/>
      <c r="K91" s="804"/>
      <c r="L91" s="804"/>
      <c r="M91" s="805"/>
      <c r="N91" s="654"/>
      <c r="O91" s="654"/>
      <c r="P91" s="654"/>
      <c r="Q91" s="654"/>
      <c r="R91" s="654"/>
      <c r="S91" s="654"/>
      <c r="T91" s="654"/>
    </row>
    <row r="92" spans="1:20">
      <c r="A92" s="796"/>
      <c r="B92" s="724" t="s">
        <v>270</v>
      </c>
      <c r="C92" s="725" t="s">
        <v>521</v>
      </c>
      <c r="D92" s="776"/>
      <c r="E92" s="777"/>
      <c r="F92" s="777"/>
      <c r="G92" s="777"/>
      <c r="H92" s="778"/>
      <c r="I92" s="801"/>
      <c r="J92" s="804"/>
      <c r="K92" s="804"/>
      <c r="L92" s="804"/>
      <c r="M92" s="805"/>
      <c r="N92" s="654"/>
      <c r="O92" s="654"/>
      <c r="P92" s="654"/>
      <c r="Q92" s="654"/>
      <c r="R92" s="654"/>
      <c r="S92" s="654"/>
      <c r="T92" s="654"/>
    </row>
    <row r="93" spans="1:20">
      <c r="A93" s="796"/>
      <c r="B93" s="724" t="s">
        <v>283</v>
      </c>
      <c r="C93" s="725"/>
      <c r="D93" s="801"/>
      <c r="E93" s="804"/>
      <c r="F93" s="804"/>
      <c r="G93" s="804"/>
      <c r="H93" s="803"/>
      <c r="I93" s="806">
        <f>SUM(I91:I92)</f>
        <v>0</v>
      </c>
      <c r="J93" s="806">
        <f>SUM(J91:J92)</f>
        <v>0</v>
      </c>
      <c r="K93" s="806">
        <f>SUM(K91:K92)</f>
        <v>0</v>
      </c>
      <c r="L93" s="806">
        <f>SUM(L91:L92)</f>
        <v>0</v>
      </c>
      <c r="M93" s="806">
        <f>SUM(M91:M92)</f>
        <v>0</v>
      </c>
      <c r="N93" s="654"/>
      <c r="O93" s="654"/>
      <c r="P93" s="654"/>
      <c r="Q93" s="654"/>
      <c r="R93" s="654"/>
      <c r="S93" s="654"/>
      <c r="T93" s="654"/>
    </row>
    <row r="94" spans="1:20">
      <c r="A94" s="796"/>
      <c r="B94" s="767" t="s">
        <v>290</v>
      </c>
      <c r="C94" s="725"/>
      <c r="D94" s="768"/>
      <c r="E94" s="769"/>
      <c r="F94" s="769"/>
      <c r="G94" s="769"/>
      <c r="H94" s="770"/>
      <c r="I94" s="771"/>
      <c r="J94" s="772"/>
      <c r="K94" s="772"/>
      <c r="L94" s="809"/>
      <c r="M94" s="773"/>
      <c r="N94" s="750"/>
      <c r="O94" s="654"/>
      <c r="P94" s="654"/>
      <c r="Q94" s="654"/>
      <c r="R94" s="654"/>
      <c r="S94" s="654"/>
      <c r="T94" s="654"/>
    </row>
    <row r="95" spans="1:20">
      <c r="A95" s="796"/>
      <c r="B95" s="774" t="s">
        <v>520</v>
      </c>
      <c r="C95" s="725" t="s">
        <v>521</v>
      </c>
      <c r="D95" s="801"/>
      <c r="E95" s="802"/>
      <c r="F95" s="802"/>
      <c r="G95" s="802"/>
      <c r="H95" s="803"/>
      <c r="I95" s="801"/>
      <c r="J95" s="804"/>
      <c r="K95" s="804"/>
      <c r="L95" s="804"/>
      <c r="M95" s="805"/>
      <c r="N95" s="654"/>
      <c r="O95" s="654"/>
      <c r="P95" s="654"/>
      <c r="Q95" s="654"/>
      <c r="R95" s="654"/>
      <c r="S95" s="654"/>
      <c r="T95" s="654"/>
    </row>
    <row r="96" spans="1:20">
      <c r="A96" s="796"/>
      <c r="B96" s="775" t="s">
        <v>278</v>
      </c>
      <c r="C96" s="725"/>
      <c r="D96" s="801"/>
      <c r="E96" s="802"/>
      <c r="F96" s="802"/>
      <c r="G96" s="802"/>
      <c r="H96" s="803"/>
      <c r="I96" s="801"/>
      <c r="J96" s="804"/>
      <c r="K96" s="804"/>
      <c r="L96" s="804"/>
      <c r="M96" s="805"/>
      <c r="N96" s="654"/>
      <c r="O96" s="654"/>
      <c r="P96" s="654"/>
      <c r="Q96" s="654"/>
      <c r="R96" s="654"/>
      <c r="S96" s="654"/>
      <c r="T96" s="654"/>
    </row>
    <row r="97" spans="1:20">
      <c r="A97" s="796"/>
      <c r="B97" s="724" t="s">
        <v>271</v>
      </c>
      <c r="C97" s="725"/>
      <c r="D97" s="764"/>
      <c r="E97" s="765"/>
      <c r="F97" s="765"/>
      <c r="G97" s="765"/>
      <c r="H97" s="766"/>
      <c r="I97" s="801"/>
      <c r="J97" s="804"/>
      <c r="K97" s="804"/>
      <c r="L97" s="804"/>
      <c r="M97" s="805"/>
      <c r="N97" s="654"/>
      <c r="O97" s="654"/>
      <c r="P97" s="654"/>
      <c r="Q97" s="654"/>
      <c r="R97" s="654"/>
      <c r="S97" s="654"/>
      <c r="T97" s="654"/>
    </row>
    <row r="98" spans="1:20">
      <c r="A98" s="796"/>
      <c r="B98" s="724" t="s">
        <v>272</v>
      </c>
      <c r="C98" s="725" t="s">
        <v>521</v>
      </c>
      <c r="D98" s="764"/>
      <c r="E98" s="765"/>
      <c r="F98" s="765"/>
      <c r="G98" s="765"/>
      <c r="H98" s="766"/>
      <c r="I98" s="801"/>
      <c r="J98" s="804"/>
      <c r="K98" s="804"/>
      <c r="L98" s="804"/>
      <c r="M98" s="805"/>
      <c r="N98" s="654"/>
      <c r="O98" s="654"/>
      <c r="P98" s="654"/>
      <c r="Q98" s="654"/>
      <c r="R98" s="654"/>
      <c r="S98" s="654"/>
      <c r="T98" s="654"/>
    </row>
    <row r="99" spans="1:20">
      <c r="A99" s="796"/>
      <c r="B99" s="724" t="s">
        <v>285</v>
      </c>
      <c r="C99" s="725"/>
      <c r="D99" s="801"/>
      <c r="E99" s="804"/>
      <c r="F99" s="804"/>
      <c r="G99" s="804"/>
      <c r="H99" s="803"/>
      <c r="I99" s="806">
        <f>SUM(I97:I98)</f>
        <v>0</v>
      </c>
      <c r="J99" s="806">
        <f>SUM(J97:J98)</f>
        <v>0</v>
      </c>
      <c r="K99" s="806">
        <f>SUM(K97:K98)</f>
        <v>0</v>
      </c>
      <c r="L99" s="806">
        <f>SUM(L97:L98)</f>
        <v>0</v>
      </c>
      <c r="M99" s="806">
        <f>SUM(M97:M98)</f>
        <v>0</v>
      </c>
      <c r="N99" s="654"/>
      <c r="O99" s="654"/>
      <c r="P99" s="654"/>
      <c r="Q99" s="654"/>
      <c r="R99" s="654"/>
      <c r="S99" s="654"/>
      <c r="T99" s="654"/>
    </row>
    <row r="100" spans="1:20">
      <c r="A100" s="796"/>
      <c r="B100" s="767" t="s">
        <v>291</v>
      </c>
      <c r="C100" s="725"/>
      <c r="D100" s="768"/>
      <c r="E100" s="769"/>
      <c r="F100" s="769"/>
      <c r="G100" s="769"/>
      <c r="H100" s="770"/>
      <c r="I100" s="771"/>
      <c r="J100" s="772"/>
      <c r="K100" s="772"/>
      <c r="L100" s="809"/>
      <c r="M100" s="773"/>
      <c r="N100" s="750"/>
      <c r="O100" s="654"/>
      <c r="P100" s="654"/>
      <c r="Q100" s="654"/>
      <c r="R100" s="654"/>
      <c r="S100" s="654"/>
      <c r="T100" s="654"/>
    </row>
    <row r="101" spans="1:20">
      <c r="A101" s="796"/>
      <c r="B101" s="774" t="s">
        <v>520</v>
      </c>
      <c r="C101" s="725" t="s">
        <v>521</v>
      </c>
      <c r="D101" s="810"/>
      <c r="E101" s="811"/>
      <c r="F101" s="811"/>
      <c r="G101" s="811"/>
      <c r="H101" s="812"/>
      <c r="I101" s="810"/>
      <c r="J101" s="813"/>
      <c r="K101" s="813"/>
      <c r="L101" s="813"/>
      <c r="M101" s="814"/>
      <c r="N101" s="654"/>
      <c r="O101" s="654"/>
      <c r="P101" s="654"/>
      <c r="Q101" s="654"/>
      <c r="R101" s="654"/>
      <c r="S101" s="654"/>
      <c r="T101" s="654"/>
    </row>
    <row r="102" spans="1:20">
      <c r="A102" s="796"/>
      <c r="B102" s="775" t="s">
        <v>278</v>
      </c>
      <c r="C102" s="725"/>
      <c r="D102" s="810"/>
      <c r="E102" s="811"/>
      <c r="F102" s="811"/>
      <c r="G102" s="811"/>
      <c r="H102" s="812"/>
      <c r="I102" s="810"/>
      <c r="J102" s="813"/>
      <c r="K102" s="813"/>
      <c r="L102" s="813"/>
      <c r="M102" s="814"/>
      <c r="N102" s="654"/>
      <c r="O102" s="654"/>
      <c r="P102" s="654"/>
      <c r="Q102" s="654"/>
      <c r="R102" s="654"/>
      <c r="S102" s="654"/>
      <c r="T102" s="654"/>
    </row>
    <row r="103" spans="1:20">
      <c r="A103" s="796"/>
      <c r="B103" s="724" t="s">
        <v>273</v>
      </c>
      <c r="C103" s="725"/>
      <c r="D103" s="815"/>
      <c r="E103" s="816"/>
      <c r="F103" s="816"/>
      <c r="G103" s="816"/>
      <c r="H103" s="817"/>
      <c r="I103" s="810"/>
      <c r="J103" s="813"/>
      <c r="K103" s="813"/>
      <c r="L103" s="813"/>
      <c r="M103" s="814"/>
      <c r="N103" s="654"/>
      <c r="O103" s="654"/>
      <c r="P103" s="654"/>
      <c r="Q103" s="654"/>
      <c r="R103" s="654"/>
      <c r="S103" s="654"/>
      <c r="T103" s="654"/>
    </row>
    <row r="104" spans="1:20">
      <c r="A104" s="796"/>
      <c r="B104" s="724" t="s">
        <v>274</v>
      </c>
      <c r="C104" s="725" t="s">
        <v>521</v>
      </c>
      <c r="D104" s="815"/>
      <c r="E104" s="816"/>
      <c r="F104" s="816"/>
      <c r="G104" s="816"/>
      <c r="H104" s="817"/>
      <c r="I104" s="810"/>
      <c r="J104" s="813"/>
      <c r="K104" s="813"/>
      <c r="L104" s="813"/>
      <c r="M104" s="814"/>
      <c r="N104" s="654"/>
      <c r="O104" s="654"/>
      <c r="P104" s="654"/>
      <c r="Q104" s="654"/>
      <c r="R104" s="654"/>
      <c r="S104" s="654"/>
      <c r="T104" s="654"/>
    </row>
    <row r="105" spans="1:20">
      <c r="A105" s="796"/>
      <c r="B105" s="724" t="s">
        <v>287</v>
      </c>
      <c r="C105" s="725"/>
      <c r="D105" s="810"/>
      <c r="E105" s="811"/>
      <c r="F105" s="811"/>
      <c r="G105" s="811"/>
      <c r="H105" s="812"/>
      <c r="I105" s="818">
        <f>SUM(I103:I104)</f>
        <v>0</v>
      </c>
      <c r="J105" s="818">
        <f>SUM(J103:J104)</f>
        <v>0</v>
      </c>
      <c r="K105" s="818">
        <f>SUM(K103:K104)</f>
        <v>0</v>
      </c>
      <c r="L105" s="818">
        <f>SUM(L103:L104)</f>
        <v>0</v>
      </c>
      <c r="M105" s="818">
        <f>SUM(M103:M104)</f>
        <v>0</v>
      </c>
      <c r="N105" s="654"/>
      <c r="O105" s="654"/>
      <c r="P105" s="654"/>
      <c r="Q105" s="654"/>
      <c r="R105" s="654"/>
      <c r="S105" s="654"/>
      <c r="T105" s="654"/>
    </row>
    <row r="106" spans="1:20" ht="13.5" thickBot="1">
      <c r="A106" s="796"/>
      <c r="B106" s="789" t="s">
        <v>853</v>
      </c>
      <c r="C106" s="740" t="s">
        <v>521</v>
      </c>
      <c r="D106" s="790">
        <f t="shared" ref="D106:M106" si="29">SUM(D83:D84,D87,D89:D90,D93,D95:D96,D99,D101:D102,D105)</f>
        <v>0</v>
      </c>
      <c r="E106" s="791">
        <f t="shared" si="29"/>
        <v>0</v>
      </c>
      <c r="F106" s="791">
        <f t="shared" si="29"/>
        <v>0</v>
      </c>
      <c r="G106" s="791">
        <f t="shared" si="29"/>
        <v>0</v>
      </c>
      <c r="H106" s="792">
        <f t="shared" si="29"/>
        <v>0</v>
      </c>
      <c r="I106" s="790">
        <f t="shared" si="29"/>
        <v>0</v>
      </c>
      <c r="J106" s="791">
        <f t="shared" si="29"/>
        <v>0</v>
      </c>
      <c r="K106" s="791">
        <f t="shared" si="29"/>
        <v>0</v>
      </c>
      <c r="L106" s="791">
        <f t="shared" si="29"/>
        <v>0</v>
      </c>
      <c r="M106" s="819">
        <f t="shared" si="29"/>
        <v>0</v>
      </c>
      <c r="N106" s="793"/>
      <c r="O106" s="654"/>
      <c r="P106" s="654"/>
      <c r="Q106" s="654"/>
      <c r="R106" s="654"/>
      <c r="S106" s="654"/>
      <c r="T106" s="654"/>
    </row>
    <row r="107" spans="1:20">
      <c r="B107" s="820"/>
      <c r="C107" s="714"/>
      <c r="D107" s="715"/>
      <c r="E107" s="715"/>
      <c r="F107" s="715"/>
      <c r="G107" s="715"/>
      <c r="H107" s="715"/>
      <c r="I107" s="715"/>
      <c r="J107" s="715"/>
      <c r="K107" s="715"/>
      <c r="L107" s="715"/>
      <c r="M107" s="715"/>
      <c r="N107" s="654"/>
      <c r="O107" s="715"/>
      <c r="P107" s="715"/>
      <c r="Q107" s="715"/>
      <c r="R107" s="654"/>
      <c r="S107" s="715"/>
      <c r="T107" s="715"/>
    </row>
    <row r="108" spans="1:20">
      <c r="B108" s="655" t="s">
        <v>292</v>
      </c>
      <c r="N108" s="654"/>
      <c r="O108" s="654"/>
      <c r="P108" s="654"/>
      <c r="Q108" s="654"/>
      <c r="R108" s="654"/>
      <c r="S108" s="654"/>
      <c r="T108" s="654"/>
    </row>
    <row r="109" spans="1:20" ht="13.5" thickBot="1">
      <c r="B109" s="655"/>
      <c r="F109" s="756"/>
      <c r="N109" s="654"/>
      <c r="O109" s="654"/>
      <c r="P109" s="654"/>
      <c r="Q109" s="654"/>
      <c r="R109" s="654"/>
      <c r="S109" s="654"/>
      <c r="T109" s="654"/>
    </row>
    <row r="110" spans="1:20">
      <c r="B110" s="1908"/>
      <c r="C110" s="1906" t="s">
        <v>31</v>
      </c>
      <c r="D110" s="657" t="s">
        <v>116</v>
      </c>
      <c r="E110" s="658"/>
      <c r="F110" s="658"/>
      <c r="G110" s="658"/>
      <c r="H110" s="659"/>
      <c r="I110" s="658" t="s">
        <v>117</v>
      </c>
      <c r="J110" s="660"/>
      <c r="K110" s="660"/>
      <c r="L110" s="660"/>
      <c r="M110" s="659"/>
      <c r="N110" s="654"/>
      <c r="O110" s="654"/>
      <c r="P110" s="654"/>
      <c r="Q110" s="654"/>
      <c r="R110" s="654"/>
      <c r="S110" s="654"/>
      <c r="T110" s="654"/>
    </row>
    <row r="111" spans="1:20">
      <c r="B111" s="1909"/>
      <c r="C111" s="1907"/>
      <c r="D111" s="665" t="s">
        <v>32</v>
      </c>
      <c r="E111" s="666" t="s">
        <v>33</v>
      </c>
      <c r="F111" s="666" t="s">
        <v>29</v>
      </c>
      <c r="G111" s="666" t="s">
        <v>34</v>
      </c>
      <c r="H111" s="667" t="s">
        <v>35</v>
      </c>
      <c r="I111" s="668" t="s">
        <v>118</v>
      </c>
      <c r="J111" s="666" t="s">
        <v>136</v>
      </c>
      <c r="K111" s="666" t="s">
        <v>137</v>
      </c>
      <c r="L111" s="666" t="s">
        <v>138</v>
      </c>
      <c r="M111" s="667" t="s">
        <v>139</v>
      </c>
      <c r="N111" s="654"/>
      <c r="O111" s="654"/>
      <c r="P111" s="654"/>
      <c r="Q111" s="654"/>
      <c r="R111" s="654"/>
      <c r="S111" s="654"/>
      <c r="T111" s="654"/>
    </row>
    <row r="112" spans="1:20">
      <c r="B112" s="742" t="s">
        <v>276</v>
      </c>
      <c r="C112" s="743"/>
      <c r="D112" s="744"/>
      <c r="E112" s="745"/>
      <c r="F112" s="745"/>
      <c r="G112" s="745"/>
      <c r="H112" s="746"/>
      <c r="I112" s="748"/>
      <c r="J112" s="748"/>
      <c r="K112" s="748"/>
      <c r="L112" s="748"/>
      <c r="M112" s="749"/>
      <c r="N112" s="750"/>
      <c r="O112" s="654"/>
      <c r="P112" s="654"/>
      <c r="Q112" s="654"/>
      <c r="R112" s="654"/>
      <c r="S112" s="654"/>
      <c r="T112" s="654"/>
    </row>
    <row r="113" spans="2:20">
      <c r="B113" s="751" t="s">
        <v>277</v>
      </c>
      <c r="C113" s="725"/>
      <c r="D113" s="752"/>
      <c r="E113" s="753"/>
      <c r="F113" s="753"/>
      <c r="G113" s="753"/>
      <c r="H113" s="754"/>
      <c r="I113" s="756"/>
      <c r="J113" s="756"/>
      <c r="K113" s="756"/>
      <c r="L113" s="756"/>
      <c r="M113" s="757"/>
      <c r="N113" s="750"/>
      <c r="O113" s="654"/>
      <c r="P113" s="654"/>
      <c r="Q113" s="654"/>
      <c r="R113" s="654"/>
      <c r="S113" s="654"/>
      <c r="T113" s="654"/>
    </row>
    <row r="114" spans="2:20">
      <c r="B114" s="758" t="s">
        <v>520</v>
      </c>
      <c r="C114" s="725" t="s">
        <v>521</v>
      </c>
      <c r="D114" s="801"/>
      <c r="E114" s="802"/>
      <c r="F114" s="802"/>
      <c r="G114" s="802"/>
      <c r="H114" s="803"/>
      <c r="I114" s="801"/>
      <c r="J114" s="804"/>
      <c r="K114" s="804"/>
      <c r="L114" s="804"/>
      <c r="M114" s="805"/>
      <c r="N114" s="654"/>
      <c r="O114" s="654"/>
      <c r="P114" s="654"/>
      <c r="Q114" s="654"/>
      <c r="R114" s="654"/>
      <c r="S114" s="654"/>
      <c r="T114" s="654"/>
    </row>
    <row r="115" spans="2:20">
      <c r="B115" s="763" t="s">
        <v>278</v>
      </c>
      <c r="C115" s="725"/>
      <c r="D115" s="801"/>
      <c r="E115" s="802"/>
      <c r="F115" s="802"/>
      <c r="G115" s="802"/>
      <c r="H115" s="803"/>
      <c r="I115" s="801"/>
      <c r="J115" s="804"/>
      <c r="K115" s="804"/>
      <c r="L115" s="804"/>
      <c r="M115" s="805"/>
      <c r="N115" s="654"/>
      <c r="O115" s="654"/>
      <c r="P115" s="654"/>
      <c r="Q115" s="654"/>
      <c r="R115" s="654"/>
      <c r="S115" s="654"/>
      <c r="T115" s="654"/>
    </row>
    <row r="116" spans="2:20">
      <c r="B116" s="724" t="s">
        <v>279</v>
      </c>
      <c r="C116" s="725"/>
      <c r="D116" s="776"/>
      <c r="E116" s="777"/>
      <c r="F116" s="777"/>
      <c r="G116" s="777"/>
      <c r="H116" s="778"/>
      <c r="I116" s="801"/>
      <c r="J116" s="804"/>
      <c r="K116" s="804"/>
      <c r="L116" s="804"/>
      <c r="M116" s="805"/>
      <c r="N116" s="654"/>
      <c r="O116" s="654"/>
      <c r="P116" s="654"/>
      <c r="Q116" s="654"/>
      <c r="R116" s="654"/>
      <c r="S116" s="654"/>
      <c r="T116" s="654"/>
    </row>
    <row r="117" spans="2:20">
      <c r="B117" s="724" t="s">
        <v>280</v>
      </c>
      <c r="C117" s="725" t="s">
        <v>521</v>
      </c>
      <c r="D117" s="776"/>
      <c r="E117" s="777"/>
      <c r="F117" s="777"/>
      <c r="G117" s="777"/>
      <c r="H117" s="778"/>
      <c r="I117" s="801"/>
      <c r="J117" s="804"/>
      <c r="K117" s="804"/>
      <c r="L117" s="804"/>
      <c r="M117" s="805"/>
      <c r="N117" s="654"/>
      <c r="O117" s="654"/>
      <c r="P117" s="654"/>
      <c r="Q117" s="654"/>
      <c r="R117" s="654"/>
      <c r="S117" s="654"/>
      <c r="T117" s="654"/>
    </row>
    <row r="118" spans="2:20">
      <c r="B118" s="724" t="s">
        <v>281</v>
      </c>
      <c r="C118" s="725"/>
      <c r="D118" s="801"/>
      <c r="E118" s="804"/>
      <c r="F118" s="804"/>
      <c r="G118" s="804"/>
      <c r="H118" s="803"/>
      <c r="I118" s="806">
        <f>SUM(I116:I117)</f>
        <v>0</v>
      </c>
      <c r="J118" s="807">
        <f>SUM(J116:J117)</f>
        <v>0</v>
      </c>
      <c r="K118" s="807">
        <f>SUM(K116:K117)</f>
        <v>0</v>
      </c>
      <c r="L118" s="807">
        <f>SUM(L116:L117)</f>
        <v>0</v>
      </c>
      <c r="M118" s="808">
        <f>SUM(M116:M117)</f>
        <v>0</v>
      </c>
      <c r="N118" s="654"/>
      <c r="O118" s="654"/>
      <c r="P118" s="654"/>
      <c r="Q118" s="654"/>
      <c r="R118" s="654"/>
      <c r="S118" s="654"/>
      <c r="T118" s="654"/>
    </row>
    <row r="119" spans="2:20">
      <c r="B119" s="767" t="s">
        <v>289</v>
      </c>
      <c r="C119" s="725"/>
      <c r="D119" s="768"/>
      <c r="E119" s="769"/>
      <c r="F119" s="769"/>
      <c r="G119" s="769"/>
      <c r="H119" s="770"/>
      <c r="I119" s="771"/>
      <c r="J119" s="772"/>
      <c r="K119" s="772"/>
      <c r="L119" s="809"/>
      <c r="M119" s="773"/>
      <c r="N119" s="750"/>
      <c r="O119" s="654"/>
      <c r="P119" s="654"/>
      <c r="Q119" s="654"/>
      <c r="R119" s="654"/>
      <c r="S119" s="654"/>
      <c r="T119" s="654"/>
    </row>
    <row r="120" spans="2:20">
      <c r="B120" s="774" t="s">
        <v>520</v>
      </c>
      <c r="C120" s="725" t="s">
        <v>521</v>
      </c>
      <c r="D120" s="801"/>
      <c r="E120" s="802"/>
      <c r="F120" s="802"/>
      <c r="G120" s="802"/>
      <c r="H120" s="803"/>
      <c r="I120" s="801"/>
      <c r="J120" s="804"/>
      <c r="K120" s="804"/>
      <c r="L120" s="804"/>
      <c r="M120" s="805"/>
      <c r="N120" s="654"/>
      <c r="O120" s="654"/>
      <c r="P120" s="654"/>
      <c r="Q120" s="654"/>
      <c r="R120" s="654"/>
      <c r="S120" s="654"/>
      <c r="T120" s="654"/>
    </row>
    <row r="121" spans="2:20">
      <c r="B121" s="775" t="s">
        <v>278</v>
      </c>
      <c r="C121" s="725"/>
      <c r="D121" s="801"/>
      <c r="E121" s="802"/>
      <c r="F121" s="802"/>
      <c r="G121" s="802"/>
      <c r="H121" s="803"/>
      <c r="I121" s="801"/>
      <c r="J121" s="804"/>
      <c r="K121" s="804"/>
      <c r="L121" s="804"/>
      <c r="M121" s="805"/>
      <c r="N121" s="654"/>
      <c r="O121" s="654"/>
      <c r="P121" s="654"/>
      <c r="Q121" s="654"/>
      <c r="R121" s="654"/>
      <c r="S121" s="654"/>
      <c r="T121" s="654"/>
    </row>
    <row r="122" spans="2:20">
      <c r="B122" s="724" t="s">
        <v>269</v>
      </c>
      <c r="C122" s="725"/>
      <c r="D122" s="776"/>
      <c r="E122" s="777"/>
      <c r="F122" s="777"/>
      <c r="G122" s="777"/>
      <c r="H122" s="778"/>
      <c r="I122" s="801"/>
      <c r="J122" s="804"/>
      <c r="K122" s="804"/>
      <c r="L122" s="804"/>
      <c r="M122" s="805"/>
      <c r="N122" s="654"/>
      <c r="O122" s="654"/>
      <c r="P122" s="654"/>
      <c r="Q122" s="654"/>
      <c r="R122" s="654"/>
      <c r="S122" s="654"/>
      <c r="T122" s="654"/>
    </row>
    <row r="123" spans="2:20">
      <c r="B123" s="724" t="s">
        <v>270</v>
      </c>
      <c r="C123" s="725" t="s">
        <v>521</v>
      </c>
      <c r="D123" s="776"/>
      <c r="E123" s="777"/>
      <c r="F123" s="777"/>
      <c r="G123" s="777"/>
      <c r="H123" s="778"/>
      <c r="I123" s="801"/>
      <c r="J123" s="804"/>
      <c r="K123" s="804"/>
      <c r="L123" s="804"/>
      <c r="M123" s="805"/>
      <c r="N123" s="654"/>
      <c r="O123" s="654"/>
      <c r="P123" s="654"/>
      <c r="Q123" s="654"/>
      <c r="R123" s="654"/>
      <c r="S123" s="654"/>
      <c r="T123" s="654"/>
    </row>
    <row r="124" spans="2:20">
      <c r="B124" s="724" t="s">
        <v>283</v>
      </c>
      <c r="C124" s="725"/>
      <c r="D124" s="801"/>
      <c r="E124" s="804"/>
      <c r="F124" s="804"/>
      <c r="G124" s="804"/>
      <c r="H124" s="803"/>
      <c r="I124" s="806">
        <f>SUM(I122:I123)</f>
        <v>0</v>
      </c>
      <c r="J124" s="806">
        <f>SUM(J122:J123)</f>
        <v>0</v>
      </c>
      <c r="K124" s="806">
        <f>SUM(K122:K123)</f>
        <v>0</v>
      </c>
      <c r="L124" s="806">
        <f>SUM(L122:L123)</f>
        <v>0</v>
      </c>
      <c r="M124" s="821">
        <f>SUM(M122:M123)</f>
        <v>0</v>
      </c>
      <c r="N124" s="654"/>
      <c r="O124" s="654"/>
      <c r="P124" s="654"/>
      <c r="Q124" s="654"/>
      <c r="R124" s="654"/>
      <c r="S124" s="654"/>
      <c r="T124" s="654"/>
    </row>
    <row r="125" spans="2:20">
      <c r="B125" s="767" t="s">
        <v>290</v>
      </c>
      <c r="C125" s="725"/>
      <c r="D125" s="768"/>
      <c r="E125" s="769"/>
      <c r="F125" s="769"/>
      <c r="G125" s="769"/>
      <c r="H125" s="770"/>
      <c r="I125" s="771"/>
      <c r="J125" s="772"/>
      <c r="K125" s="772"/>
      <c r="L125" s="809"/>
      <c r="M125" s="773"/>
      <c r="N125" s="750"/>
      <c r="O125" s="654"/>
      <c r="P125" s="654"/>
      <c r="Q125" s="654"/>
      <c r="R125" s="654"/>
      <c r="S125" s="654"/>
      <c r="T125" s="654"/>
    </row>
    <row r="126" spans="2:20">
      <c r="B126" s="774" t="s">
        <v>520</v>
      </c>
      <c r="C126" s="725" t="s">
        <v>521</v>
      </c>
      <c r="D126" s="801"/>
      <c r="E126" s="802"/>
      <c r="F126" s="802"/>
      <c r="G126" s="802"/>
      <c r="H126" s="803"/>
      <c r="I126" s="801"/>
      <c r="J126" s="804"/>
      <c r="K126" s="804"/>
      <c r="L126" s="804"/>
      <c r="M126" s="805"/>
      <c r="N126" s="654"/>
      <c r="O126" s="654"/>
      <c r="P126" s="654"/>
      <c r="Q126" s="654"/>
      <c r="R126" s="654"/>
      <c r="S126" s="654"/>
      <c r="T126" s="654"/>
    </row>
    <row r="127" spans="2:20">
      <c r="B127" s="775" t="s">
        <v>278</v>
      </c>
      <c r="C127" s="725"/>
      <c r="D127" s="801"/>
      <c r="E127" s="802"/>
      <c r="F127" s="802"/>
      <c r="G127" s="802"/>
      <c r="H127" s="803"/>
      <c r="I127" s="801"/>
      <c r="J127" s="804"/>
      <c r="K127" s="804"/>
      <c r="L127" s="804"/>
      <c r="M127" s="805"/>
      <c r="N127" s="654"/>
      <c r="O127" s="654"/>
      <c r="P127" s="654"/>
      <c r="Q127" s="654"/>
      <c r="R127" s="654"/>
      <c r="S127" s="654"/>
      <c r="T127" s="654"/>
    </row>
    <row r="128" spans="2:20">
      <c r="B128" s="724" t="s">
        <v>271</v>
      </c>
      <c r="C128" s="725"/>
      <c r="D128" s="764"/>
      <c r="E128" s="765"/>
      <c r="F128" s="765"/>
      <c r="G128" s="765"/>
      <c r="H128" s="766"/>
      <c r="I128" s="801"/>
      <c r="J128" s="804"/>
      <c r="K128" s="804"/>
      <c r="L128" s="804"/>
      <c r="M128" s="805"/>
      <c r="N128" s="654"/>
      <c r="O128" s="654"/>
      <c r="P128" s="654"/>
      <c r="Q128" s="654"/>
      <c r="R128" s="654"/>
      <c r="S128" s="654"/>
      <c r="T128" s="654"/>
    </row>
    <row r="129" spans="2:20">
      <c r="B129" s="724" t="s">
        <v>272</v>
      </c>
      <c r="C129" s="725" t="s">
        <v>521</v>
      </c>
      <c r="D129" s="764"/>
      <c r="E129" s="765"/>
      <c r="F129" s="765"/>
      <c r="G129" s="765"/>
      <c r="H129" s="766"/>
      <c r="I129" s="801"/>
      <c r="J129" s="804"/>
      <c r="K129" s="804"/>
      <c r="L129" s="804"/>
      <c r="M129" s="805"/>
      <c r="N129" s="654"/>
      <c r="O129" s="654"/>
      <c r="P129" s="654"/>
      <c r="Q129" s="654"/>
      <c r="R129" s="654"/>
      <c r="S129" s="654"/>
      <c r="T129" s="654"/>
    </row>
    <row r="130" spans="2:20">
      <c r="B130" s="724" t="s">
        <v>285</v>
      </c>
      <c r="C130" s="725"/>
      <c r="D130" s="801"/>
      <c r="E130" s="804"/>
      <c r="F130" s="804"/>
      <c r="G130" s="804"/>
      <c r="H130" s="803"/>
      <c r="I130" s="806">
        <f>SUM(I128:I129)</f>
        <v>0</v>
      </c>
      <c r="J130" s="806">
        <f>SUM(J128:J129)</f>
        <v>0</v>
      </c>
      <c r="K130" s="806">
        <f>SUM(K128:K129)</f>
        <v>0</v>
      </c>
      <c r="L130" s="806">
        <f>SUM(L128:L129)</f>
        <v>0</v>
      </c>
      <c r="M130" s="821">
        <f>SUM(M128:M129)</f>
        <v>0</v>
      </c>
      <c r="N130" s="654"/>
      <c r="O130" s="654"/>
      <c r="P130" s="654"/>
      <c r="Q130" s="654"/>
      <c r="R130" s="654"/>
      <c r="S130" s="654"/>
      <c r="T130" s="654"/>
    </row>
    <row r="131" spans="2:20">
      <c r="B131" s="767" t="s">
        <v>291</v>
      </c>
      <c r="C131" s="725"/>
      <c r="D131" s="768"/>
      <c r="E131" s="769"/>
      <c r="F131" s="769"/>
      <c r="G131" s="769"/>
      <c r="H131" s="770"/>
      <c r="I131" s="771"/>
      <c r="J131" s="772"/>
      <c r="K131" s="772"/>
      <c r="L131" s="809"/>
      <c r="M131" s="773"/>
      <c r="N131" s="750"/>
      <c r="O131" s="654"/>
      <c r="P131" s="654"/>
      <c r="Q131" s="654"/>
      <c r="R131" s="654"/>
      <c r="S131" s="654"/>
      <c r="T131" s="654"/>
    </row>
    <row r="132" spans="2:20">
      <c r="B132" s="774" t="s">
        <v>520</v>
      </c>
      <c r="C132" s="725" t="s">
        <v>521</v>
      </c>
      <c r="D132" s="810"/>
      <c r="E132" s="811"/>
      <c r="F132" s="811"/>
      <c r="G132" s="811"/>
      <c r="H132" s="812"/>
      <c r="I132" s="810"/>
      <c r="J132" s="813"/>
      <c r="K132" s="813"/>
      <c r="L132" s="813"/>
      <c r="M132" s="814"/>
      <c r="N132" s="654"/>
      <c r="O132" s="654"/>
      <c r="P132" s="654"/>
      <c r="Q132" s="654"/>
      <c r="R132" s="654"/>
      <c r="S132" s="654"/>
      <c r="T132" s="654"/>
    </row>
    <row r="133" spans="2:20">
      <c r="B133" s="775" t="s">
        <v>278</v>
      </c>
      <c r="C133" s="725"/>
      <c r="D133" s="810"/>
      <c r="E133" s="811"/>
      <c r="F133" s="811"/>
      <c r="G133" s="811"/>
      <c r="H133" s="812"/>
      <c r="I133" s="810"/>
      <c r="J133" s="813"/>
      <c r="K133" s="813"/>
      <c r="L133" s="813"/>
      <c r="M133" s="814"/>
      <c r="N133" s="654"/>
      <c r="O133" s="654"/>
      <c r="P133" s="654"/>
      <c r="Q133" s="654"/>
      <c r="R133" s="654"/>
      <c r="S133" s="654"/>
      <c r="T133" s="654"/>
    </row>
    <row r="134" spans="2:20">
      <c r="B134" s="724" t="s">
        <v>273</v>
      </c>
      <c r="C134" s="725"/>
      <c r="D134" s="815"/>
      <c r="E134" s="816"/>
      <c r="F134" s="816"/>
      <c r="G134" s="816"/>
      <c r="H134" s="817"/>
      <c r="I134" s="810"/>
      <c r="J134" s="813"/>
      <c r="K134" s="813"/>
      <c r="L134" s="813"/>
      <c r="M134" s="814"/>
      <c r="N134" s="654"/>
      <c r="O134" s="654"/>
      <c r="P134" s="654"/>
      <c r="Q134" s="654"/>
      <c r="R134" s="654"/>
      <c r="S134" s="654"/>
      <c r="T134" s="654"/>
    </row>
    <row r="135" spans="2:20">
      <c r="B135" s="724" t="s">
        <v>274</v>
      </c>
      <c r="C135" s="725" t="s">
        <v>521</v>
      </c>
      <c r="D135" s="815"/>
      <c r="E135" s="816"/>
      <c r="F135" s="816"/>
      <c r="G135" s="816"/>
      <c r="H135" s="817"/>
      <c r="I135" s="810"/>
      <c r="J135" s="813"/>
      <c r="K135" s="813"/>
      <c r="L135" s="813"/>
      <c r="M135" s="814"/>
      <c r="N135" s="654"/>
      <c r="O135" s="654"/>
      <c r="P135" s="654"/>
      <c r="Q135" s="654"/>
      <c r="R135" s="654"/>
      <c r="S135" s="654"/>
      <c r="T135" s="654"/>
    </row>
    <row r="136" spans="2:20">
      <c r="B136" s="724" t="s">
        <v>287</v>
      </c>
      <c r="C136" s="725"/>
      <c r="D136" s="810"/>
      <c r="E136" s="811"/>
      <c r="F136" s="811"/>
      <c r="G136" s="811"/>
      <c r="H136" s="812"/>
      <c r="I136" s="818">
        <f>SUM(I134:I135)</f>
        <v>0</v>
      </c>
      <c r="J136" s="818">
        <f>SUM(J134:J135)</f>
        <v>0</v>
      </c>
      <c r="K136" s="818">
        <f>SUM(K134:K135)</f>
        <v>0</v>
      </c>
      <c r="L136" s="818">
        <f>SUM(L134:L135)</f>
        <v>0</v>
      </c>
      <c r="M136" s="822">
        <f>SUM(M134:M135)</f>
        <v>0</v>
      </c>
      <c r="N136" s="654"/>
      <c r="O136" s="654"/>
      <c r="P136" s="654"/>
      <c r="Q136" s="654"/>
      <c r="R136" s="654"/>
      <c r="S136" s="654"/>
      <c r="T136" s="654"/>
    </row>
    <row r="137" spans="2:20" ht="13.5" thickBot="1">
      <c r="B137" s="789" t="s">
        <v>853</v>
      </c>
      <c r="C137" s="740" t="s">
        <v>521</v>
      </c>
      <c r="D137" s="790">
        <f t="shared" ref="D137:M137" si="30">SUM(D114:D115,D118,D120:D121,D124,D126:D127,D130,D132:D133,D136)</f>
        <v>0</v>
      </c>
      <c r="E137" s="791">
        <f t="shared" si="30"/>
        <v>0</v>
      </c>
      <c r="F137" s="791">
        <f t="shared" si="30"/>
        <v>0</v>
      </c>
      <c r="G137" s="791">
        <f t="shared" si="30"/>
        <v>0</v>
      </c>
      <c r="H137" s="792">
        <f t="shared" si="30"/>
        <v>0</v>
      </c>
      <c r="I137" s="790">
        <f t="shared" si="30"/>
        <v>0</v>
      </c>
      <c r="J137" s="791">
        <f t="shared" si="30"/>
        <v>0</v>
      </c>
      <c r="K137" s="791">
        <f t="shared" si="30"/>
        <v>0</v>
      </c>
      <c r="L137" s="791">
        <f t="shared" si="30"/>
        <v>0</v>
      </c>
      <c r="M137" s="819">
        <f t="shared" si="30"/>
        <v>0</v>
      </c>
      <c r="N137" s="793"/>
      <c r="O137" s="654"/>
      <c r="P137" s="654"/>
      <c r="Q137" s="654"/>
      <c r="R137" s="654"/>
      <c r="S137" s="654"/>
      <c r="T137" s="654"/>
    </row>
    <row r="138" spans="2:20">
      <c r="B138" s="820"/>
      <c r="C138" s="714"/>
      <c r="D138" s="715"/>
      <c r="E138" s="715"/>
      <c r="F138" s="715"/>
      <c r="G138" s="715"/>
      <c r="H138" s="715"/>
      <c r="I138" s="715"/>
      <c r="J138" s="715"/>
      <c r="K138" s="715"/>
      <c r="L138" s="715"/>
      <c r="M138" s="715"/>
      <c r="N138" s="654"/>
      <c r="O138" s="715"/>
      <c r="P138" s="715"/>
      <c r="Q138" s="715"/>
      <c r="R138" s="654"/>
      <c r="S138" s="715"/>
      <c r="T138" s="715"/>
    </row>
    <row r="139" spans="2:20">
      <c r="B139" s="820"/>
      <c r="C139" s="714"/>
      <c r="D139" s="715"/>
      <c r="E139" s="715"/>
      <c r="F139" s="715"/>
      <c r="G139" s="715"/>
      <c r="H139" s="715"/>
      <c r="I139" s="715"/>
      <c r="J139" s="715"/>
      <c r="K139" s="715"/>
      <c r="L139" s="715"/>
      <c r="M139" s="715"/>
      <c r="N139" s="654"/>
      <c r="O139" s="715"/>
      <c r="P139" s="715"/>
      <c r="Q139" s="715"/>
      <c r="R139" s="654"/>
      <c r="S139" s="715"/>
      <c r="T139" s="715"/>
    </row>
    <row r="140" spans="2:20">
      <c r="B140" s="820"/>
      <c r="C140" s="714"/>
      <c r="D140" s="715"/>
      <c r="E140" s="715"/>
      <c r="F140" s="715"/>
      <c r="G140" s="715"/>
      <c r="H140" s="715"/>
      <c r="I140" s="715"/>
      <c r="J140" s="715"/>
      <c r="K140" s="715"/>
      <c r="L140" s="715"/>
      <c r="M140" s="715"/>
      <c r="N140" s="654"/>
      <c r="O140" s="715"/>
      <c r="P140" s="715"/>
      <c r="Q140" s="715"/>
      <c r="R140" s="654"/>
      <c r="S140" s="715"/>
      <c r="T140" s="715"/>
    </row>
    <row r="141" spans="2:20">
      <c r="B141" s="713" t="s">
        <v>293</v>
      </c>
      <c r="C141" s="714"/>
      <c r="D141" s="715"/>
      <c r="E141" s="715"/>
      <c r="F141" s="715"/>
      <c r="G141" s="715"/>
      <c r="H141" s="715"/>
      <c r="I141" s="715"/>
      <c r="J141" s="715"/>
      <c r="K141" s="715"/>
      <c r="L141" s="715"/>
      <c r="M141" s="715"/>
      <c r="N141" s="654"/>
      <c r="O141" s="715"/>
      <c r="P141" s="715"/>
      <c r="Q141" s="715"/>
      <c r="R141" s="654"/>
      <c r="S141" s="715"/>
      <c r="T141" s="715"/>
    </row>
    <row r="142" spans="2:20" ht="13.5" thickBot="1">
      <c r="B142" s="713"/>
      <c r="C142" s="714"/>
      <c r="D142" s="715"/>
      <c r="E142" s="715"/>
      <c r="F142" s="715"/>
      <c r="G142" s="715"/>
      <c r="H142" s="715"/>
      <c r="I142" s="715"/>
      <c r="J142" s="715"/>
      <c r="K142" s="715"/>
      <c r="L142" s="715"/>
      <c r="M142" s="715"/>
      <c r="N142" s="654"/>
      <c r="O142" s="715"/>
      <c r="P142" s="715"/>
      <c r="Q142" s="715"/>
      <c r="R142" s="654"/>
      <c r="S142" s="715"/>
      <c r="T142" s="715"/>
    </row>
    <row r="143" spans="2:20">
      <c r="B143" s="1904" t="s">
        <v>857</v>
      </c>
      <c r="C143" s="1906" t="s">
        <v>31</v>
      </c>
      <c r="D143" s="657" t="s">
        <v>116</v>
      </c>
      <c r="E143" s="658"/>
      <c r="F143" s="658"/>
      <c r="G143" s="658"/>
      <c r="H143" s="659"/>
      <c r="I143" s="658" t="s">
        <v>117</v>
      </c>
      <c r="J143" s="660"/>
      <c r="K143" s="660"/>
      <c r="L143" s="660"/>
      <c r="M143" s="659"/>
      <c r="N143" s="654"/>
      <c r="O143" s="661" t="s">
        <v>116</v>
      </c>
      <c r="P143" s="662"/>
      <c r="Q143" s="663"/>
      <c r="R143" s="654"/>
      <c r="S143" s="661" t="s">
        <v>117</v>
      </c>
      <c r="T143" s="663"/>
    </row>
    <row r="144" spans="2:20">
      <c r="B144" s="1905"/>
      <c r="C144" s="1907"/>
      <c r="D144" s="665" t="s">
        <v>32</v>
      </c>
      <c r="E144" s="666" t="s">
        <v>33</v>
      </c>
      <c r="F144" s="666" t="s">
        <v>29</v>
      </c>
      <c r="G144" s="666" t="s">
        <v>34</v>
      </c>
      <c r="H144" s="667" t="s">
        <v>35</v>
      </c>
      <c r="I144" s="668" t="s">
        <v>118</v>
      </c>
      <c r="J144" s="666" t="s">
        <v>136</v>
      </c>
      <c r="K144" s="666" t="s">
        <v>137</v>
      </c>
      <c r="L144" s="666" t="s">
        <v>138</v>
      </c>
      <c r="M144" s="667" t="s">
        <v>139</v>
      </c>
      <c r="N144" s="654"/>
      <c r="O144" s="669" t="s">
        <v>126</v>
      </c>
      <c r="P144" s="670" t="s">
        <v>127</v>
      </c>
      <c r="Q144" s="671" t="s">
        <v>246</v>
      </c>
      <c r="R144" s="654"/>
      <c r="S144" s="669" t="s">
        <v>127</v>
      </c>
      <c r="T144" s="671" t="s">
        <v>128</v>
      </c>
    </row>
    <row r="145" spans="2:20">
      <c r="B145" s="823" t="s">
        <v>862</v>
      </c>
      <c r="C145" s="824"/>
      <c r="D145" s="744"/>
      <c r="E145" s="745"/>
      <c r="F145" s="745"/>
      <c r="G145" s="745"/>
      <c r="H145" s="746"/>
      <c r="I145" s="748"/>
      <c r="J145" s="748"/>
      <c r="K145" s="748"/>
      <c r="L145" s="748"/>
      <c r="M145" s="749"/>
      <c r="N145" s="654"/>
      <c r="O145" s="747"/>
      <c r="P145" s="748"/>
      <c r="Q145" s="749"/>
      <c r="R145" s="654"/>
      <c r="S145" s="747"/>
      <c r="T145" s="749"/>
    </row>
    <row r="146" spans="2:20">
      <c r="B146" s="716" t="s">
        <v>671</v>
      </c>
      <c r="C146" s="717"/>
      <c r="D146" s="718"/>
      <c r="E146" s="719"/>
      <c r="F146" s="719"/>
      <c r="G146" s="719"/>
      <c r="H146" s="720"/>
      <c r="I146" s="719"/>
      <c r="J146" s="719"/>
      <c r="K146" s="719"/>
      <c r="L146" s="719"/>
      <c r="M146" s="720"/>
      <c r="N146" s="654"/>
      <c r="O146" s="721"/>
      <c r="P146" s="722"/>
      <c r="Q146" s="723"/>
      <c r="R146" s="654"/>
      <c r="S146" s="718"/>
      <c r="T146" s="720"/>
    </row>
    <row r="147" spans="2:20">
      <c r="B147" s="724" t="s">
        <v>267</v>
      </c>
      <c r="C147" s="725" t="s">
        <v>14</v>
      </c>
      <c r="D147" s="825"/>
      <c r="E147" s="826"/>
      <c r="F147" s="826"/>
      <c r="G147" s="826"/>
      <c r="H147" s="827"/>
      <c r="I147" s="702"/>
      <c r="J147" s="704"/>
      <c r="K147" s="704"/>
      <c r="L147" s="704"/>
      <c r="M147" s="703"/>
      <c r="N147" s="654"/>
      <c r="O147" s="698"/>
      <c r="P147" s="699"/>
      <c r="Q147" s="700"/>
      <c r="R147" s="654"/>
      <c r="S147" s="698"/>
      <c r="T147" s="701"/>
    </row>
    <row r="148" spans="2:20">
      <c r="B148" s="724" t="s">
        <v>294</v>
      </c>
      <c r="C148" s="725" t="s">
        <v>295</v>
      </c>
      <c r="D148" s="828"/>
      <c r="E148" s="829"/>
      <c r="F148" s="829"/>
      <c r="G148" s="829"/>
      <c r="H148" s="830"/>
      <c r="I148" s="831"/>
      <c r="J148" s="832"/>
      <c r="K148" s="832"/>
      <c r="L148" s="832"/>
      <c r="M148" s="833"/>
      <c r="N148" s="654"/>
      <c r="O148" s="698"/>
      <c r="P148" s="699"/>
      <c r="Q148" s="700"/>
      <c r="R148" s="654"/>
      <c r="S148" s="698"/>
      <c r="T148" s="701"/>
    </row>
    <row r="149" spans="2:20">
      <c r="B149" s="724" t="s">
        <v>296</v>
      </c>
      <c r="C149" s="725" t="s">
        <v>295</v>
      </c>
      <c r="D149" s="828"/>
      <c r="E149" s="829"/>
      <c r="F149" s="829"/>
      <c r="G149" s="829"/>
      <c r="H149" s="830"/>
      <c r="I149" s="834">
        <f>1-I148</f>
        <v>1</v>
      </c>
      <c r="J149" s="835">
        <f>1-J148</f>
        <v>1</v>
      </c>
      <c r="K149" s="835">
        <f>1-K148</f>
        <v>1</v>
      </c>
      <c r="L149" s="835">
        <f>1-L148</f>
        <v>1</v>
      </c>
      <c r="M149" s="836">
        <f>1-M148</f>
        <v>1</v>
      </c>
      <c r="N149" s="654"/>
      <c r="O149" s="698"/>
      <c r="P149" s="699"/>
      <c r="Q149" s="700"/>
      <c r="R149" s="654"/>
      <c r="S149" s="698"/>
      <c r="T149" s="701"/>
    </row>
    <row r="150" spans="2:20">
      <c r="B150" s="724" t="s">
        <v>268</v>
      </c>
      <c r="C150" s="725" t="s">
        <v>14</v>
      </c>
      <c r="D150" s="825"/>
      <c r="E150" s="826"/>
      <c r="F150" s="826"/>
      <c r="G150" s="826"/>
      <c r="H150" s="827"/>
      <c r="I150" s="702"/>
      <c r="J150" s="704"/>
      <c r="K150" s="704"/>
      <c r="L150" s="704"/>
      <c r="M150" s="703"/>
      <c r="N150" s="654"/>
      <c r="O150" s="698"/>
      <c r="P150" s="699"/>
      <c r="Q150" s="700"/>
      <c r="R150" s="654"/>
      <c r="S150" s="698"/>
      <c r="T150" s="701"/>
    </row>
    <row r="151" spans="2:20">
      <c r="B151" s="724" t="s">
        <v>297</v>
      </c>
      <c r="C151" s="725" t="s">
        <v>295</v>
      </c>
      <c r="D151" s="825"/>
      <c r="E151" s="826"/>
      <c r="F151" s="826"/>
      <c r="G151" s="826"/>
      <c r="H151" s="827"/>
      <c r="I151" s="702"/>
      <c r="J151" s="704"/>
      <c r="K151" s="704"/>
      <c r="L151" s="704"/>
      <c r="M151" s="703"/>
      <c r="N151" s="654"/>
      <c r="O151" s="698"/>
      <c r="P151" s="699"/>
      <c r="Q151" s="700"/>
      <c r="R151" s="654"/>
      <c r="S151" s="698"/>
      <c r="T151" s="701"/>
    </row>
    <row r="152" spans="2:20">
      <c r="B152" s="724" t="s">
        <v>298</v>
      </c>
      <c r="C152" s="725" t="s">
        <v>295</v>
      </c>
      <c r="D152" s="828"/>
      <c r="E152" s="829"/>
      <c r="F152" s="829"/>
      <c r="G152" s="829"/>
      <c r="H152" s="830"/>
      <c r="I152" s="834">
        <f>1-I151</f>
        <v>1</v>
      </c>
      <c r="J152" s="835">
        <f>1-J151</f>
        <v>1</v>
      </c>
      <c r="K152" s="835">
        <f>1-K151</f>
        <v>1</v>
      </c>
      <c r="L152" s="835">
        <f>1-L151</f>
        <v>1</v>
      </c>
      <c r="M152" s="836">
        <f>1-M151</f>
        <v>1</v>
      </c>
      <c r="N152" s="654"/>
      <c r="O152" s="698"/>
      <c r="P152" s="699"/>
      <c r="Q152" s="700"/>
      <c r="R152" s="654"/>
      <c r="S152" s="698"/>
      <c r="T152" s="701"/>
    </row>
    <row r="153" spans="2:20">
      <c r="B153" s="732" t="s">
        <v>865</v>
      </c>
      <c r="C153" s="725" t="s">
        <v>14</v>
      </c>
      <c r="D153" s="687"/>
      <c r="E153" s="702"/>
      <c r="F153" s="702"/>
      <c r="G153" s="702"/>
      <c r="H153" s="703"/>
      <c r="I153" s="733">
        <f>SUM(I147,I150)</f>
        <v>0</v>
      </c>
      <c r="J153" s="678">
        <f>SUM(J147,J150)</f>
        <v>0</v>
      </c>
      <c r="K153" s="678">
        <f>SUM(K147,K150)</f>
        <v>0</v>
      </c>
      <c r="L153" s="678">
        <f>SUM(L147,L150)</f>
        <v>0</v>
      </c>
      <c r="M153" s="679">
        <f>SUM(M147,M150)</f>
        <v>0</v>
      </c>
      <c r="N153" s="654"/>
      <c r="O153" s="677">
        <f>SUM(D153:G153)</f>
        <v>0</v>
      </c>
      <c r="P153" s="678">
        <f>SUM(H153)</f>
        <v>0</v>
      </c>
      <c r="Q153" s="679">
        <f>SUM(D153:H153)</f>
        <v>0</v>
      </c>
      <c r="R153" s="654"/>
      <c r="S153" s="677">
        <f>SUM(I153:M153)</f>
        <v>0</v>
      </c>
      <c r="T153" s="680" t="str">
        <f>IF(Q153&lt;&gt;0,(S153-Q153)/Q153,"0")</f>
        <v>0</v>
      </c>
    </row>
    <row r="154" spans="2:20">
      <c r="B154" s="716" t="s">
        <v>299</v>
      </c>
      <c r="C154" s="734"/>
      <c r="D154" s="735"/>
      <c r="E154" s="736"/>
      <c r="F154" s="736"/>
      <c r="G154" s="736"/>
      <c r="H154" s="737"/>
      <c r="I154" s="736"/>
      <c r="J154" s="736"/>
      <c r="K154" s="736"/>
      <c r="L154" s="736"/>
      <c r="M154" s="737"/>
      <c r="N154" s="654"/>
      <c r="O154" s="738"/>
      <c r="P154" s="736"/>
      <c r="Q154" s="737"/>
      <c r="R154" s="654"/>
      <c r="S154" s="735"/>
      <c r="T154" s="737"/>
    </row>
    <row r="155" spans="2:20">
      <c r="B155" s="724" t="s">
        <v>269</v>
      </c>
      <c r="C155" s="725" t="s">
        <v>14</v>
      </c>
      <c r="D155" s="825"/>
      <c r="E155" s="826"/>
      <c r="F155" s="826"/>
      <c r="G155" s="826"/>
      <c r="H155" s="827"/>
      <c r="I155" s="702"/>
      <c r="J155" s="704"/>
      <c r="K155" s="704"/>
      <c r="L155" s="704"/>
      <c r="M155" s="703"/>
      <c r="N155" s="654"/>
      <c r="O155" s="698"/>
      <c r="P155" s="699"/>
      <c r="Q155" s="700"/>
      <c r="R155" s="654"/>
      <c r="S155" s="698"/>
      <c r="T155" s="701"/>
    </row>
    <row r="156" spans="2:20">
      <c r="B156" s="724" t="s">
        <v>300</v>
      </c>
      <c r="C156" s="725" t="s">
        <v>295</v>
      </c>
      <c r="D156" s="828"/>
      <c r="E156" s="829"/>
      <c r="F156" s="829"/>
      <c r="G156" s="829"/>
      <c r="H156" s="830"/>
      <c r="I156" s="831"/>
      <c r="J156" s="832"/>
      <c r="K156" s="832"/>
      <c r="L156" s="832"/>
      <c r="M156" s="833"/>
      <c r="N156" s="654"/>
      <c r="O156" s="698"/>
      <c r="P156" s="699"/>
      <c r="Q156" s="700"/>
      <c r="R156" s="654"/>
      <c r="S156" s="698"/>
      <c r="T156" s="701"/>
    </row>
    <row r="157" spans="2:20">
      <c r="B157" s="724" t="s">
        <v>301</v>
      </c>
      <c r="C157" s="725" t="s">
        <v>295</v>
      </c>
      <c r="D157" s="828"/>
      <c r="E157" s="829"/>
      <c r="F157" s="829"/>
      <c r="G157" s="829"/>
      <c r="H157" s="830"/>
      <c r="I157" s="834">
        <f>1-I156</f>
        <v>1</v>
      </c>
      <c r="J157" s="835">
        <f>1-J156</f>
        <v>1</v>
      </c>
      <c r="K157" s="835">
        <f>1-K156</f>
        <v>1</v>
      </c>
      <c r="L157" s="835">
        <f>1-L156</f>
        <v>1</v>
      </c>
      <c r="M157" s="836">
        <f>1-M156</f>
        <v>1</v>
      </c>
      <c r="N157" s="654"/>
      <c r="O157" s="698"/>
      <c r="P157" s="699"/>
      <c r="Q157" s="700"/>
      <c r="R157" s="654"/>
      <c r="S157" s="698"/>
      <c r="T157" s="701"/>
    </row>
    <row r="158" spans="2:20">
      <c r="B158" s="724" t="s">
        <v>270</v>
      </c>
      <c r="C158" s="725" t="s">
        <v>14</v>
      </c>
      <c r="D158" s="825"/>
      <c r="E158" s="826"/>
      <c r="F158" s="826"/>
      <c r="G158" s="826"/>
      <c r="H158" s="827"/>
      <c r="I158" s="702"/>
      <c r="J158" s="704"/>
      <c r="K158" s="704"/>
      <c r="L158" s="704"/>
      <c r="M158" s="703"/>
      <c r="N158" s="654"/>
      <c r="O158" s="698"/>
      <c r="P158" s="699"/>
      <c r="Q158" s="700"/>
      <c r="R158" s="654"/>
      <c r="S158" s="698"/>
      <c r="T158" s="701"/>
    </row>
    <row r="159" spans="2:20">
      <c r="B159" s="724" t="s">
        <v>302</v>
      </c>
      <c r="C159" s="725" t="s">
        <v>295</v>
      </c>
      <c r="D159" s="825"/>
      <c r="E159" s="826"/>
      <c r="F159" s="826"/>
      <c r="G159" s="826"/>
      <c r="H159" s="827"/>
      <c r="I159" s="702"/>
      <c r="J159" s="704"/>
      <c r="K159" s="704"/>
      <c r="L159" s="704"/>
      <c r="M159" s="703"/>
      <c r="N159" s="654"/>
      <c r="O159" s="698"/>
      <c r="P159" s="699"/>
      <c r="Q159" s="700"/>
      <c r="R159" s="654"/>
      <c r="S159" s="698"/>
      <c r="T159" s="701"/>
    </row>
    <row r="160" spans="2:20">
      <c r="B160" s="724" t="s">
        <v>303</v>
      </c>
      <c r="C160" s="725" t="s">
        <v>295</v>
      </c>
      <c r="D160" s="828"/>
      <c r="E160" s="829"/>
      <c r="F160" s="829"/>
      <c r="G160" s="829"/>
      <c r="H160" s="830"/>
      <c r="I160" s="834">
        <f>1-I159</f>
        <v>1</v>
      </c>
      <c r="J160" s="835">
        <f>1-J159</f>
        <v>1</v>
      </c>
      <c r="K160" s="835">
        <f>1-K159</f>
        <v>1</v>
      </c>
      <c r="L160" s="835">
        <f>1-L159</f>
        <v>1</v>
      </c>
      <c r="M160" s="836">
        <f>1-M159</f>
        <v>1</v>
      </c>
      <c r="N160" s="654"/>
      <c r="O160" s="698"/>
      <c r="P160" s="699"/>
      <c r="Q160" s="700"/>
      <c r="R160" s="654"/>
      <c r="S160" s="698"/>
      <c r="T160" s="701"/>
    </row>
    <row r="161" spans="2:20">
      <c r="B161" s="732" t="s">
        <v>866</v>
      </c>
      <c r="C161" s="725" t="s">
        <v>14</v>
      </c>
      <c r="D161" s="687"/>
      <c r="E161" s="702"/>
      <c r="F161" s="702"/>
      <c r="G161" s="702"/>
      <c r="H161" s="703"/>
      <c r="I161" s="733">
        <f>SUM(I155,I158)</f>
        <v>0</v>
      </c>
      <c r="J161" s="678">
        <f>SUM(J155,J158)</f>
        <v>0</v>
      </c>
      <c r="K161" s="678">
        <f>SUM(K155,K158)</f>
        <v>0</v>
      </c>
      <c r="L161" s="678">
        <f>SUM(L155,L158)</f>
        <v>0</v>
      </c>
      <c r="M161" s="679">
        <f>SUM(M155,M158)</f>
        <v>0</v>
      </c>
      <c r="N161" s="654"/>
      <c r="O161" s="677">
        <f>SUM(D161:G161)</f>
        <v>0</v>
      </c>
      <c r="P161" s="678">
        <f>SUM(H161)</f>
        <v>0</v>
      </c>
      <c r="Q161" s="679">
        <f>SUM(D161:H161)</f>
        <v>0</v>
      </c>
      <c r="R161" s="654"/>
      <c r="S161" s="677">
        <f>SUM(I161:M161)</f>
        <v>0</v>
      </c>
      <c r="T161" s="680" t="str">
        <f>IF(Q161&lt;&gt;0,(S161-Q161)/Q161,"0")</f>
        <v>0</v>
      </c>
    </row>
    <row r="162" spans="2:20">
      <c r="B162" s="716" t="s">
        <v>304</v>
      </c>
      <c r="C162" s="734"/>
      <c r="D162" s="735"/>
      <c r="E162" s="736"/>
      <c r="F162" s="736"/>
      <c r="G162" s="736"/>
      <c r="H162" s="737"/>
      <c r="I162" s="736"/>
      <c r="J162" s="736"/>
      <c r="K162" s="736"/>
      <c r="L162" s="736"/>
      <c r="M162" s="737"/>
      <c r="N162" s="654"/>
      <c r="O162" s="735"/>
      <c r="P162" s="736"/>
      <c r="Q162" s="737"/>
      <c r="R162" s="654"/>
      <c r="S162" s="735"/>
      <c r="T162" s="737"/>
    </row>
    <row r="163" spans="2:20">
      <c r="B163" s="724" t="s">
        <v>271</v>
      </c>
      <c r="C163" s="725" t="s">
        <v>14</v>
      </c>
      <c r="D163" s="825"/>
      <c r="E163" s="826"/>
      <c r="F163" s="826"/>
      <c r="G163" s="826"/>
      <c r="H163" s="827"/>
      <c r="I163" s="702"/>
      <c r="J163" s="704"/>
      <c r="K163" s="704"/>
      <c r="L163" s="704"/>
      <c r="M163" s="703"/>
      <c r="N163" s="654"/>
      <c r="O163" s="698"/>
      <c r="P163" s="699"/>
      <c r="Q163" s="700"/>
      <c r="R163" s="654"/>
      <c r="S163" s="698"/>
      <c r="T163" s="701"/>
    </row>
    <row r="164" spans="2:20">
      <c r="B164" s="724" t="s">
        <v>305</v>
      </c>
      <c r="C164" s="725" t="s">
        <v>295</v>
      </c>
      <c r="D164" s="828"/>
      <c r="E164" s="829"/>
      <c r="F164" s="829"/>
      <c r="G164" s="829"/>
      <c r="H164" s="830"/>
      <c r="I164" s="831"/>
      <c r="J164" s="832"/>
      <c r="K164" s="832"/>
      <c r="L164" s="832"/>
      <c r="M164" s="833"/>
      <c r="N164" s="654"/>
      <c r="O164" s="698"/>
      <c r="P164" s="699"/>
      <c r="Q164" s="700"/>
      <c r="R164" s="654"/>
      <c r="S164" s="698"/>
      <c r="T164" s="701"/>
    </row>
    <row r="165" spans="2:20">
      <c r="B165" s="724" t="s">
        <v>306</v>
      </c>
      <c r="C165" s="725" t="s">
        <v>295</v>
      </c>
      <c r="D165" s="828"/>
      <c r="E165" s="829"/>
      <c r="F165" s="829"/>
      <c r="G165" s="829"/>
      <c r="H165" s="830"/>
      <c r="I165" s="834">
        <f>1-I164</f>
        <v>1</v>
      </c>
      <c r="J165" s="835">
        <f>1-J164</f>
        <v>1</v>
      </c>
      <c r="K165" s="835">
        <f>1-K164</f>
        <v>1</v>
      </c>
      <c r="L165" s="835">
        <f>1-L164</f>
        <v>1</v>
      </c>
      <c r="M165" s="836">
        <f>1-M164</f>
        <v>1</v>
      </c>
      <c r="N165" s="654"/>
      <c r="O165" s="698"/>
      <c r="P165" s="699"/>
      <c r="Q165" s="700"/>
      <c r="R165" s="654"/>
      <c r="S165" s="698"/>
      <c r="T165" s="701"/>
    </row>
    <row r="166" spans="2:20">
      <c r="B166" s="724" t="s">
        <v>272</v>
      </c>
      <c r="C166" s="725" t="s">
        <v>14</v>
      </c>
      <c r="D166" s="825"/>
      <c r="E166" s="826"/>
      <c r="F166" s="826"/>
      <c r="G166" s="826"/>
      <c r="H166" s="827"/>
      <c r="I166" s="702"/>
      <c r="J166" s="704"/>
      <c r="K166" s="704"/>
      <c r="L166" s="704"/>
      <c r="M166" s="703"/>
      <c r="N166" s="654"/>
      <c r="O166" s="698"/>
      <c r="P166" s="699"/>
      <c r="Q166" s="700"/>
      <c r="R166" s="654"/>
      <c r="S166" s="698"/>
      <c r="T166" s="701"/>
    </row>
    <row r="167" spans="2:20">
      <c r="B167" s="724" t="s">
        <v>307</v>
      </c>
      <c r="C167" s="725" t="s">
        <v>295</v>
      </c>
      <c r="D167" s="837"/>
      <c r="E167" s="838"/>
      <c r="F167" s="838"/>
      <c r="G167" s="838"/>
      <c r="H167" s="839"/>
      <c r="I167" s="840"/>
      <c r="J167" s="841"/>
      <c r="K167" s="841"/>
      <c r="L167" s="841"/>
      <c r="M167" s="842"/>
      <c r="N167" s="654"/>
      <c r="O167" s="698"/>
      <c r="P167" s="699"/>
      <c r="Q167" s="700"/>
      <c r="R167" s="654"/>
      <c r="S167" s="698"/>
      <c r="T167" s="701"/>
    </row>
    <row r="168" spans="2:20">
      <c r="B168" s="724" t="s">
        <v>308</v>
      </c>
      <c r="C168" s="725" t="s">
        <v>295</v>
      </c>
      <c r="D168" s="828"/>
      <c r="E168" s="829"/>
      <c r="F168" s="829"/>
      <c r="G168" s="829"/>
      <c r="H168" s="830"/>
      <c r="I168" s="834">
        <f>1-I167</f>
        <v>1</v>
      </c>
      <c r="J168" s="835">
        <f>1-J167</f>
        <v>1</v>
      </c>
      <c r="K168" s="835">
        <f>1-K167</f>
        <v>1</v>
      </c>
      <c r="L168" s="835">
        <f>1-L167</f>
        <v>1</v>
      </c>
      <c r="M168" s="836">
        <f>1-M167</f>
        <v>1</v>
      </c>
      <c r="N168" s="654"/>
      <c r="O168" s="698"/>
      <c r="P168" s="699"/>
      <c r="Q168" s="700"/>
      <c r="R168" s="654"/>
      <c r="S168" s="698"/>
      <c r="T168" s="701"/>
    </row>
    <row r="169" spans="2:20">
      <c r="B169" s="732" t="s">
        <v>867</v>
      </c>
      <c r="C169" s="725" t="s">
        <v>14</v>
      </c>
      <c r="D169" s="687"/>
      <c r="E169" s="702"/>
      <c r="F169" s="702"/>
      <c r="G169" s="702"/>
      <c r="H169" s="703"/>
      <c r="I169" s="733">
        <f>SUM(I163,I166)</f>
        <v>0</v>
      </c>
      <c r="J169" s="678">
        <f>SUM(J163,J166)</f>
        <v>0</v>
      </c>
      <c r="K169" s="678">
        <f>SUM(K163,K166)</f>
        <v>0</v>
      </c>
      <c r="L169" s="678">
        <f>SUM(L163,L166)</f>
        <v>0</v>
      </c>
      <c r="M169" s="679">
        <f>SUM(M163,M166)</f>
        <v>0</v>
      </c>
      <c r="N169" s="654"/>
      <c r="O169" s="677">
        <f>SUM(D169:G169)</f>
        <v>0</v>
      </c>
      <c r="P169" s="678">
        <f>SUM(H169)</f>
        <v>0</v>
      </c>
      <c r="Q169" s="679">
        <f>SUM(D169:H169)</f>
        <v>0</v>
      </c>
      <c r="R169" s="654"/>
      <c r="S169" s="677">
        <f>SUM(I169:M169)</f>
        <v>0</v>
      </c>
      <c r="T169" s="680" t="str">
        <f>IF(Q169&lt;&gt;0,(S169-Q169)/Q169,"0")</f>
        <v>0</v>
      </c>
    </row>
    <row r="170" spans="2:20">
      <c r="B170" s="716" t="s">
        <v>309</v>
      </c>
      <c r="C170" s="734"/>
      <c r="D170" s="735"/>
      <c r="E170" s="736"/>
      <c r="F170" s="736"/>
      <c r="G170" s="736"/>
      <c r="H170" s="737"/>
      <c r="I170" s="736"/>
      <c r="J170" s="736"/>
      <c r="K170" s="736"/>
      <c r="L170" s="736"/>
      <c r="M170" s="737"/>
      <c r="N170" s="654"/>
      <c r="O170" s="735"/>
      <c r="P170" s="736"/>
      <c r="Q170" s="737"/>
      <c r="R170" s="654"/>
      <c r="S170" s="735"/>
      <c r="T170" s="737"/>
    </row>
    <row r="171" spans="2:20">
      <c r="B171" s="724" t="s">
        <v>273</v>
      </c>
      <c r="C171" s="725" t="s">
        <v>14</v>
      </c>
      <c r="D171" s="825"/>
      <c r="E171" s="826"/>
      <c r="F171" s="826"/>
      <c r="G171" s="826"/>
      <c r="H171" s="827"/>
      <c r="I171" s="702"/>
      <c r="J171" s="704"/>
      <c r="K171" s="704"/>
      <c r="L171" s="704"/>
      <c r="M171" s="703"/>
      <c r="N171" s="654"/>
      <c r="O171" s="698"/>
      <c r="P171" s="699"/>
      <c r="Q171" s="700"/>
      <c r="R171" s="654"/>
      <c r="S171" s="698"/>
      <c r="T171" s="701"/>
    </row>
    <row r="172" spans="2:20">
      <c r="B172" s="724" t="s">
        <v>310</v>
      </c>
      <c r="C172" s="725" t="s">
        <v>295</v>
      </c>
      <c r="D172" s="828"/>
      <c r="E172" s="829"/>
      <c r="F172" s="829"/>
      <c r="G172" s="829"/>
      <c r="H172" s="830"/>
      <c r="I172" s="831"/>
      <c r="J172" s="832"/>
      <c r="K172" s="832"/>
      <c r="L172" s="832"/>
      <c r="M172" s="833"/>
      <c r="N172" s="654"/>
      <c r="O172" s="698"/>
      <c r="P172" s="699"/>
      <c r="Q172" s="700"/>
      <c r="R172" s="654"/>
      <c r="S172" s="698"/>
      <c r="T172" s="701"/>
    </row>
    <row r="173" spans="2:20">
      <c r="B173" s="724" t="s">
        <v>311</v>
      </c>
      <c r="C173" s="725" t="s">
        <v>295</v>
      </c>
      <c r="D173" s="828"/>
      <c r="E173" s="829"/>
      <c r="F173" s="829"/>
      <c r="G173" s="829"/>
      <c r="H173" s="830"/>
      <c r="I173" s="834">
        <f>1-I172</f>
        <v>1</v>
      </c>
      <c r="J173" s="835">
        <f>1-J172</f>
        <v>1</v>
      </c>
      <c r="K173" s="835">
        <f>1-K172</f>
        <v>1</v>
      </c>
      <c r="L173" s="835">
        <f>1-L172</f>
        <v>1</v>
      </c>
      <c r="M173" s="836">
        <f>1-M172</f>
        <v>1</v>
      </c>
      <c r="N173" s="654"/>
      <c r="O173" s="698"/>
      <c r="P173" s="699"/>
      <c r="Q173" s="700"/>
      <c r="R173" s="654"/>
      <c r="S173" s="698"/>
      <c r="T173" s="701"/>
    </row>
    <row r="174" spans="2:20">
      <c r="B174" s="724" t="s">
        <v>274</v>
      </c>
      <c r="C174" s="725" t="s">
        <v>14</v>
      </c>
      <c r="D174" s="825"/>
      <c r="E174" s="826"/>
      <c r="F174" s="826"/>
      <c r="G174" s="826"/>
      <c r="H174" s="827"/>
      <c r="I174" s="702"/>
      <c r="J174" s="704"/>
      <c r="K174" s="704"/>
      <c r="L174" s="704"/>
      <c r="M174" s="703"/>
      <c r="N174" s="654"/>
      <c r="O174" s="698"/>
      <c r="P174" s="699"/>
      <c r="Q174" s="700"/>
      <c r="R174" s="654"/>
      <c r="S174" s="698"/>
      <c r="T174" s="701"/>
    </row>
    <row r="175" spans="2:20">
      <c r="B175" s="724" t="s">
        <v>312</v>
      </c>
      <c r="C175" s="725" t="s">
        <v>295</v>
      </c>
      <c r="D175" s="837"/>
      <c r="E175" s="838"/>
      <c r="F175" s="838"/>
      <c r="G175" s="838"/>
      <c r="H175" s="839"/>
      <c r="I175" s="840"/>
      <c r="J175" s="841"/>
      <c r="K175" s="841"/>
      <c r="L175" s="841"/>
      <c r="M175" s="842"/>
      <c r="N175" s="654"/>
      <c r="O175" s="698"/>
      <c r="P175" s="699"/>
      <c r="Q175" s="700"/>
      <c r="R175" s="654"/>
      <c r="S175" s="698"/>
      <c r="T175" s="701"/>
    </row>
    <row r="176" spans="2:20">
      <c r="B176" s="724" t="s">
        <v>313</v>
      </c>
      <c r="C176" s="725" t="s">
        <v>295</v>
      </c>
      <c r="D176" s="828"/>
      <c r="E176" s="829"/>
      <c r="F176" s="829"/>
      <c r="G176" s="829"/>
      <c r="H176" s="830"/>
      <c r="I176" s="834">
        <f>1-I175</f>
        <v>1</v>
      </c>
      <c r="J176" s="835">
        <f>1-J175</f>
        <v>1</v>
      </c>
      <c r="K176" s="835">
        <f>1-K175</f>
        <v>1</v>
      </c>
      <c r="L176" s="835">
        <f>1-L175</f>
        <v>1</v>
      </c>
      <c r="M176" s="836">
        <f>1-M175</f>
        <v>1</v>
      </c>
      <c r="N176" s="654"/>
      <c r="O176" s="698"/>
      <c r="P176" s="699"/>
      <c r="Q176" s="700"/>
      <c r="R176" s="654"/>
      <c r="S176" s="698"/>
      <c r="T176" s="701"/>
    </row>
    <row r="177" spans="2:20">
      <c r="B177" s="843" t="s">
        <v>700</v>
      </c>
      <c r="C177" s="725" t="s">
        <v>14</v>
      </c>
      <c r="D177" s="844"/>
      <c r="E177" s="845"/>
      <c r="F177" s="845"/>
      <c r="G177" s="845"/>
      <c r="H177" s="846"/>
      <c r="I177" s="847">
        <f>SUM(I171,I174)</f>
        <v>0</v>
      </c>
      <c r="J177" s="848">
        <f>SUM(J171,J174)</f>
        <v>0</v>
      </c>
      <c r="K177" s="848">
        <f>SUM(K171,K174)</f>
        <v>0</v>
      </c>
      <c r="L177" s="848">
        <f>SUM(L171,L174)</f>
        <v>0</v>
      </c>
      <c r="M177" s="849">
        <f>SUM(M171,M174)</f>
        <v>0</v>
      </c>
      <c r="N177" s="654"/>
      <c r="O177" s="677">
        <f>SUM(D177:G177)</f>
        <v>0</v>
      </c>
      <c r="P177" s="678">
        <f>SUM(H177)</f>
        <v>0</v>
      </c>
      <c r="Q177" s="679">
        <f>SUM(D177:H177)</f>
        <v>0</v>
      </c>
      <c r="R177" s="654"/>
      <c r="S177" s="677">
        <f>SUM(I177:M177)</f>
        <v>0</v>
      </c>
      <c r="T177" s="680" t="str">
        <f>IF(Q177&lt;&gt;0,(S177-Q177)/Q177,"0")</f>
        <v>0</v>
      </c>
    </row>
    <row r="178" spans="2:20" ht="13.5" thickBot="1">
      <c r="B178" s="850" t="s">
        <v>314</v>
      </c>
      <c r="C178" s="851"/>
      <c r="D178" s="852">
        <f t="shared" ref="D178:M178" si="31">SUM(D153,D161,D169,D177)</f>
        <v>0</v>
      </c>
      <c r="E178" s="852">
        <f t="shared" si="31"/>
        <v>0</v>
      </c>
      <c r="F178" s="852">
        <f t="shared" si="31"/>
        <v>0</v>
      </c>
      <c r="G178" s="852">
        <f t="shared" si="31"/>
        <v>0</v>
      </c>
      <c r="H178" s="852">
        <f t="shared" si="31"/>
        <v>0</v>
      </c>
      <c r="I178" s="853">
        <f t="shared" si="31"/>
        <v>0</v>
      </c>
      <c r="J178" s="853">
        <f t="shared" si="31"/>
        <v>0</v>
      </c>
      <c r="K178" s="853">
        <f t="shared" si="31"/>
        <v>0</v>
      </c>
      <c r="L178" s="853">
        <f t="shared" si="31"/>
        <v>0</v>
      </c>
      <c r="M178" s="854">
        <f t="shared" si="31"/>
        <v>0</v>
      </c>
      <c r="N178" s="654"/>
      <c r="O178" s="709">
        <f>SUM(O153,O161,O169,O177)</f>
        <v>0</v>
      </c>
      <c r="P178" s="710">
        <f>SUM(P153,P161,P169,P177)</f>
        <v>0</v>
      </c>
      <c r="Q178" s="711">
        <f>SUM(Q153,Q161,Q169,Q177)</f>
        <v>0</v>
      </c>
      <c r="R178" s="654"/>
      <c r="S178" s="709">
        <f>SUM(S153,S161,S169,S177)</f>
        <v>0</v>
      </c>
      <c r="T178" s="712" t="str">
        <f>IF(Q178&lt;&gt;0,(S178-Q178)/Q178,"0")</f>
        <v>0</v>
      </c>
    </row>
    <row r="179" spans="2:20">
      <c r="C179" s="651"/>
      <c r="D179" s="651"/>
      <c r="E179" s="651"/>
      <c r="F179" s="651"/>
      <c r="G179" s="651"/>
      <c r="H179" s="651"/>
      <c r="I179" s="651"/>
      <c r="J179" s="651"/>
      <c r="K179" s="651"/>
      <c r="L179" s="651"/>
      <c r="M179" s="651"/>
      <c r="N179" s="651"/>
      <c r="O179" s="651"/>
      <c r="P179" s="651"/>
      <c r="Q179" s="651"/>
      <c r="R179" s="651"/>
      <c r="S179" s="651"/>
      <c r="T179" s="651"/>
    </row>
    <row r="180" spans="2:20">
      <c r="B180" s="713" t="s">
        <v>315</v>
      </c>
      <c r="C180" s="714"/>
      <c r="D180" s="715"/>
      <c r="E180" s="715"/>
      <c r="F180" s="715"/>
      <c r="G180" s="715"/>
      <c r="H180" s="715"/>
      <c r="I180" s="715"/>
      <c r="J180" s="715"/>
      <c r="K180" s="715"/>
      <c r="L180" s="715"/>
      <c r="M180" s="715"/>
      <c r="N180" s="654"/>
      <c r="O180" s="715"/>
      <c r="P180" s="715"/>
      <c r="Q180" s="715"/>
      <c r="R180" s="654"/>
      <c r="S180" s="715"/>
      <c r="T180" s="715"/>
    </row>
    <row r="181" spans="2:20" ht="13.5" thickBot="1">
      <c r="B181" s="713"/>
      <c r="C181" s="714"/>
      <c r="D181" s="715"/>
      <c r="E181" s="715"/>
      <c r="F181" s="715"/>
      <c r="G181" s="715"/>
      <c r="H181" s="715"/>
      <c r="I181" s="715"/>
      <c r="J181" s="715"/>
      <c r="K181" s="715"/>
      <c r="L181" s="715"/>
      <c r="M181" s="715"/>
      <c r="N181" s="654"/>
      <c r="O181" s="715"/>
      <c r="P181" s="715"/>
      <c r="Q181" s="715"/>
      <c r="R181" s="654"/>
      <c r="S181" s="715"/>
      <c r="T181" s="715"/>
    </row>
    <row r="182" spans="2:20">
      <c r="B182" s="1904" t="s">
        <v>857</v>
      </c>
      <c r="C182" s="1906" t="s">
        <v>31</v>
      </c>
      <c r="D182" s="657" t="s">
        <v>116</v>
      </c>
      <c r="E182" s="658"/>
      <c r="F182" s="658"/>
      <c r="G182" s="658"/>
      <c r="H182" s="659"/>
      <c r="I182" s="658" t="s">
        <v>117</v>
      </c>
      <c r="J182" s="660"/>
      <c r="K182" s="660"/>
      <c r="L182" s="660"/>
      <c r="M182" s="659"/>
      <c r="N182" s="654"/>
      <c r="O182" s="661" t="s">
        <v>116</v>
      </c>
      <c r="P182" s="662"/>
      <c r="Q182" s="663"/>
      <c r="R182" s="654"/>
      <c r="S182" s="661" t="s">
        <v>117</v>
      </c>
      <c r="T182" s="663"/>
    </row>
    <row r="183" spans="2:20">
      <c r="B183" s="1905"/>
      <c r="C183" s="1907"/>
      <c r="D183" s="665" t="s">
        <v>32</v>
      </c>
      <c r="E183" s="666" t="s">
        <v>33</v>
      </c>
      <c r="F183" s="666" t="s">
        <v>29</v>
      </c>
      <c r="G183" s="666" t="s">
        <v>34</v>
      </c>
      <c r="H183" s="667" t="s">
        <v>35</v>
      </c>
      <c r="I183" s="668" t="s">
        <v>118</v>
      </c>
      <c r="J183" s="666" t="s">
        <v>136</v>
      </c>
      <c r="K183" s="666" t="s">
        <v>137</v>
      </c>
      <c r="L183" s="666" t="s">
        <v>138</v>
      </c>
      <c r="M183" s="667" t="s">
        <v>139</v>
      </c>
      <c r="N183" s="654"/>
      <c r="O183" s="669" t="s">
        <v>126</v>
      </c>
      <c r="P183" s="670" t="s">
        <v>127</v>
      </c>
      <c r="Q183" s="671" t="s">
        <v>246</v>
      </c>
      <c r="R183" s="654"/>
      <c r="S183" s="669" t="s">
        <v>127</v>
      </c>
      <c r="T183" s="671" t="s">
        <v>128</v>
      </c>
    </row>
    <row r="184" spans="2:20">
      <c r="B184" s="823" t="s">
        <v>862</v>
      </c>
      <c r="C184" s="824"/>
      <c r="D184" s="744"/>
      <c r="E184" s="745"/>
      <c r="F184" s="745"/>
      <c r="G184" s="745"/>
      <c r="H184" s="746"/>
      <c r="I184" s="748"/>
      <c r="J184" s="748"/>
      <c r="K184" s="748"/>
      <c r="L184" s="748"/>
      <c r="M184" s="749"/>
      <c r="N184" s="654"/>
      <c r="O184" s="747"/>
      <c r="P184" s="748"/>
      <c r="Q184" s="749"/>
      <c r="R184" s="654"/>
      <c r="S184" s="747"/>
      <c r="T184" s="749"/>
    </row>
    <row r="185" spans="2:20">
      <c r="B185" s="716" t="s">
        <v>671</v>
      </c>
      <c r="C185" s="717"/>
      <c r="D185" s="718"/>
      <c r="E185" s="719"/>
      <c r="F185" s="719"/>
      <c r="G185" s="719"/>
      <c r="H185" s="720"/>
      <c r="I185" s="719"/>
      <c r="J185" s="719"/>
      <c r="K185" s="719"/>
      <c r="L185" s="719"/>
      <c r="M185" s="720"/>
      <c r="N185" s="654"/>
      <c r="O185" s="721"/>
      <c r="P185" s="722"/>
      <c r="Q185" s="723"/>
      <c r="R185" s="654"/>
      <c r="S185" s="718"/>
      <c r="T185" s="720"/>
    </row>
    <row r="186" spans="2:20">
      <c r="B186" s="724" t="s">
        <v>267</v>
      </c>
      <c r="C186" s="725" t="s">
        <v>14</v>
      </c>
      <c r="D186" s="825"/>
      <c r="E186" s="826"/>
      <c r="F186" s="826"/>
      <c r="G186" s="826"/>
      <c r="H186" s="827"/>
      <c r="I186" s="702"/>
      <c r="J186" s="704"/>
      <c r="K186" s="704"/>
      <c r="L186" s="704"/>
      <c r="M186" s="703"/>
      <c r="N186" s="654"/>
      <c r="O186" s="698"/>
      <c r="P186" s="699"/>
      <c r="Q186" s="700"/>
      <c r="R186" s="654"/>
      <c r="S186" s="698"/>
      <c r="T186" s="701"/>
    </row>
    <row r="187" spans="2:20">
      <c r="B187" s="724" t="s">
        <v>294</v>
      </c>
      <c r="C187" s="725" t="s">
        <v>295</v>
      </c>
      <c r="D187" s="828"/>
      <c r="E187" s="829"/>
      <c r="F187" s="829"/>
      <c r="G187" s="829"/>
      <c r="H187" s="830"/>
      <c r="I187" s="831"/>
      <c r="J187" s="832"/>
      <c r="K187" s="832"/>
      <c r="L187" s="832"/>
      <c r="M187" s="833"/>
      <c r="N187" s="654"/>
      <c r="O187" s="698"/>
      <c r="P187" s="699"/>
      <c r="Q187" s="700"/>
      <c r="R187" s="654"/>
      <c r="S187" s="698"/>
      <c r="T187" s="701"/>
    </row>
    <row r="188" spans="2:20">
      <c r="B188" s="724" t="s">
        <v>296</v>
      </c>
      <c r="C188" s="725" t="s">
        <v>295</v>
      </c>
      <c r="D188" s="828"/>
      <c r="E188" s="829"/>
      <c r="F188" s="829"/>
      <c r="G188" s="829"/>
      <c r="H188" s="830"/>
      <c r="I188" s="834">
        <f>1-I187</f>
        <v>1</v>
      </c>
      <c r="J188" s="835">
        <f>1-J187</f>
        <v>1</v>
      </c>
      <c r="K188" s="835">
        <f>1-K187</f>
        <v>1</v>
      </c>
      <c r="L188" s="835">
        <f>1-L187</f>
        <v>1</v>
      </c>
      <c r="M188" s="836">
        <f>1-M187</f>
        <v>1</v>
      </c>
      <c r="N188" s="654"/>
      <c r="O188" s="698"/>
      <c r="P188" s="699"/>
      <c r="Q188" s="700"/>
      <c r="R188" s="654"/>
      <c r="S188" s="698"/>
      <c r="T188" s="701"/>
    </row>
    <row r="189" spans="2:20">
      <c r="B189" s="724" t="s">
        <v>268</v>
      </c>
      <c r="C189" s="725" t="s">
        <v>14</v>
      </c>
      <c r="D189" s="825"/>
      <c r="E189" s="826"/>
      <c r="F189" s="826"/>
      <c r="G189" s="826"/>
      <c r="H189" s="827"/>
      <c r="I189" s="702"/>
      <c r="J189" s="704"/>
      <c r="K189" s="704"/>
      <c r="L189" s="704"/>
      <c r="M189" s="703"/>
      <c r="N189" s="654"/>
      <c r="O189" s="698"/>
      <c r="P189" s="699"/>
      <c r="Q189" s="700"/>
      <c r="R189" s="654"/>
      <c r="S189" s="698"/>
      <c r="T189" s="701"/>
    </row>
    <row r="190" spans="2:20">
      <c r="B190" s="724" t="s">
        <v>297</v>
      </c>
      <c r="C190" s="725" t="s">
        <v>295</v>
      </c>
      <c r="D190" s="825"/>
      <c r="E190" s="826"/>
      <c r="F190" s="826"/>
      <c r="G190" s="826"/>
      <c r="H190" s="827"/>
      <c r="I190" s="702"/>
      <c r="J190" s="704"/>
      <c r="K190" s="704"/>
      <c r="L190" s="704"/>
      <c r="M190" s="703"/>
      <c r="N190" s="654"/>
      <c r="O190" s="698"/>
      <c r="P190" s="699"/>
      <c r="Q190" s="700"/>
      <c r="R190" s="654"/>
      <c r="S190" s="698"/>
      <c r="T190" s="701"/>
    </row>
    <row r="191" spans="2:20">
      <c r="B191" s="724" t="s">
        <v>298</v>
      </c>
      <c r="C191" s="725" t="s">
        <v>295</v>
      </c>
      <c r="D191" s="828"/>
      <c r="E191" s="829"/>
      <c r="F191" s="829"/>
      <c r="G191" s="829"/>
      <c r="H191" s="830"/>
      <c r="I191" s="834">
        <f>1-I190</f>
        <v>1</v>
      </c>
      <c r="J191" s="835">
        <f>1-J190</f>
        <v>1</v>
      </c>
      <c r="K191" s="835">
        <f>1-K190</f>
        <v>1</v>
      </c>
      <c r="L191" s="835">
        <f>1-L190</f>
        <v>1</v>
      </c>
      <c r="M191" s="836">
        <f>1-M190</f>
        <v>1</v>
      </c>
      <c r="N191" s="654"/>
      <c r="O191" s="698"/>
      <c r="P191" s="699"/>
      <c r="Q191" s="700"/>
      <c r="R191" s="654"/>
      <c r="S191" s="698"/>
      <c r="T191" s="701"/>
    </row>
    <row r="192" spans="2:20">
      <c r="B192" s="732" t="s">
        <v>865</v>
      </c>
      <c r="C192" s="725" t="s">
        <v>14</v>
      </c>
      <c r="D192" s="687"/>
      <c r="E192" s="702"/>
      <c r="F192" s="702"/>
      <c r="G192" s="702"/>
      <c r="H192" s="703"/>
      <c r="I192" s="733">
        <f>SUM(I186,I189)</f>
        <v>0</v>
      </c>
      <c r="J192" s="678">
        <f>SUM(J186,J189)</f>
        <v>0</v>
      </c>
      <c r="K192" s="678">
        <f>SUM(K186,K189)</f>
        <v>0</v>
      </c>
      <c r="L192" s="678">
        <f>SUM(L186,L189)</f>
        <v>0</v>
      </c>
      <c r="M192" s="679">
        <f>SUM(M186,M189)</f>
        <v>0</v>
      </c>
      <c r="N192" s="654"/>
      <c r="O192" s="677">
        <f>SUM(D192:G192)</f>
        <v>0</v>
      </c>
      <c r="P192" s="678">
        <f>SUM(H192)</f>
        <v>0</v>
      </c>
      <c r="Q192" s="679">
        <f>SUM(D192:H192)</f>
        <v>0</v>
      </c>
      <c r="R192" s="654"/>
      <c r="S192" s="677">
        <f>SUM(I192:M192)</f>
        <v>0</v>
      </c>
      <c r="T192" s="680" t="str">
        <f>IF(Q192&lt;&gt;0,(S192-Q192)/Q192,"0")</f>
        <v>0</v>
      </c>
    </row>
    <row r="193" spans="2:20">
      <c r="B193" s="716" t="s">
        <v>299</v>
      </c>
      <c r="C193" s="734"/>
      <c r="D193" s="735"/>
      <c r="E193" s="736"/>
      <c r="F193" s="736"/>
      <c r="G193" s="736"/>
      <c r="H193" s="737"/>
      <c r="I193" s="736"/>
      <c r="J193" s="736"/>
      <c r="K193" s="736"/>
      <c r="L193" s="736"/>
      <c r="M193" s="737"/>
      <c r="N193" s="654"/>
      <c r="O193" s="738"/>
      <c r="P193" s="736"/>
      <c r="Q193" s="737"/>
      <c r="R193" s="654"/>
      <c r="S193" s="735"/>
      <c r="T193" s="737"/>
    </row>
    <row r="194" spans="2:20">
      <c r="B194" s="724" t="s">
        <v>269</v>
      </c>
      <c r="C194" s="725" t="s">
        <v>14</v>
      </c>
      <c r="D194" s="825"/>
      <c r="E194" s="826"/>
      <c r="F194" s="826"/>
      <c r="G194" s="826"/>
      <c r="H194" s="827"/>
      <c r="I194" s="702"/>
      <c r="J194" s="704"/>
      <c r="K194" s="704"/>
      <c r="L194" s="704"/>
      <c r="M194" s="703"/>
      <c r="N194" s="654"/>
      <c r="O194" s="698"/>
      <c r="P194" s="699"/>
      <c r="Q194" s="700"/>
      <c r="R194" s="654"/>
      <c r="S194" s="698"/>
      <c r="T194" s="701"/>
    </row>
    <row r="195" spans="2:20">
      <c r="B195" s="724" t="s">
        <v>300</v>
      </c>
      <c r="C195" s="725" t="s">
        <v>295</v>
      </c>
      <c r="D195" s="828"/>
      <c r="E195" s="829"/>
      <c r="F195" s="829"/>
      <c r="G195" s="829"/>
      <c r="H195" s="830"/>
      <c r="I195" s="831"/>
      <c r="J195" s="832"/>
      <c r="K195" s="832"/>
      <c r="L195" s="832"/>
      <c r="M195" s="833"/>
      <c r="N195" s="654"/>
      <c r="O195" s="698"/>
      <c r="P195" s="699"/>
      <c r="Q195" s="700"/>
      <c r="R195" s="654"/>
      <c r="S195" s="698"/>
      <c r="T195" s="701"/>
    </row>
    <row r="196" spans="2:20">
      <c r="B196" s="724" t="s">
        <v>301</v>
      </c>
      <c r="C196" s="725" t="s">
        <v>295</v>
      </c>
      <c r="D196" s="828"/>
      <c r="E196" s="829"/>
      <c r="F196" s="829"/>
      <c r="G196" s="829"/>
      <c r="H196" s="830"/>
      <c r="I196" s="834">
        <f>1-I195</f>
        <v>1</v>
      </c>
      <c r="J196" s="835">
        <f>1-J195</f>
        <v>1</v>
      </c>
      <c r="K196" s="835">
        <f>1-K195</f>
        <v>1</v>
      </c>
      <c r="L196" s="835">
        <f>1-L195</f>
        <v>1</v>
      </c>
      <c r="M196" s="836">
        <f>1-M195</f>
        <v>1</v>
      </c>
      <c r="N196" s="654"/>
      <c r="O196" s="698"/>
      <c r="P196" s="699"/>
      <c r="Q196" s="700"/>
      <c r="R196" s="654"/>
      <c r="S196" s="698"/>
      <c r="T196" s="701"/>
    </row>
    <row r="197" spans="2:20">
      <c r="B197" s="724" t="s">
        <v>270</v>
      </c>
      <c r="C197" s="725" t="s">
        <v>14</v>
      </c>
      <c r="D197" s="825"/>
      <c r="E197" s="826"/>
      <c r="F197" s="826"/>
      <c r="G197" s="826"/>
      <c r="H197" s="827"/>
      <c r="I197" s="702"/>
      <c r="J197" s="704"/>
      <c r="K197" s="704"/>
      <c r="L197" s="704"/>
      <c r="M197" s="703"/>
      <c r="N197" s="654"/>
      <c r="O197" s="698"/>
      <c r="P197" s="699"/>
      <c r="Q197" s="700"/>
      <c r="R197" s="654"/>
      <c r="S197" s="698"/>
      <c r="T197" s="701"/>
    </row>
    <row r="198" spans="2:20">
      <c r="B198" s="724" t="s">
        <v>302</v>
      </c>
      <c r="C198" s="725" t="s">
        <v>295</v>
      </c>
      <c r="D198" s="825"/>
      <c r="E198" s="826"/>
      <c r="F198" s="826"/>
      <c r="G198" s="826"/>
      <c r="H198" s="827"/>
      <c r="I198" s="702"/>
      <c r="J198" s="704"/>
      <c r="K198" s="704"/>
      <c r="L198" s="704"/>
      <c r="M198" s="703"/>
      <c r="N198" s="654"/>
      <c r="O198" s="698"/>
      <c r="P198" s="699"/>
      <c r="Q198" s="700"/>
      <c r="R198" s="654"/>
      <c r="S198" s="698"/>
      <c r="T198" s="701"/>
    </row>
    <row r="199" spans="2:20">
      <c r="B199" s="724" t="s">
        <v>303</v>
      </c>
      <c r="C199" s="725" t="s">
        <v>295</v>
      </c>
      <c r="D199" s="828"/>
      <c r="E199" s="829"/>
      <c r="F199" s="829"/>
      <c r="G199" s="829"/>
      <c r="H199" s="830"/>
      <c r="I199" s="834">
        <f>1-I198</f>
        <v>1</v>
      </c>
      <c r="J199" s="835">
        <f>1-J198</f>
        <v>1</v>
      </c>
      <c r="K199" s="835">
        <f>1-K198</f>
        <v>1</v>
      </c>
      <c r="L199" s="835">
        <f>1-L198</f>
        <v>1</v>
      </c>
      <c r="M199" s="836">
        <f>1-M198</f>
        <v>1</v>
      </c>
      <c r="N199" s="654"/>
      <c r="O199" s="698"/>
      <c r="P199" s="699"/>
      <c r="Q199" s="700"/>
      <c r="R199" s="654"/>
      <c r="S199" s="698"/>
      <c r="T199" s="701"/>
    </row>
    <row r="200" spans="2:20">
      <c r="B200" s="732" t="s">
        <v>866</v>
      </c>
      <c r="C200" s="725" t="s">
        <v>14</v>
      </c>
      <c r="D200" s="687"/>
      <c r="E200" s="702"/>
      <c r="F200" s="702"/>
      <c r="G200" s="702"/>
      <c r="H200" s="703"/>
      <c r="I200" s="733">
        <f>SUM(I194,I197)</f>
        <v>0</v>
      </c>
      <c r="J200" s="678">
        <f>SUM(J194,J197)</f>
        <v>0</v>
      </c>
      <c r="K200" s="678">
        <f>SUM(K194,K197)</f>
        <v>0</v>
      </c>
      <c r="L200" s="678">
        <f>SUM(L194,L197)</f>
        <v>0</v>
      </c>
      <c r="M200" s="679">
        <f>SUM(M194,M197)</f>
        <v>0</v>
      </c>
      <c r="N200" s="654"/>
      <c r="O200" s="677">
        <f>SUM(D200:G200)</f>
        <v>0</v>
      </c>
      <c r="P200" s="678">
        <f>SUM(H200)</f>
        <v>0</v>
      </c>
      <c r="Q200" s="679">
        <f>SUM(D200:H200)</f>
        <v>0</v>
      </c>
      <c r="R200" s="654"/>
      <c r="S200" s="677">
        <f>SUM(I200:M200)</f>
        <v>0</v>
      </c>
      <c r="T200" s="680" t="str">
        <f>IF(Q200&lt;&gt;0,(S200-Q200)/Q200,"0")</f>
        <v>0</v>
      </c>
    </row>
    <row r="201" spans="2:20">
      <c r="B201" s="716" t="s">
        <v>304</v>
      </c>
      <c r="C201" s="734"/>
      <c r="D201" s="735"/>
      <c r="E201" s="736"/>
      <c r="F201" s="736"/>
      <c r="G201" s="736"/>
      <c r="H201" s="737"/>
      <c r="I201" s="736"/>
      <c r="J201" s="736"/>
      <c r="K201" s="736"/>
      <c r="L201" s="736"/>
      <c r="M201" s="737"/>
      <c r="N201" s="654"/>
      <c r="O201" s="735"/>
      <c r="P201" s="736"/>
      <c r="Q201" s="737"/>
      <c r="R201" s="654"/>
      <c r="S201" s="735"/>
      <c r="T201" s="737"/>
    </row>
    <row r="202" spans="2:20">
      <c r="B202" s="724" t="s">
        <v>271</v>
      </c>
      <c r="C202" s="725" t="s">
        <v>14</v>
      </c>
      <c r="D202" s="825"/>
      <c r="E202" s="826"/>
      <c r="F202" s="826"/>
      <c r="G202" s="826"/>
      <c r="H202" s="827"/>
      <c r="I202" s="702"/>
      <c r="J202" s="704"/>
      <c r="K202" s="704"/>
      <c r="L202" s="704"/>
      <c r="M202" s="703"/>
      <c r="N202" s="654"/>
      <c r="O202" s="698"/>
      <c r="P202" s="699"/>
      <c r="Q202" s="700"/>
      <c r="R202" s="654"/>
      <c r="S202" s="698"/>
      <c r="T202" s="701"/>
    </row>
    <row r="203" spans="2:20">
      <c r="B203" s="724" t="s">
        <v>305</v>
      </c>
      <c r="C203" s="725" t="s">
        <v>295</v>
      </c>
      <c r="D203" s="828"/>
      <c r="E203" s="829"/>
      <c r="F203" s="829"/>
      <c r="G203" s="829"/>
      <c r="H203" s="830"/>
      <c r="I203" s="831"/>
      <c r="J203" s="832"/>
      <c r="K203" s="832"/>
      <c r="L203" s="832"/>
      <c r="M203" s="833"/>
      <c r="N203" s="654"/>
      <c r="O203" s="698"/>
      <c r="P203" s="699"/>
      <c r="Q203" s="700"/>
      <c r="R203" s="654"/>
      <c r="S203" s="698"/>
      <c r="T203" s="701"/>
    </row>
    <row r="204" spans="2:20">
      <c r="B204" s="724" t="s">
        <v>306</v>
      </c>
      <c r="C204" s="725" t="s">
        <v>295</v>
      </c>
      <c r="D204" s="828"/>
      <c r="E204" s="829"/>
      <c r="F204" s="829"/>
      <c r="G204" s="829"/>
      <c r="H204" s="830"/>
      <c r="I204" s="834">
        <f>1-I203</f>
        <v>1</v>
      </c>
      <c r="J204" s="835">
        <f>1-J203</f>
        <v>1</v>
      </c>
      <c r="K204" s="835">
        <f>1-K203</f>
        <v>1</v>
      </c>
      <c r="L204" s="835">
        <f>1-L203</f>
        <v>1</v>
      </c>
      <c r="M204" s="836">
        <f>1-M203</f>
        <v>1</v>
      </c>
      <c r="N204" s="654"/>
      <c r="O204" s="698"/>
      <c r="P204" s="699"/>
      <c r="Q204" s="700"/>
      <c r="R204" s="654"/>
      <c r="S204" s="698"/>
      <c r="T204" s="701"/>
    </row>
    <row r="205" spans="2:20">
      <c r="B205" s="724" t="s">
        <v>272</v>
      </c>
      <c r="C205" s="725" t="s">
        <v>14</v>
      </c>
      <c r="D205" s="825"/>
      <c r="E205" s="826"/>
      <c r="F205" s="826"/>
      <c r="G205" s="826"/>
      <c r="H205" s="827"/>
      <c r="I205" s="702"/>
      <c r="J205" s="704"/>
      <c r="K205" s="704"/>
      <c r="L205" s="704"/>
      <c r="M205" s="703"/>
      <c r="N205" s="654"/>
      <c r="O205" s="698"/>
      <c r="P205" s="699"/>
      <c r="Q205" s="700"/>
      <c r="R205" s="654"/>
      <c r="S205" s="698"/>
      <c r="T205" s="701"/>
    </row>
    <row r="206" spans="2:20">
      <c r="B206" s="724" t="s">
        <v>307</v>
      </c>
      <c r="C206" s="725" t="s">
        <v>295</v>
      </c>
      <c r="D206" s="837"/>
      <c r="E206" s="838"/>
      <c r="F206" s="838"/>
      <c r="G206" s="838"/>
      <c r="H206" s="839"/>
      <c r="I206" s="840"/>
      <c r="J206" s="841"/>
      <c r="K206" s="841"/>
      <c r="L206" s="841"/>
      <c r="M206" s="842"/>
      <c r="N206" s="654"/>
      <c r="O206" s="698"/>
      <c r="P206" s="699"/>
      <c r="Q206" s="700"/>
      <c r="R206" s="654"/>
      <c r="S206" s="698"/>
      <c r="T206" s="701"/>
    </row>
    <row r="207" spans="2:20">
      <c r="B207" s="724" t="s">
        <v>308</v>
      </c>
      <c r="C207" s="725" t="s">
        <v>295</v>
      </c>
      <c r="D207" s="828"/>
      <c r="E207" s="829"/>
      <c r="F207" s="829"/>
      <c r="G207" s="829"/>
      <c r="H207" s="830"/>
      <c r="I207" s="834">
        <f>1-I206</f>
        <v>1</v>
      </c>
      <c r="J207" s="835">
        <f>1-J206</f>
        <v>1</v>
      </c>
      <c r="K207" s="835">
        <f>1-K206</f>
        <v>1</v>
      </c>
      <c r="L207" s="835">
        <f>1-L206</f>
        <v>1</v>
      </c>
      <c r="M207" s="836">
        <f>1-M206</f>
        <v>1</v>
      </c>
      <c r="N207" s="654"/>
      <c r="O207" s="698"/>
      <c r="P207" s="699"/>
      <c r="Q207" s="700"/>
      <c r="R207" s="654"/>
      <c r="S207" s="698"/>
      <c r="T207" s="701"/>
    </row>
    <row r="208" spans="2:20">
      <c r="B208" s="732" t="s">
        <v>867</v>
      </c>
      <c r="C208" s="725" t="s">
        <v>14</v>
      </c>
      <c r="D208" s="687"/>
      <c r="E208" s="702"/>
      <c r="F208" s="702"/>
      <c r="G208" s="702"/>
      <c r="H208" s="703"/>
      <c r="I208" s="733">
        <f>SUM(I202,I205)</f>
        <v>0</v>
      </c>
      <c r="J208" s="678">
        <f>SUM(J202,J205)</f>
        <v>0</v>
      </c>
      <c r="K208" s="678">
        <f>SUM(K202,K205)</f>
        <v>0</v>
      </c>
      <c r="L208" s="678">
        <f>SUM(L202,L205)</f>
        <v>0</v>
      </c>
      <c r="M208" s="679">
        <f>SUM(M202,M205)</f>
        <v>0</v>
      </c>
      <c r="N208" s="654"/>
      <c r="O208" s="677">
        <f>SUM(D208:G208)</f>
        <v>0</v>
      </c>
      <c r="P208" s="678">
        <f>SUM(H208)</f>
        <v>0</v>
      </c>
      <c r="Q208" s="679">
        <f>SUM(D208:H208)</f>
        <v>0</v>
      </c>
      <c r="R208" s="654"/>
      <c r="S208" s="677">
        <f>SUM(I208:M208)</f>
        <v>0</v>
      </c>
      <c r="T208" s="680" t="str">
        <f>IF(Q208&lt;&gt;0,(S208-Q208)/Q208,"0")</f>
        <v>0</v>
      </c>
    </row>
    <row r="209" spans="2:20">
      <c r="B209" s="716" t="s">
        <v>309</v>
      </c>
      <c r="C209" s="734"/>
      <c r="D209" s="735"/>
      <c r="E209" s="736"/>
      <c r="F209" s="736"/>
      <c r="G209" s="736"/>
      <c r="H209" s="737"/>
      <c r="I209" s="736"/>
      <c r="J209" s="736"/>
      <c r="K209" s="736"/>
      <c r="L209" s="736"/>
      <c r="M209" s="737"/>
      <c r="N209" s="654"/>
      <c r="O209" s="735"/>
      <c r="P209" s="736"/>
      <c r="Q209" s="737"/>
      <c r="R209" s="654"/>
      <c r="S209" s="735"/>
      <c r="T209" s="737"/>
    </row>
    <row r="210" spans="2:20">
      <c r="B210" s="724" t="s">
        <v>273</v>
      </c>
      <c r="C210" s="725" t="s">
        <v>14</v>
      </c>
      <c r="D210" s="825"/>
      <c r="E210" s="826"/>
      <c r="F210" s="826"/>
      <c r="G210" s="826"/>
      <c r="H210" s="827"/>
      <c r="I210" s="702"/>
      <c r="J210" s="704"/>
      <c r="K210" s="704"/>
      <c r="L210" s="704"/>
      <c r="M210" s="703"/>
      <c r="N210" s="654"/>
      <c r="O210" s="698"/>
      <c r="P210" s="699"/>
      <c r="Q210" s="700"/>
      <c r="R210" s="654"/>
      <c r="S210" s="698"/>
      <c r="T210" s="701"/>
    </row>
    <row r="211" spans="2:20">
      <c r="B211" s="724" t="s">
        <v>310</v>
      </c>
      <c r="C211" s="725" t="s">
        <v>295</v>
      </c>
      <c r="D211" s="828"/>
      <c r="E211" s="829"/>
      <c r="F211" s="829"/>
      <c r="G211" s="829"/>
      <c r="H211" s="830"/>
      <c r="I211" s="831"/>
      <c r="J211" s="832"/>
      <c r="K211" s="832"/>
      <c r="L211" s="832"/>
      <c r="M211" s="833"/>
      <c r="N211" s="654"/>
      <c r="O211" s="698"/>
      <c r="P211" s="699"/>
      <c r="Q211" s="700"/>
      <c r="R211" s="654"/>
      <c r="S211" s="698"/>
      <c r="T211" s="701"/>
    </row>
    <row r="212" spans="2:20">
      <c r="B212" s="724" t="s">
        <v>311</v>
      </c>
      <c r="C212" s="725" t="s">
        <v>295</v>
      </c>
      <c r="D212" s="828"/>
      <c r="E212" s="829"/>
      <c r="F212" s="829"/>
      <c r="G212" s="829"/>
      <c r="H212" s="830"/>
      <c r="I212" s="834">
        <f>1-I211</f>
        <v>1</v>
      </c>
      <c r="J212" s="835">
        <f>1-J211</f>
        <v>1</v>
      </c>
      <c r="K212" s="835">
        <f>1-K211</f>
        <v>1</v>
      </c>
      <c r="L212" s="835">
        <f>1-L211</f>
        <v>1</v>
      </c>
      <c r="M212" s="836">
        <f>1-M211</f>
        <v>1</v>
      </c>
      <c r="N212" s="654"/>
      <c r="O212" s="698"/>
      <c r="P212" s="699"/>
      <c r="Q212" s="700"/>
      <c r="R212" s="654"/>
      <c r="S212" s="698"/>
      <c r="T212" s="701"/>
    </row>
    <row r="213" spans="2:20">
      <c r="B213" s="724" t="s">
        <v>274</v>
      </c>
      <c r="C213" s="725" t="s">
        <v>14</v>
      </c>
      <c r="D213" s="825"/>
      <c r="E213" s="826"/>
      <c r="F213" s="826"/>
      <c r="G213" s="826"/>
      <c r="H213" s="827"/>
      <c r="I213" s="702"/>
      <c r="J213" s="704"/>
      <c r="K213" s="704"/>
      <c r="L213" s="704"/>
      <c r="M213" s="703"/>
      <c r="N213" s="654"/>
      <c r="O213" s="698"/>
      <c r="P213" s="699"/>
      <c r="Q213" s="700"/>
      <c r="R213" s="654"/>
      <c r="S213" s="698"/>
      <c r="T213" s="701"/>
    </row>
    <row r="214" spans="2:20">
      <c r="B214" s="724" t="s">
        <v>312</v>
      </c>
      <c r="C214" s="725" t="s">
        <v>295</v>
      </c>
      <c r="D214" s="837"/>
      <c r="E214" s="838"/>
      <c r="F214" s="838"/>
      <c r="G214" s="838"/>
      <c r="H214" s="839"/>
      <c r="I214" s="840"/>
      <c r="J214" s="841"/>
      <c r="K214" s="841"/>
      <c r="L214" s="841"/>
      <c r="M214" s="842"/>
      <c r="N214" s="654"/>
      <c r="O214" s="698"/>
      <c r="P214" s="699"/>
      <c r="Q214" s="700"/>
      <c r="R214" s="654"/>
      <c r="S214" s="698"/>
      <c r="T214" s="701"/>
    </row>
    <row r="215" spans="2:20">
      <c r="B215" s="724" t="s">
        <v>313</v>
      </c>
      <c r="C215" s="725" t="s">
        <v>295</v>
      </c>
      <c r="D215" s="828"/>
      <c r="E215" s="829"/>
      <c r="F215" s="829"/>
      <c r="G215" s="829"/>
      <c r="H215" s="830"/>
      <c r="I215" s="834">
        <f>1-I214</f>
        <v>1</v>
      </c>
      <c r="J215" s="835">
        <f>1-J214</f>
        <v>1</v>
      </c>
      <c r="K215" s="835">
        <f>1-K214</f>
        <v>1</v>
      </c>
      <c r="L215" s="835">
        <f>1-L214</f>
        <v>1</v>
      </c>
      <c r="M215" s="836">
        <f>1-M214</f>
        <v>1</v>
      </c>
      <c r="N215" s="654"/>
      <c r="O215" s="698"/>
      <c r="P215" s="699"/>
      <c r="Q215" s="700"/>
      <c r="R215" s="654"/>
      <c r="S215" s="698"/>
      <c r="T215" s="701"/>
    </row>
    <row r="216" spans="2:20">
      <c r="B216" s="843" t="s">
        <v>700</v>
      </c>
      <c r="C216" s="725" t="s">
        <v>14</v>
      </c>
      <c r="D216" s="844"/>
      <c r="E216" s="845"/>
      <c r="F216" s="845"/>
      <c r="G216" s="845"/>
      <c r="H216" s="846"/>
      <c r="I216" s="847">
        <f>SUM(I210,I213)</f>
        <v>0</v>
      </c>
      <c r="J216" s="848">
        <f>SUM(J210,J213)</f>
        <v>0</v>
      </c>
      <c r="K216" s="848">
        <f>SUM(K210,K213)</f>
        <v>0</v>
      </c>
      <c r="L216" s="848">
        <f>SUM(L210,L213)</f>
        <v>0</v>
      </c>
      <c r="M216" s="849">
        <f>SUM(M210,M213)</f>
        <v>0</v>
      </c>
      <c r="N216" s="654"/>
      <c r="O216" s="677">
        <f>SUM(D216:G216)</f>
        <v>0</v>
      </c>
      <c r="P216" s="678">
        <f>SUM(H216)</f>
        <v>0</v>
      </c>
      <c r="Q216" s="679">
        <f>SUM(D216:H216)</f>
        <v>0</v>
      </c>
      <c r="R216" s="654"/>
      <c r="S216" s="677">
        <f>SUM(I216:M216)</f>
        <v>0</v>
      </c>
      <c r="T216" s="680" t="str">
        <f>IF(Q216&lt;&gt;0,(S216-Q216)/Q216,"0")</f>
        <v>0</v>
      </c>
    </row>
    <row r="217" spans="2:20" ht="13.5" thickBot="1">
      <c r="B217" s="850" t="s">
        <v>316</v>
      </c>
      <c r="C217" s="851"/>
      <c r="D217" s="852">
        <f t="shared" ref="D217:M217" si="32">SUM(D192,D200,D208,D216)</f>
        <v>0</v>
      </c>
      <c r="E217" s="852">
        <f t="shared" si="32"/>
        <v>0</v>
      </c>
      <c r="F217" s="852">
        <f t="shared" si="32"/>
        <v>0</v>
      </c>
      <c r="G217" s="852">
        <f t="shared" si="32"/>
        <v>0</v>
      </c>
      <c r="H217" s="852">
        <f t="shared" si="32"/>
        <v>0</v>
      </c>
      <c r="I217" s="855">
        <f t="shared" si="32"/>
        <v>0</v>
      </c>
      <c r="J217" s="855">
        <f t="shared" si="32"/>
        <v>0</v>
      </c>
      <c r="K217" s="855">
        <f t="shared" si="32"/>
        <v>0</v>
      </c>
      <c r="L217" s="855">
        <f t="shared" si="32"/>
        <v>0</v>
      </c>
      <c r="M217" s="856">
        <f t="shared" si="32"/>
        <v>0</v>
      </c>
      <c r="N217" s="654"/>
      <c r="O217" s="709">
        <f>SUM(O192,O200,O208,O216)</f>
        <v>0</v>
      </c>
      <c r="P217" s="710">
        <f>SUM(P192,P200,P208,P216)</f>
        <v>0</v>
      </c>
      <c r="Q217" s="711">
        <f>SUM(Q192,Q200,Q208,Q216)</f>
        <v>0</v>
      </c>
      <c r="R217" s="654"/>
      <c r="S217" s="857">
        <f>SUM(S192,S200,S208,S216)</f>
        <v>0</v>
      </c>
      <c r="T217" s="712" t="str">
        <f>IF(Q217&lt;&gt;0,(S217-Q217)/Q217,"0")</f>
        <v>0</v>
      </c>
    </row>
    <row r="218" spans="2:20">
      <c r="C218" s="651"/>
      <c r="D218" s="651"/>
      <c r="E218" s="651"/>
      <c r="F218" s="651"/>
      <c r="G218" s="651"/>
      <c r="H218" s="651"/>
      <c r="I218" s="651"/>
      <c r="J218" s="651"/>
      <c r="K218" s="651"/>
      <c r="L218" s="651"/>
      <c r="M218" s="651"/>
      <c r="N218" s="651"/>
      <c r="O218" s="651"/>
      <c r="P218" s="651"/>
      <c r="Q218" s="651"/>
      <c r="R218" s="651"/>
      <c r="S218" s="651"/>
      <c r="T218" s="651"/>
    </row>
    <row r="219" spans="2:20">
      <c r="B219" s="713" t="s">
        <v>317</v>
      </c>
      <c r="C219" s="714"/>
      <c r="D219" s="715"/>
      <c r="E219" s="715"/>
      <c r="F219" s="715"/>
      <c r="G219" s="715"/>
      <c r="H219" s="715"/>
      <c r="I219" s="715"/>
      <c r="J219" s="715"/>
      <c r="K219" s="715"/>
      <c r="L219" s="715"/>
      <c r="M219" s="715"/>
      <c r="N219" s="654"/>
      <c r="O219" s="715"/>
      <c r="P219" s="715"/>
      <c r="Q219" s="715"/>
      <c r="R219" s="654"/>
      <c r="S219" s="715"/>
      <c r="T219" s="715"/>
    </row>
    <row r="220" spans="2:20" ht="13.5" thickBot="1">
      <c r="B220" s="713"/>
      <c r="C220" s="714"/>
      <c r="D220" s="715"/>
      <c r="E220" s="715"/>
      <c r="F220" s="715"/>
      <c r="G220" s="715"/>
      <c r="H220" s="715"/>
      <c r="I220" s="715"/>
      <c r="J220" s="715"/>
      <c r="K220" s="715"/>
      <c r="L220" s="715"/>
      <c r="M220" s="715"/>
      <c r="N220" s="654"/>
      <c r="O220" s="715"/>
      <c r="P220" s="715"/>
      <c r="Q220" s="715"/>
      <c r="R220" s="654"/>
      <c r="S220" s="715"/>
      <c r="T220" s="715"/>
    </row>
    <row r="221" spans="2:20">
      <c r="B221" s="1904" t="s">
        <v>857</v>
      </c>
      <c r="C221" s="1906" t="s">
        <v>31</v>
      </c>
      <c r="D221" s="657" t="s">
        <v>116</v>
      </c>
      <c r="E221" s="658"/>
      <c r="F221" s="658"/>
      <c r="G221" s="658"/>
      <c r="H221" s="659"/>
      <c r="I221" s="658" t="s">
        <v>117</v>
      </c>
      <c r="J221" s="660"/>
      <c r="K221" s="660"/>
      <c r="L221" s="660"/>
      <c r="M221" s="659"/>
      <c r="N221" s="654"/>
      <c r="O221" s="661" t="s">
        <v>116</v>
      </c>
      <c r="P221" s="662"/>
      <c r="Q221" s="663"/>
      <c r="R221" s="654"/>
      <c r="S221" s="661" t="s">
        <v>117</v>
      </c>
      <c r="T221" s="663"/>
    </row>
    <row r="222" spans="2:20">
      <c r="B222" s="1905"/>
      <c r="C222" s="1907"/>
      <c r="D222" s="665" t="s">
        <v>32</v>
      </c>
      <c r="E222" s="666" t="s">
        <v>33</v>
      </c>
      <c r="F222" s="666" t="s">
        <v>29</v>
      </c>
      <c r="G222" s="666" t="s">
        <v>34</v>
      </c>
      <c r="H222" s="667" t="s">
        <v>35</v>
      </c>
      <c r="I222" s="668" t="s">
        <v>118</v>
      </c>
      <c r="J222" s="666" t="s">
        <v>136</v>
      </c>
      <c r="K222" s="666" t="s">
        <v>137</v>
      </c>
      <c r="L222" s="666" t="s">
        <v>138</v>
      </c>
      <c r="M222" s="667" t="s">
        <v>139</v>
      </c>
      <c r="N222" s="654"/>
      <c r="O222" s="669" t="s">
        <v>126</v>
      </c>
      <c r="P222" s="670" t="s">
        <v>127</v>
      </c>
      <c r="Q222" s="671" t="s">
        <v>246</v>
      </c>
      <c r="R222" s="654"/>
      <c r="S222" s="669" t="s">
        <v>127</v>
      </c>
      <c r="T222" s="671" t="s">
        <v>128</v>
      </c>
    </row>
    <row r="223" spans="2:20">
      <c r="B223" s="823" t="s">
        <v>862</v>
      </c>
      <c r="C223" s="824"/>
      <c r="D223" s="744"/>
      <c r="E223" s="745"/>
      <c r="F223" s="745"/>
      <c r="G223" s="745"/>
      <c r="H223" s="746"/>
      <c r="I223" s="748"/>
      <c r="J223" s="748"/>
      <c r="K223" s="748"/>
      <c r="L223" s="748"/>
      <c r="M223" s="749"/>
      <c r="N223" s="654"/>
      <c r="O223" s="747"/>
      <c r="P223" s="748"/>
      <c r="Q223" s="749"/>
      <c r="R223" s="654"/>
      <c r="S223" s="747"/>
      <c r="T223" s="749"/>
    </row>
    <row r="224" spans="2:20">
      <c r="B224" s="716" t="s">
        <v>671</v>
      </c>
      <c r="C224" s="717"/>
      <c r="D224" s="718"/>
      <c r="E224" s="719"/>
      <c r="F224" s="719"/>
      <c r="G224" s="719"/>
      <c r="H224" s="720"/>
      <c r="I224" s="719"/>
      <c r="J224" s="719"/>
      <c r="K224" s="719"/>
      <c r="L224" s="719"/>
      <c r="M224" s="720"/>
      <c r="N224" s="654"/>
      <c r="O224" s="721"/>
      <c r="P224" s="722"/>
      <c r="Q224" s="723"/>
      <c r="R224" s="654"/>
      <c r="S224" s="718"/>
      <c r="T224" s="720"/>
    </row>
    <row r="225" spans="2:20">
      <c r="B225" s="724" t="s">
        <v>267</v>
      </c>
      <c r="C225" s="725" t="s">
        <v>14</v>
      </c>
      <c r="D225" s="825"/>
      <c r="E225" s="826"/>
      <c r="F225" s="826"/>
      <c r="G225" s="826"/>
      <c r="H225" s="827"/>
      <c r="I225" s="702"/>
      <c r="J225" s="704"/>
      <c r="K225" s="704"/>
      <c r="L225" s="704"/>
      <c r="M225" s="703"/>
      <c r="N225" s="654"/>
      <c r="O225" s="698"/>
      <c r="P225" s="699"/>
      <c r="Q225" s="700"/>
      <c r="R225" s="654"/>
      <c r="S225" s="698"/>
      <c r="T225" s="701"/>
    </row>
    <row r="226" spans="2:20">
      <c r="B226" s="724" t="s">
        <v>268</v>
      </c>
      <c r="C226" s="725" t="s">
        <v>14</v>
      </c>
      <c r="D226" s="825"/>
      <c r="E226" s="826"/>
      <c r="F226" s="826"/>
      <c r="G226" s="826"/>
      <c r="H226" s="827"/>
      <c r="I226" s="702"/>
      <c r="J226" s="704"/>
      <c r="K226" s="704"/>
      <c r="L226" s="704"/>
      <c r="M226" s="703"/>
      <c r="N226" s="654"/>
      <c r="O226" s="698"/>
      <c r="P226" s="699"/>
      <c r="Q226" s="700"/>
      <c r="R226" s="654"/>
      <c r="S226" s="698"/>
      <c r="T226" s="701"/>
    </row>
    <row r="227" spans="2:20">
      <c r="B227" s="732" t="s">
        <v>865</v>
      </c>
      <c r="C227" s="725" t="s">
        <v>14</v>
      </c>
      <c r="D227" s="687"/>
      <c r="E227" s="702"/>
      <c r="F227" s="702"/>
      <c r="G227" s="702"/>
      <c r="H227" s="703"/>
      <c r="I227" s="733">
        <f>SUM(I225,I226)</f>
        <v>0</v>
      </c>
      <c r="J227" s="678">
        <f>SUM(J225,J226)</f>
        <v>0</v>
      </c>
      <c r="K227" s="678">
        <f>SUM(K225,K226)</f>
        <v>0</v>
      </c>
      <c r="L227" s="678">
        <f>SUM(L225,L226)</f>
        <v>0</v>
      </c>
      <c r="M227" s="679">
        <f>SUM(M225,M226)</f>
        <v>0</v>
      </c>
      <c r="N227" s="654"/>
      <c r="O227" s="677">
        <f>SUM(D227:G227)</f>
        <v>0</v>
      </c>
      <c r="P227" s="678">
        <f>SUM(H227)</f>
        <v>0</v>
      </c>
      <c r="Q227" s="679">
        <f>SUM(D227:H227)</f>
        <v>0</v>
      </c>
      <c r="R227" s="654"/>
      <c r="S227" s="677">
        <f>SUM(I227:M227)</f>
        <v>0</v>
      </c>
      <c r="T227" s="680" t="str">
        <f>IF(Q227&lt;&gt;0,(S227-Q227)/Q227,"0")</f>
        <v>0</v>
      </c>
    </row>
    <row r="228" spans="2:20">
      <c r="B228" s="716" t="s">
        <v>299</v>
      </c>
      <c r="C228" s="734"/>
      <c r="D228" s="735"/>
      <c r="E228" s="736"/>
      <c r="F228" s="736"/>
      <c r="G228" s="736"/>
      <c r="H228" s="737"/>
      <c r="I228" s="736"/>
      <c r="J228" s="736"/>
      <c r="K228" s="736"/>
      <c r="L228" s="736"/>
      <c r="M228" s="737"/>
      <c r="N228" s="654"/>
      <c r="O228" s="738"/>
      <c r="P228" s="736"/>
      <c r="Q228" s="737"/>
      <c r="R228" s="654"/>
      <c r="S228" s="735"/>
      <c r="T228" s="737"/>
    </row>
    <row r="229" spans="2:20">
      <c r="B229" s="724" t="s">
        <v>269</v>
      </c>
      <c r="C229" s="725" t="s">
        <v>14</v>
      </c>
      <c r="D229" s="825"/>
      <c r="E229" s="826"/>
      <c r="F229" s="826"/>
      <c r="G229" s="826"/>
      <c r="H229" s="827"/>
      <c r="I229" s="702"/>
      <c r="J229" s="704"/>
      <c r="K229" s="704"/>
      <c r="L229" s="704"/>
      <c r="M229" s="703"/>
      <c r="N229" s="654"/>
      <c r="O229" s="698"/>
      <c r="P229" s="699"/>
      <c r="Q229" s="700"/>
      <c r="R229" s="654"/>
      <c r="S229" s="698"/>
      <c r="T229" s="701"/>
    </row>
    <row r="230" spans="2:20">
      <c r="B230" s="724" t="s">
        <v>270</v>
      </c>
      <c r="C230" s="725" t="s">
        <v>14</v>
      </c>
      <c r="D230" s="825"/>
      <c r="E230" s="826"/>
      <c r="F230" s="826"/>
      <c r="G230" s="826"/>
      <c r="H230" s="827"/>
      <c r="I230" s="702"/>
      <c r="J230" s="704"/>
      <c r="K230" s="704"/>
      <c r="L230" s="704"/>
      <c r="M230" s="703"/>
      <c r="N230" s="654"/>
      <c r="O230" s="698"/>
      <c r="P230" s="699"/>
      <c r="Q230" s="700"/>
      <c r="R230" s="654"/>
      <c r="S230" s="698"/>
      <c r="T230" s="701"/>
    </row>
    <row r="231" spans="2:20">
      <c r="B231" s="732" t="s">
        <v>866</v>
      </c>
      <c r="C231" s="725" t="s">
        <v>14</v>
      </c>
      <c r="D231" s="687"/>
      <c r="E231" s="702"/>
      <c r="F231" s="702"/>
      <c r="G231" s="702"/>
      <c r="H231" s="703"/>
      <c r="I231" s="733">
        <f>SUM(I229,I230)</f>
        <v>0</v>
      </c>
      <c r="J231" s="678">
        <f>SUM(J229,J230)</f>
        <v>0</v>
      </c>
      <c r="K231" s="678">
        <f>SUM(K229,K230)</f>
        <v>0</v>
      </c>
      <c r="L231" s="678">
        <f>SUM(L229,L230)</f>
        <v>0</v>
      </c>
      <c r="M231" s="679">
        <f>SUM(M229,M230)</f>
        <v>0</v>
      </c>
      <c r="N231" s="654"/>
      <c r="O231" s="677">
        <f>SUM(D231:G231)</f>
        <v>0</v>
      </c>
      <c r="P231" s="678">
        <f>SUM(H231)</f>
        <v>0</v>
      </c>
      <c r="Q231" s="679">
        <f>SUM(D231:H231)</f>
        <v>0</v>
      </c>
      <c r="R231" s="654"/>
      <c r="S231" s="677">
        <f>SUM(I231:M231)</f>
        <v>0</v>
      </c>
      <c r="T231" s="680" t="str">
        <f>IF(Q231&lt;&gt;0,(S231-Q231)/Q231,"0")</f>
        <v>0</v>
      </c>
    </row>
    <row r="232" spans="2:20">
      <c r="B232" s="716" t="s">
        <v>304</v>
      </c>
      <c r="C232" s="734"/>
      <c r="D232" s="735"/>
      <c r="E232" s="736"/>
      <c r="F232" s="736"/>
      <c r="G232" s="736"/>
      <c r="H232" s="737"/>
      <c r="I232" s="736"/>
      <c r="J232" s="736"/>
      <c r="K232" s="736"/>
      <c r="L232" s="736"/>
      <c r="M232" s="737"/>
      <c r="N232" s="654"/>
      <c r="O232" s="735"/>
      <c r="P232" s="736"/>
      <c r="Q232" s="737"/>
      <c r="R232" s="654"/>
      <c r="S232" s="735"/>
      <c r="T232" s="737"/>
    </row>
    <row r="233" spans="2:20">
      <c r="B233" s="724" t="s">
        <v>271</v>
      </c>
      <c r="C233" s="725" t="s">
        <v>14</v>
      </c>
      <c r="D233" s="825"/>
      <c r="E233" s="826"/>
      <c r="F233" s="826"/>
      <c r="G233" s="826"/>
      <c r="H233" s="827"/>
      <c r="I233" s="702"/>
      <c r="J233" s="704"/>
      <c r="K233" s="704"/>
      <c r="L233" s="704"/>
      <c r="M233" s="703"/>
      <c r="N233" s="654"/>
      <c r="O233" s="698"/>
      <c r="P233" s="699"/>
      <c r="Q233" s="700"/>
      <c r="R233" s="654"/>
      <c r="S233" s="698"/>
      <c r="T233" s="701"/>
    </row>
    <row r="234" spans="2:20">
      <c r="B234" s="724" t="s">
        <v>272</v>
      </c>
      <c r="C234" s="725" t="s">
        <v>14</v>
      </c>
      <c r="D234" s="825"/>
      <c r="E234" s="826"/>
      <c r="F234" s="826"/>
      <c r="G234" s="826"/>
      <c r="H234" s="827"/>
      <c r="I234" s="702"/>
      <c r="J234" s="704"/>
      <c r="K234" s="704"/>
      <c r="L234" s="704"/>
      <c r="M234" s="703"/>
      <c r="N234" s="654"/>
      <c r="O234" s="698"/>
      <c r="P234" s="699"/>
      <c r="Q234" s="700"/>
      <c r="R234" s="654"/>
      <c r="S234" s="698"/>
      <c r="T234" s="701"/>
    </row>
    <row r="235" spans="2:20">
      <c r="B235" s="732" t="s">
        <v>867</v>
      </c>
      <c r="C235" s="725" t="s">
        <v>14</v>
      </c>
      <c r="D235" s="687"/>
      <c r="E235" s="702"/>
      <c r="F235" s="702"/>
      <c r="G235" s="702"/>
      <c r="H235" s="703"/>
      <c r="I235" s="733">
        <f>SUM(I233,I234)</f>
        <v>0</v>
      </c>
      <c r="J235" s="678">
        <f>SUM(J233,J234)</f>
        <v>0</v>
      </c>
      <c r="K235" s="678">
        <f>SUM(K233,K234)</f>
        <v>0</v>
      </c>
      <c r="L235" s="678">
        <f>SUM(L233,L234)</f>
        <v>0</v>
      </c>
      <c r="M235" s="679">
        <f>SUM(M233,M234)</f>
        <v>0</v>
      </c>
      <c r="N235" s="654"/>
      <c r="O235" s="677">
        <f>SUM(D235:G235)</f>
        <v>0</v>
      </c>
      <c r="P235" s="678">
        <f>SUM(H235)</f>
        <v>0</v>
      </c>
      <c r="Q235" s="679">
        <f>SUM(D235:H235)</f>
        <v>0</v>
      </c>
      <c r="R235" s="654"/>
      <c r="S235" s="677">
        <f>SUM(I235:M235)</f>
        <v>0</v>
      </c>
      <c r="T235" s="680" t="str">
        <f>IF(Q235&lt;&gt;0,(S235-Q235)/Q235,"0")</f>
        <v>0</v>
      </c>
    </row>
    <row r="236" spans="2:20">
      <c r="B236" s="716" t="s">
        <v>309</v>
      </c>
      <c r="C236" s="734"/>
      <c r="D236" s="735"/>
      <c r="E236" s="736"/>
      <c r="F236" s="736"/>
      <c r="G236" s="736"/>
      <c r="H236" s="737"/>
      <c r="I236" s="736"/>
      <c r="J236" s="736"/>
      <c r="K236" s="736"/>
      <c r="L236" s="736"/>
      <c r="M236" s="737"/>
      <c r="N236" s="654"/>
      <c r="O236" s="735"/>
      <c r="P236" s="736"/>
      <c r="Q236" s="737"/>
      <c r="R236" s="654"/>
      <c r="S236" s="735"/>
      <c r="T236" s="737"/>
    </row>
    <row r="237" spans="2:20">
      <c r="B237" s="724" t="s">
        <v>273</v>
      </c>
      <c r="C237" s="725" t="s">
        <v>14</v>
      </c>
      <c r="D237" s="825"/>
      <c r="E237" s="826"/>
      <c r="F237" s="826"/>
      <c r="G237" s="826"/>
      <c r="H237" s="827"/>
      <c r="I237" s="702"/>
      <c r="J237" s="704"/>
      <c r="K237" s="704"/>
      <c r="L237" s="704"/>
      <c r="M237" s="703"/>
      <c r="N237" s="654"/>
      <c r="O237" s="698"/>
      <c r="P237" s="699"/>
      <c r="Q237" s="700"/>
      <c r="R237" s="654"/>
      <c r="S237" s="698"/>
      <c r="T237" s="701"/>
    </row>
    <row r="238" spans="2:20">
      <c r="B238" s="724" t="s">
        <v>274</v>
      </c>
      <c r="C238" s="725" t="s">
        <v>14</v>
      </c>
      <c r="D238" s="825"/>
      <c r="E238" s="826"/>
      <c r="F238" s="826"/>
      <c r="G238" s="826"/>
      <c r="H238" s="827"/>
      <c r="I238" s="702"/>
      <c r="J238" s="704"/>
      <c r="K238" s="704"/>
      <c r="L238" s="704"/>
      <c r="M238" s="703"/>
      <c r="N238" s="654"/>
      <c r="O238" s="698"/>
      <c r="P238" s="699"/>
      <c r="Q238" s="700"/>
      <c r="R238" s="654"/>
      <c r="S238" s="698"/>
      <c r="T238" s="701"/>
    </row>
    <row r="239" spans="2:20">
      <c r="B239" s="843" t="s">
        <v>700</v>
      </c>
      <c r="C239" s="725" t="s">
        <v>14</v>
      </c>
      <c r="D239" s="844"/>
      <c r="E239" s="845"/>
      <c r="F239" s="845"/>
      <c r="G239" s="845"/>
      <c r="H239" s="846"/>
      <c r="I239" s="847">
        <f>SUM(I237,I238)</f>
        <v>0</v>
      </c>
      <c r="J239" s="848">
        <f>SUM(J237,J238)</f>
        <v>0</v>
      </c>
      <c r="K239" s="848">
        <f>SUM(K237,K238)</f>
        <v>0</v>
      </c>
      <c r="L239" s="848">
        <f>SUM(L237,L238)</f>
        <v>0</v>
      </c>
      <c r="M239" s="849">
        <f>SUM(M237,M238)</f>
        <v>0</v>
      </c>
      <c r="N239" s="654"/>
      <c r="O239" s="677">
        <f>SUM(D239:G239)</f>
        <v>0</v>
      </c>
      <c r="P239" s="678">
        <f>SUM(H239)</f>
        <v>0</v>
      </c>
      <c r="Q239" s="679">
        <f>SUM(D239:H239)</f>
        <v>0</v>
      </c>
      <c r="R239" s="654"/>
      <c r="S239" s="677">
        <f>SUM(I239:M239)</f>
        <v>0</v>
      </c>
      <c r="T239" s="680" t="str">
        <f>IF(Q239&lt;&gt;0,(S239-Q239)/Q239,"0")</f>
        <v>0</v>
      </c>
    </row>
    <row r="240" spans="2:20" ht="13.5" thickBot="1">
      <c r="B240" s="850" t="s">
        <v>318</v>
      </c>
      <c r="C240" s="851"/>
      <c r="D240" s="852">
        <f t="shared" ref="D240:M240" si="33">SUM(D227,D231,D235,D239)</f>
        <v>0</v>
      </c>
      <c r="E240" s="852">
        <f t="shared" si="33"/>
        <v>0</v>
      </c>
      <c r="F240" s="852">
        <f t="shared" si="33"/>
        <v>0</v>
      </c>
      <c r="G240" s="852">
        <f t="shared" si="33"/>
        <v>0</v>
      </c>
      <c r="H240" s="852">
        <f t="shared" si="33"/>
        <v>0</v>
      </c>
      <c r="I240" s="855">
        <f t="shared" si="33"/>
        <v>0</v>
      </c>
      <c r="J240" s="855">
        <f t="shared" si="33"/>
        <v>0</v>
      </c>
      <c r="K240" s="855">
        <f t="shared" si="33"/>
        <v>0</v>
      </c>
      <c r="L240" s="855">
        <f t="shared" si="33"/>
        <v>0</v>
      </c>
      <c r="M240" s="856">
        <f t="shared" si="33"/>
        <v>0</v>
      </c>
      <c r="N240" s="654"/>
      <c r="O240" s="709">
        <f>SUM(O227,O231,O235,O239)</f>
        <v>0</v>
      </c>
      <c r="P240" s="710">
        <f>SUM(P227,P231,P235,P239)</f>
        <v>0</v>
      </c>
      <c r="Q240" s="711">
        <f>SUM(Q227,Q231,Q235,Q239)</f>
        <v>0</v>
      </c>
      <c r="R240" s="654"/>
      <c r="S240" s="709">
        <f>SUM(S227,S231,S235,S239)</f>
        <v>0</v>
      </c>
      <c r="T240" s="712" t="str">
        <f>IF(Q240&lt;&gt;0,(S240-Q240)/Q240,"0")</f>
        <v>0</v>
      </c>
    </row>
    <row r="241" spans="2:20">
      <c r="N241" s="654"/>
      <c r="R241" s="654"/>
    </row>
    <row r="243" spans="2:20">
      <c r="B243" s="713" t="s">
        <v>319</v>
      </c>
      <c r="C243" s="714"/>
      <c r="D243" s="715"/>
      <c r="E243" s="715"/>
      <c r="F243" s="715"/>
      <c r="G243" s="715"/>
      <c r="H243" s="715"/>
      <c r="I243" s="715"/>
      <c r="J243" s="715"/>
      <c r="K243" s="715"/>
      <c r="L243" s="715"/>
      <c r="M243" s="715"/>
      <c r="N243" s="654"/>
      <c r="O243" s="715"/>
      <c r="P243" s="715"/>
      <c r="Q243" s="715"/>
      <c r="R243" s="654"/>
      <c r="S243" s="715"/>
      <c r="T243" s="715"/>
    </row>
    <row r="244" spans="2:20" ht="13.5" thickBot="1">
      <c r="B244" s="713"/>
      <c r="C244" s="714"/>
      <c r="D244" s="715"/>
      <c r="E244" s="715"/>
      <c r="F244" s="715"/>
      <c r="G244" s="715"/>
      <c r="H244" s="715"/>
      <c r="I244" s="715"/>
      <c r="J244" s="715"/>
      <c r="K244" s="715"/>
      <c r="L244" s="715"/>
      <c r="M244" s="715"/>
      <c r="N244" s="654"/>
      <c r="O244" s="715"/>
      <c r="P244" s="715"/>
      <c r="Q244" s="715"/>
      <c r="R244" s="654"/>
      <c r="S244" s="715"/>
      <c r="T244" s="715"/>
    </row>
    <row r="245" spans="2:20">
      <c r="B245" s="1904" t="s">
        <v>140</v>
      </c>
      <c r="C245" s="1906" t="s">
        <v>31</v>
      </c>
      <c r="D245" s="657" t="s">
        <v>116</v>
      </c>
      <c r="E245" s="658"/>
      <c r="F245" s="658"/>
      <c r="G245" s="658"/>
      <c r="H245" s="659"/>
      <c r="I245" s="658" t="s">
        <v>117</v>
      </c>
      <c r="J245" s="660"/>
      <c r="K245" s="660"/>
      <c r="L245" s="660"/>
      <c r="M245" s="659"/>
      <c r="N245" s="654"/>
      <c r="O245" s="661" t="s">
        <v>116</v>
      </c>
      <c r="P245" s="662"/>
      <c r="Q245" s="663"/>
      <c r="R245" s="654"/>
      <c r="S245" s="661" t="s">
        <v>117</v>
      </c>
      <c r="T245" s="663"/>
    </row>
    <row r="246" spans="2:20">
      <c r="B246" s="1905"/>
      <c r="C246" s="1907"/>
      <c r="D246" s="665" t="s">
        <v>32</v>
      </c>
      <c r="E246" s="666" t="s">
        <v>33</v>
      </c>
      <c r="F246" s="666" t="s">
        <v>29</v>
      </c>
      <c r="G246" s="666" t="s">
        <v>34</v>
      </c>
      <c r="H246" s="667" t="s">
        <v>35</v>
      </c>
      <c r="I246" s="668" t="s">
        <v>118</v>
      </c>
      <c r="J246" s="666" t="s">
        <v>136</v>
      </c>
      <c r="K246" s="666" t="s">
        <v>137</v>
      </c>
      <c r="L246" s="666" t="s">
        <v>138</v>
      </c>
      <c r="M246" s="667" t="s">
        <v>139</v>
      </c>
      <c r="N246" s="654"/>
      <c r="O246" s="669" t="s">
        <v>126</v>
      </c>
      <c r="P246" s="670" t="s">
        <v>127</v>
      </c>
      <c r="Q246" s="671" t="s">
        <v>246</v>
      </c>
      <c r="R246" s="654"/>
      <c r="S246" s="669" t="s">
        <v>127</v>
      </c>
      <c r="T246" s="671" t="s">
        <v>128</v>
      </c>
    </row>
    <row r="247" spans="2:20">
      <c r="B247" s="716" t="s">
        <v>141</v>
      </c>
      <c r="C247" s="717"/>
      <c r="D247" s="718"/>
      <c r="E247" s="719"/>
      <c r="F247" s="719"/>
      <c r="G247" s="719"/>
      <c r="H247" s="720"/>
      <c r="I247" s="719"/>
      <c r="J247" s="719"/>
      <c r="K247" s="719"/>
      <c r="L247" s="719"/>
      <c r="M247" s="720"/>
      <c r="N247" s="654"/>
      <c r="O247" s="858"/>
      <c r="P247" s="859"/>
      <c r="Q247" s="860"/>
      <c r="R247" s="654"/>
      <c r="S247" s="861"/>
      <c r="T247" s="862"/>
    </row>
    <row r="248" spans="2:20">
      <c r="B248" s="724" t="s">
        <v>267</v>
      </c>
      <c r="C248" s="725" t="s">
        <v>14</v>
      </c>
      <c r="D248" s="825"/>
      <c r="E248" s="826"/>
      <c r="F248" s="826"/>
      <c r="G248" s="826"/>
      <c r="H248" s="827"/>
      <c r="I248" s="702"/>
      <c r="J248" s="704"/>
      <c r="K248" s="704"/>
      <c r="L248" s="704"/>
      <c r="M248" s="703"/>
      <c r="N248" s="654"/>
      <c r="O248" s="698"/>
      <c r="P248" s="699"/>
      <c r="Q248" s="700"/>
      <c r="R248" s="654"/>
      <c r="S248" s="698"/>
      <c r="T248" s="701"/>
    </row>
    <row r="249" spans="2:20">
      <c r="B249" s="724" t="s">
        <v>268</v>
      </c>
      <c r="C249" s="725"/>
      <c r="D249" s="825"/>
      <c r="E249" s="826"/>
      <c r="F249" s="826"/>
      <c r="G249" s="826"/>
      <c r="H249" s="827"/>
      <c r="I249" s="702"/>
      <c r="J249" s="704"/>
      <c r="K249" s="704"/>
      <c r="L249" s="704"/>
      <c r="M249" s="703"/>
      <c r="N249" s="654"/>
      <c r="O249" s="698"/>
      <c r="P249" s="699"/>
      <c r="Q249" s="700"/>
      <c r="R249" s="654"/>
      <c r="S249" s="698"/>
      <c r="T249" s="701"/>
    </row>
    <row r="250" spans="2:20">
      <c r="B250" s="732" t="s">
        <v>865</v>
      </c>
      <c r="C250" s="725" t="s">
        <v>14</v>
      </c>
      <c r="D250" s="687"/>
      <c r="E250" s="702"/>
      <c r="F250" s="702"/>
      <c r="G250" s="702"/>
      <c r="H250" s="703"/>
      <c r="I250" s="733">
        <f>SUM(I248:I249)</f>
        <v>0</v>
      </c>
      <c r="J250" s="678">
        <f>SUM(J248:J249)</f>
        <v>0</v>
      </c>
      <c r="K250" s="678">
        <f>SUM(K248:K249)</f>
        <v>0</v>
      </c>
      <c r="L250" s="678">
        <f>SUM(L248:L249)</f>
        <v>0</v>
      </c>
      <c r="M250" s="679">
        <f>SUM(M248:M249)</f>
        <v>0</v>
      </c>
      <c r="N250" s="654"/>
      <c r="O250" s="677">
        <f>SUM(D250:G250)</f>
        <v>0</v>
      </c>
      <c r="P250" s="678">
        <f>SUM(H250)</f>
        <v>0</v>
      </c>
      <c r="Q250" s="679">
        <f>SUM(D250:H250)</f>
        <v>0</v>
      </c>
      <c r="R250" s="654"/>
      <c r="S250" s="677">
        <f>SUM(I250:M250)</f>
        <v>0</v>
      </c>
      <c r="T250" s="680" t="str">
        <f>IF(Q250&lt;&gt;0,(S250-Q250)/Q250,"0")</f>
        <v>0</v>
      </c>
    </row>
    <row r="251" spans="2:20">
      <c r="B251" s="716" t="s">
        <v>320</v>
      </c>
      <c r="C251" s="734"/>
      <c r="D251" s="735"/>
      <c r="E251" s="736"/>
      <c r="F251" s="736"/>
      <c r="G251" s="736"/>
      <c r="H251" s="737"/>
      <c r="I251" s="736"/>
      <c r="J251" s="736"/>
      <c r="K251" s="736"/>
      <c r="L251" s="736"/>
      <c r="M251" s="737"/>
      <c r="N251" s="654"/>
      <c r="O251" s="861"/>
      <c r="P251" s="859"/>
      <c r="Q251" s="860"/>
      <c r="R251" s="654"/>
      <c r="S251" s="858"/>
      <c r="T251" s="860"/>
    </row>
    <row r="252" spans="2:20">
      <c r="B252" s="724" t="s">
        <v>269</v>
      </c>
      <c r="C252" s="725" t="s">
        <v>14</v>
      </c>
      <c r="D252" s="825"/>
      <c r="E252" s="826"/>
      <c r="F252" s="826"/>
      <c r="G252" s="826"/>
      <c r="H252" s="827"/>
      <c r="I252" s="702"/>
      <c r="J252" s="704"/>
      <c r="K252" s="704"/>
      <c r="L252" s="704"/>
      <c r="M252" s="703"/>
      <c r="N252" s="654"/>
      <c r="O252" s="698"/>
      <c r="P252" s="699"/>
      <c r="Q252" s="700"/>
      <c r="R252" s="654"/>
      <c r="S252" s="698"/>
      <c r="T252" s="701"/>
    </row>
    <row r="253" spans="2:20">
      <c r="B253" s="724" t="s">
        <v>270</v>
      </c>
      <c r="C253" s="725" t="s">
        <v>14</v>
      </c>
      <c r="D253" s="825"/>
      <c r="E253" s="826"/>
      <c r="F253" s="826"/>
      <c r="G253" s="826"/>
      <c r="H253" s="827"/>
      <c r="I253" s="702"/>
      <c r="J253" s="704"/>
      <c r="K253" s="704"/>
      <c r="L253" s="704"/>
      <c r="M253" s="703"/>
      <c r="N253" s="654"/>
      <c r="O253" s="698"/>
      <c r="P253" s="699"/>
      <c r="Q253" s="700"/>
      <c r="R253" s="654"/>
      <c r="S253" s="698"/>
      <c r="T253" s="701"/>
    </row>
    <row r="254" spans="2:20">
      <c r="B254" s="732" t="s">
        <v>866</v>
      </c>
      <c r="C254" s="725" t="s">
        <v>14</v>
      </c>
      <c r="D254" s="687"/>
      <c r="E254" s="702"/>
      <c r="F254" s="702"/>
      <c r="G254" s="702"/>
      <c r="H254" s="703"/>
      <c r="I254" s="733">
        <f>SUM(I252:I253)</f>
        <v>0</v>
      </c>
      <c r="J254" s="678">
        <f>SUM(J252:J253)</f>
        <v>0</v>
      </c>
      <c r="K254" s="678">
        <f>SUM(K252:K253)</f>
        <v>0</v>
      </c>
      <c r="L254" s="678">
        <f>SUM(L252:L253)</f>
        <v>0</v>
      </c>
      <c r="M254" s="679">
        <f>SUM(M252:M253)</f>
        <v>0</v>
      </c>
      <c r="N254" s="654"/>
      <c r="O254" s="677">
        <f>SUM(D254:G254)</f>
        <v>0</v>
      </c>
      <c r="P254" s="678">
        <f>SUM(H254)</f>
        <v>0</v>
      </c>
      <c r="Q254" s="679">
        <f>SUM(D254:H254)</f>
        <v>0</v>
      </c>
      <c r="R254" s="654"/>
      <c r="S254" s="677">
        <f>SUM(I254:M254)</f>
        <v>0</v>
      </c>
      <c r="T254" s="680" t="str">
        <f>IF(Q254&lt;&gt;0,(S254-Q254)/Q254,"0")</f>
        <v>0</v>
      </c>
    </row>
    <row r="255" spans="2:20">
      <c r="B255" s="716" t="s">
        <v>321</v>
      </c>
      <c r="C255" s="734"/>
      <c r="D255" s="735"/>
      <c r="E255" s="736"/>
      <c r="F255" s="736"/>
      <c r="G255" s="736"/>
      <c r="H255" s="737"/>
      <c r="I255" s="736"/>
      <c r="J255" s="736"/>
      <c r="K255" s="736"/>
      <c r="L255" s="736"/>
      <c r="M255" s="737"/>
      <c r="N255" s="654"/>
      <c r="O255" s="858"/>
      <c r="P255" s="859"/>
      <c r="Q255" s="860"/>
      <c r="R255" s="654"/>
      <c r="S255" s="858"/>
      <c r="T255" s="860"/>
    </row>
    <row r="256" spans="2:20">
      <c r="B256" s="724" t="s">
        <v>271</v>
      </c>
      <c r="C256" s="725" t="s">
        <v>14</v>
      </c>
      <c r="D256" s="825"/>
      <c r="E256" s="826"/>
      <c r="F256" s="826"/>
      <c r="G256" s="826"/>
      <c r="H256" s="827"/>
      <c r="I256" s="702"/>
      <c r="J256" s="704"/>
      <c r="K256" s="704"/>
      <c r="L256" s="704"/>
      <c r="M256" s="703"/>
      <c r="N256" s="654"/>
      <c r="O256" s="698"/>
      <c r="P256" s="699"/>
      <c r="Q256" s="700"/>
      <c r="R256" s="654"/>
      <c r="S256" s="698"/>
      <c r="T256" s="701"/>
    </row>
    <row r="257" spans="1:20">
      <c r="B257" s="724" t="s">
        <v>272</v>
      </c>
      <c r="C257" s="725" t="s">
        <v>14</v>
      </c>
      <c r="D257" s="825"/>
      <c r="E257" s="826"/>
      <c r="F257" s="826"/>
      <c r="G257" s="826"/>
      <c r="H257" s="827"/>
      <c r="I257" s="702"/>
      <c r="J257" s="704"/>
      <c r="K257" s="704"/>
      <c r="L257" s="704"/>
      <c r="M257" s="703"/>
      <c r="N257" s="654"/>
      <c r="O257" s="698"/>
      <c r="P257" s="699"/>
      <c r="Q257" s="700"/>
      <c r="R257" s="654"/>
      <c r="S257" s="698"/>
      <c r="T257" s="701"/>
    </row>
    <row r="258" spans="1:20">
      <c r="B258" s="732" t="s">
        <v>867</v>
      </c>
      <c r="C258" s="725" t="s">
        <v>14</v>
      </c>
      <c r="D258" s="687"/>
      <c r="E258" s="702"/>
      <c r="F258" s="702"/>
      <c r="G258" s="702"/>
      <c r="H258" s="703"/>
      <c r="I258" s="733">
        <f>SUM(I256:I257)</f>
        <v>0</v>
      </c>
      <c r="J258" s="678">
        <f>SUM(J256:J257)</f>
        <v>0</v>
      </c>
      <c r="K258" s="678">
        <f>SUM(K256:K257)</f>
        <v>0</v>
      </c>
      <c r="L258" s="678">
        <f>SUM(L256:L257)</f>
        <v>0</v>
      </c>
      <c r="M258" s="679">
        <f>SUM(M256:M257)</f>
        <v>0</v>
      </c>
      <c r="N258" s="654"/>
      <c r="O258" s="677">
        <f>SUM(D258:G258)</f>
        <v>0</v>
      </c>
      <c r="P258" s="678">
        <f>SUM(H258)</f>
        <v>0</v>
      </c>
      <c r="Q258" s="679">
        <f>SUM(D258:H258)</f>
        <v>0</v>
      </c>
      <c r="R258" s="654"/>
      <c r="S258" s="677">
        <f>SUM(I258:M258)</f>
        <v>0</v>
      </c>
      <c r="T258" s="680" t="str">
        <f>IF(Q258&lt;&gt;0,(S258-Q258)/Q258,"0")</f>
        <v>0</v>
      </c>
    </row>
    <row r="259" spans="1:20">
      <c r="B259" s="716" t="s">
        <v>322</v>
      </c>
      <c r="C259" s="734"/>
      <c r="D259" s="735"/>
      <c r="E259" s="736"/>
      <c r="F259" s="736"/>
      <c r="G259" s="736"/>
      <c r="H259" s="737"/>
      <c r="I259" s="736"/>
      <c r="J259" s="736"/>
      <c r="K259" s="736"/>
      <c r="L259" s="736"/>
      <c r="M259" s="737"/>
      <c r="N259" s="654"/>
      <c r="O259" s="858"/>
      <c r="P259" s="859"/>
      <c r="Q259" s="860"/>
      <c r="R259" s="654"/>
      <c r="S259" s="858"/>
      <c r="T259" s="860"/>
    </row>
    <row r="260" spans="1:20">
      <c r="B260" s="724" t="s">
        <v>273</v>
      </c>
      <c r="C260" s="725" t="s">
        <v>14</v>
      </c>
      <c r="D260" s="825"/>
      <c r="E260" s="826"/>
      <c r="F260" s="826"/>
      <c r="G260" s="826"/>
      <c r="H260" s="827"/>
      <c r="I260" s="702"/>
      <c r="J260" s="704"/>
      <c r="K260" s="704"/>
      <c r="L260" s="704"/>
      <c r="M260" s="703"/>
      <c r="N260" s="654"/>
      <c r="O260" s="698"/>
      <c r="P260" s="699"/>
      <c r="Q260" s="700"/>
      <c r="R260" s="654"/>
      <c r="S260" s="698"/>
      <c r="T260" s="701"/>
    </row>
    <row r="261" spans="1:20">
      <c r="B261" s="724" t="s">
        <v>274</v>
      </c>
      <c r="C261" s="725" t="s">
        <v>14</v>
      </c>
      <c r="D261" s="825"/>
      <c r="E261" s="826"/>
      <c r="F261" s="826"/>
      <c r="G261" s="826"/>
      <c r="H261" s="827"/>
      <c r="I261" s="702"/>
      <c r="J261" s="704"/>
      <c r="K261" s="704"/>
      <c r="L261" s="704"/>
      <c r="M261" s="703"/>
      <c r="N261" s="654"/>
      <c r="O261" s="698"/>
      <c r="P261" s="699"/>
      <c r="Q261" s="700"/>
      <c r="R261" s="654"/>
      <c r="S261" s="698"/>
      <c r="T261" s="701"/>
    </row>
    <row r="262" spans="1:20">
      <c r="B262" s="843" t="s">
        <v>700</v>
      </c>
      <c r="C262" s="725" t="s">
        <v>14</v>
      </c>
      <c r="D262" s="844"/>
      <c r="E262" s="845"/>
      <c r="F262" s="845"/>
      <c r="G262" s="845"/>
      <c r="H262" s="846"/>
      <c r="I262" s="847">
        <f>SUM(I260:I261)</f>
        <v>0</v>
      </c>
      <c r="J262" s="848">
        <f>SUM(J260:J261)</f>
        <v>0</v>
      </c>
      <c r="K262" s="848">
        <f>SUM(K260:K261)</f>
        <v>0</v>
      </c>
      <c r="L262" s="848">
        <f>SUM(L260:L261)</f>
        <v>0</v>
      </c>
      <c r="M262" s="849">
        <f>SUM(M260:M261)</f>
        <v>0</v>
      </c>
      <c r="N262" s="654"/>
      <c r="O262" s="677">
        <f>SUM(D262:G262)</f>
        <v>0</v>
      </c>
      <c r="P262" s="678">
        <f>SUM(H262)</f>
        <v>0</v>
      </c>
      <c r="Q262" s="679">
        <f>SUM(D262:H262)</f>
        <v>0</v>
      </c>
      <c r="R262" s="654"/>
      <c r="S262" s="677">
        <f>SUM(I262:M262)</f>
        <v>0</v>
      </c>
      <c r="T262" s="680" t="str">
        <f>IF(Q262&lt;&gt;0,(S262-Q262)/Q262,"0")</f>
        <v>0</v>
      </c>
    </row>
    <row r="263" spans="1:20" ht="13.5" thickBot="1">
      <c r="B263" s="863" t="s">
        <v>323</v>
      </c>
      <c r="C263" s="851"/>
      <c r="D263" s="852">
        <f t="shared" ref="D263:M263" si="34">SUM(D250,D254,D258,D262)</f>
        <v>0</v>
      </c>
      <c r="E263" s="852">
        <f t="shared" si="34"/>
        <v>0</v>
      </c>
      <c r="F263" s="852">
        <f t="shared" si="34"/>
        <v>0</v>
      </c>
      <c r="G263" s="852">
        <f t="shared" si="34"/>
        <v>0</v>
      </c>
      <c r="H263" s="852">
        <f t="shared" si="34"/>
        <v>0</v>
      </c>
      <c r="I263" s="853">
        <f t="shared" si="34"/>
        <v>0</v>
      </c>
      <c r="J263" s="853">
        <f t="shared" si="34"/>
        <v>0</v>
      </c>
      <c r="K263" s="853">
        <f t="shared" si="34"/>
        <v>0</v>
      </c>
      <c r="L263" s="853">
        <f t="shared" si="34"/>
        <v>0</v>
      </c>
      <c r="M263" s="854">
        <f t="shared" si="34"/>
        <v>0</v>
      </c>
      <c r="N263" s="654"/>
      <c r="O263" s="709">
        <f>SUM(O250,O254,O258,O262)</f>
        <v>0</v>
      </c>
      <c r="P263" s="710">
        <f>SUM(P250,P254,P258,P262)</f>
        <v>0</v>
      </c>
      <c r="Q263" s="711">
        <f>SUM(Q250,Q254,Q258,Q262)</f>
        <v>0</v>
      </c>
      <c r="R263" s="654"/>
      <c r="S263" s="709">
        <f>SUM(S250,S254,S258,S262)</f>
        <v>0</v>
      </c>
      <c r="T263" s="712" t="str">
        <f>IF(Q263&lt;&gt;0,(S263-Q263)/Q263,"0")</f>
        <v>0</v>
      </c>
    </row>
    <row r="266" spans="1:20">
      <c r="D266" s="867">
        <f>SUM(D240:M240) - SUM(D263:M263)</f>
        <v>0</v>
      </c>
    </row>
    <row r="267" spans="1:20">
      <c r="A267" s="864"/>
      <c r="B267" s="865"/>
      <c r="C267" s="866"/>
      <c r="D267" s="756"/>
      <c r="E267" s="756"/>
      <c r="F267" s="756"/>
      <c r="G267" s="756"/>
      <c r="H267" s="756"/>
      <c r="I267" s="756"/>
      <c r="J267" s="756"/>
      <c r="K267" s="756"/>
      <c r="L267" s="756"/>
      <c r="M267" s="756"/>
      <c r="N267" s="756"/>
    </row>
  </sheetData>
  <mergeCells count="18">
    <mergeCell ref="B182:B183"/>
    <mergeCell ref="C182:C183"/>
    <mergeCell ref="B221:B222"/>
    <mergeCell ref="C221:C222"/>
    <mergeCell ref="B245:B246"/>
    <mergeCell ref="C245:C246"/>
    <mergeCell ref="C79:C80"/>
    <mergeCell ref="B79:B80"/>
    <mergeCell ref="B110:B111"/>
    <mergeCell ref="C110:C111"/>
    <mergeCell ref="B143:B144"/>
    <mergeCell ref="C143:C144"/>
    <mergeCell ref="B26:B27"/>
    <mergeCell ref="C26:C27"/>
    <mergeCell ref="C18:C19"/>
    <mergeCell ref="C8:C9"/>
    <mergeCell ref="B48:B49"/>
    <mergeCell ref="C48:C49"/>
  </mergeCells>
  <phoneticPr fontId="47" type="noConversion"/>
  <printOptions gridLines="1"/>
  <pageMargins left="0.70866141732283472" right="0.70866141732283472" top="0.74803149606299213" bottom="0.74803149606299213" header="0.31496062992125984" footer="0.31496062992125984"/>
  <pageSetup paperSize="8" scale="32" orientation="portrait"/>
  <headerFooter alignWithMargins="0">
    <oddHeader>&amp;R&amp;A</oddHeader>
    <oddFooter>&amp;L&amp;Z&amp;F&amp;R&amp;D&amp;T</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C1DFFF"/>
  </sheetPr>
  <dimension ref="A1:AO126"/>
  <sheetViews>
    <sheetView topLeftCell="A4" zoomScale="85" zoomScaleNormal="85" zoomScalePageLayoutView="85" workbookViewId="0">
      <selection activeCell="D11" sqref="D11:T19"/>
    </sheetView>
  </sheetViews>
  <sheetFormatPr defaultColWidth="8.85546875" defaultRowHeight="12.75"/>
  <cols>
    <col min="1" max="1" width="9.42578125" style="254" customWidth="1"/>
    <col min="2" max="2" width="4.7109375" style="254" customWidth="1"/>
    <col min="3" max="3" width="39" style="254" customWidth="1"/>
    <col min="4" max="13" width="11" style="254" customWidth="1"/>
    <col min="14" max="36" width="15.42578125" style="254" customWidth="1"/>
    <col min="37" max="37" width="109.28515625" style="254" customWidth="1"/>
    <col min="38" max="16384" width="8.85546875" style="254"/>
  </cols>
  <sheetData>
    <row r="1" spans="1:36" s="1021" customFormat="1" ht="26.25">
      <c r="A1" s="868" t="s">
        <v>167</v>
      </c>
      <c r="D1" s="868"/>
      <c r="E1" s="1022"/>
      <c r="F1" s="1023"/>
      <c r="G1" s="1023"/>
      <c r="I1" s="1024"/>
      <c r="J1" s="1024"/>
      <c r="L1" s="1024"/>
    </row>
    <row r="2" spans="1:36" s="1021" customFormat="1" ht="18">
      <c r="A2" s="1025" t="s">
        <v>168</v>
      </c>
      <c r="E2" s="1026"/>
    </row>
    <row r="3" spans="1:36" s="1028" customFormat="1" ht="18.75" thickBot="1">
      <c r="A3" s="1027" t="s">
        <v>741</v>
      </c>
      <c r="D3" s="1027"/>
      <c r="E3" s="1029"/>
    </row>
    <row r="5" spans="1:36" s="1392" customFormat="1" ht="15.75" customHeight="1">
      <c r="B5" s="1420" t="s">
        <v>742</v>
      </c>
      <c r="C5" s="1420"/>
    </row>
    <row r="6" spans="1:36" ht="13.5" thickBot="1">
      <c r="B6" s="532"/>
      <c r="C6" s="532"/>
    </row>
    <row r="7" spans="1:36" ht="15.75" customHeight="1">
      <c r="B7" s="532"/>
      <c r="C7" s="1924"/>
      <c r="D7" s="533" t="s">
        <v>116</v>
      </c>
      <c r="E7" s="534"/>
      <c r="F7" s="534"/>
      <c r="G7" s="534"/>
      <c r="H7" s="317"/>
      <c r="I7" s="534" t="s">
        <v>117</v>
      </c>
      <c r="J7" s="318"/>
      <c r="K7" s="318"/>
      <c r="L7" s="318"/>
      <c r="M7" s="317"/>
      <c r="N7" s="258"/>
      <c r="O7" s="1914" t="s">
        <v>116</v>
      </c>
      <c r="P7" s="1929"/>
      <c r="Q7" s="1915"/>
      <c r="R7" s="320"/>
      <c r="S7" s="1914" t="s">
        <v>117</v>
      </c>
      <c r="T7" s="1915"/>
      <c r="U7" s="1432"/>
      <c r="W7" s="1030"/>
      <c r="X7" s="1030"/>
      <c r="Y7" s="1030"/>
      <c r="Z7" s="1030"/>
      <c r="AA7" s="1030"/>
      <c r="AB7" s="1030"/>
      <c r="AC7" s="1030"/>
      <c r="AD7" s="1030"/>
      <c r="AE7" s="1030"/>
      <c r="AF7" s="1030"/>
      <c r="AG7" s="1030"/>
      <c r="AH7" s="1030"/>
      <c r="AI7" s="1030"/>
      <c r="AJ7" s="1030"/>
    </row>
    <row r="8" spans="1:36" ht="15.75" customHeight="1">
      <c r="C8" s="1925"/>
      <c r="D8" s="542" t="s">
        <v>32</v>
      </c>
      <c r="E8" s="543" t="s">
        <v>33</v>
      </c>
      <c r="F8" s="543" t="s">
        <v>29</v>
      </c>
      <c r="G8" s="543" t="s">
        <v>34</v>
      </c>
      <c r="H8" s="544" t="s">
        <v>35</v>
      </c>
      <c r="I8" s="561" t="s">
        <v>118</v>
      </c>
      <c r="J8" s="543" t="s">
        <v>136</v>
      </c>
      <c r="K8" s="543" t="s">
        <v>137</v>
      </c>
      <c r="L8" s="543" t="s">
        <v>138</v>
      </c>
      <c r="M8" s="544" t="s">
        <v>139</v>
      </c>
      <c r="N8" s="258"/>
      <c r="O8" s="570" t="s">
        <v>126</v>
      </c>
      <c r="P8" s="568" t="s">
        <v>127</v>
      </c>
      <c r="Q8" s="571" t="s">
        <v>246</v>
      </c>
      <c r="R8" s="320"/>
      <c r="S8" s="570" t="s">
        <v>127</v>
      </c>
      <c r="T8" s="571" t="s">
        <v>128</v>
      </c>
      <c r="U8" s="1432"/>
      <c r="W8" s="1031"/>
      <c r="X8" s="1031"/>
      <c r="Y8" s="1031"/>
      <c r="Z8" s="1031"/>
      <c r="AA8" s="1031"/>
      <c r="AB8" s="1031"/>
      <c r="AC8" s="1031"/>
      <c r="AD8" s="1031"/>
      <c r="AE8" s="1031"/>
      <c r="AF8" s="1031"/>
      <c r="AG8" s="1031"/>
      <c r="AH8" s="1031"/>
      <c r="AI8" s="1031"/>
      <c r="AJ8" s="1031"/>
    </row>
    <row r="9" spans="1:36" ht="15.75" customHeight="1">
      <c r="C9" s="1926"/>
      <c r="D9" s="562" t="s">
        <v>735</v>
      </c>
      <c r="E9" s="563" t="s">
        <v>735</v>
      </c>
      <c r="F9" s="563" t="s">
        <v>735</v>
      </c>
      <c r="G9" s="563" t="s">
        <v>735</v>
      </c>
      <c r="H9" s="564" t="s">
        <v>735</v>
      </c>
      <c r="I9" s="565" t="s">
        <v>735</v>
      </c>
      <c r="J9" s="563" t="s">
        <v>735</v>
      </c>
      <c r="K9" s="563" t="s">
        <v>735</v>
      </c>
      <c r="L9" s="563" t="s">
        <v>735</v>
      </c>
      <c r="M9" s="564" t="s">
        <v>735</v>
      </c>
      <c r="N9" s="326"/>
      <c r="O9" s="562" t="s">
        <v>735</v>
      </c>
      <c r="P9" s="563" t="s">
        <v>735</v>
      </c>
      <c r="Q9" s="564" t="s">
        <v>735</v>
      </c>
      <c r="R9" s="320"/>
      <c r="S9" s="562" t="s">
        <v>735</v>
      </c>
      <c r="T9" s="564" t="s">
        <v>735</v>
      </c>
      <c r="U9" s="1032"/>
      <c r="W9" s="1032"/>
      <c r="X9" s="1032"/>
      <c r="Y9" s="1032"/>
      <c r="Z9" s="1032"/>
      <c r="AA9" s="1032"/>
      <c r="AB9" s="1032"/>
      <c r="AC9" s="1032"/>
      <c r="AD9" s="1032"/>
      <c r="AE9" s="1032"/>
      <c r="AF9" s="1032"/>
      <c r="AG9" s="1032"/>
      <c r="AH9" s="1032"/>
      <c r="AI9" s="1032"/>
      <c r="AJ9" s="1032"/>
    </row>
    <row r="10" spans="1:36" ht="15.75" customHeight="1">
      <c r="C10" s="1414" t="s">
        <v>743</v>
      </c>
      <c r="D10" s="337"/>
      <c r="E10" s="338"/>
      <c r="F10" s="338"/>
      <c r="G10" s="338"/>
      <c r="H10" s="339"/>
      <c r="I10" s="338"/>
      <c r="J10" s="338"/>
      <c r="K10" s="338"/>
      <c r="L10" s="338"/>
      <c r="M10" s="339"/>
      <c r="N10" s="326"/>
      <c r="O10" s="337"/>
      <c r="P10" s="323"/>
      <c r="Q10" s="324"/>
      <c r="R10" s="320"/>
      <c r="S10" s="337"/>
      <c r="T10" s="1033"/>
      <c r="U10" s="1034"/>
      <c r="W10" s="1034"/>
      <c r="X10" s="1034"/>
      <c r="Y10" s="1034"/>
      <c r="Z10" s="1034"/>
      <c r="AA10" s="1034"/>
      <c r="AB10" s="1034"/>
      <c r="AC10" s="1034"/>
      <c r="AD10" s="1034"/>
      <c r="AE10" s="1034"/>
      <c r="AF10" s="1034"/>
      <c r="AG10" s="1034"/>
      <c r="AH10" s="1034"/>
      <c r="AI10" s="1034"/>
      <c r="AJ10" s="1034"/>
    </row>
    <row r="11" spans="1:36" ht="15.75" customHeight="1">
      <c r="C11" s="1421" t="s">
        <v>848</v>
      </c>
      <c r="D11" s="305">
        <v>0.2</v>
      </c>
      <c r="E11" s="306">
        <v>0.1</v>
      </c>
      <c r="F11" s="306">
        <v>0.3</v>
      </c>
      <c r="G11" s="306">
        <v>0.3</v>
      </c>
      <c r="H11" s="307">
        <v>0.3</v>
      </c>
      <c r="I11" s="306">
        <v>0.2</v>
      </c>
      <c r="J11" s="308">
        <v>0.2</v>
      </c>
      <c r="K11" s="308">
        <v>0.2</v>
      </c>
      <c r="L11" s="308">
        <v>0.2</v>
      </c>
      <c r="M11" s="307">
        <v>0.2</v>
      </c>
      <c r="N11" s="340"/>
      <c r="O11" s="255">
        <v>0.90000000000000013</v>
      </c>
      <c r="P11" s="256">
        <v>0.3</v>
      </c>
      <c r="Q11" s="257">
        <v>1.2000000000000002</v>
      </c>
      <c r="R11" s="320"/>
      <c r="S11" s="255">
        <v>1</v>
      </c>
      <c r="T11" s="680">
        <v>-0.1666666666666668</v>
      </c>
      <c r="U11" s="1035"/>
      <c r="W11" s="1035"/>
      <c r="X11" s="1035"/>
      <c r="Y11" s="1035"/>
      <c r="Z11" s="1035"/>
      <c r="AA11" s="1035"/>
      <c r="AB11" s="1035"/>
      <c r="AC11" s="1035"/>
      <c r="AD11" s="1035"/>
      <c r="AE11" s="1035"/>
      <c r="AF11" s="1035"/>
      <c r="AG11" s="1035"/>
      <c r="AH11" s="1035"/>
      <c r="AI11" s="1035"/>
      <c r="AJ11" s="1035"/>
    </row>
    <row r="12" spans="1:36" ht="15.75" customHeight="1">
      <c r="C12" s="1421" t="s">
        <v>843</v>
      </c>
      <c r="D12" s="305">
        <v>1</v>
      </c>
      <c r="E12" s="306">
        <v>0.9</v>
      </c>
      <c r="F12" s="306">
        <v>0.5</v>
      </c>
      <c r="G12" s="306">
        <v>1.2</v>
      </c>
      <c r="H12" s="307">
        <v>1.5</v>
      </c>
      <c r="I12" s="306">
        <v>1.1000000000000001</v>
      </c>
      <c r="J12" s="308">
        <v>1.2</v>
      </c>
      <c r="K12" s="308">
        <v>1.2</v>
      </c>
      <c r="L12" s="308">
        <v>1.2</v>
      </c>
      <c r="M12" s="307">
        <v>1.2</v>
      </c>
      <c r="N12" s="340"/>
      <c r="O12" s="255">
        <v>3.5999999999999996</v>
      </c>
      <c r="P12" s="256">
        <v>1.5</v>
      </c>
      <c r="Q12" s="257">
        <v>5.0999999999999996</v>
      </c>
      <c r="R12" s="320"/>
      <c r="S12" s="255">
        <v>5.9</v>
      </c>
      <c r="T12" s="680">
        <v>0.15686274509803935</v>
      </c>
      <c r="U12" s="1035"/>
      <c r="W12" s="1035"/>
      <c r="X12" s="1035"/>
      <c r="Y12" s="1035"/>
      <c r="Z12" s="1035"/>
      <c r="AA12" s="1035"/>
      <c r="AB12" s="1035"/>
      <c r="AC12" s="1035"/>
      <c r="AD12" s="1035"/>
      <c r="AE12" s="1035"/>
      <c r="AF12" s="1035"/>
      <c r="AG12" s="1035"/>
      <c r="AH12" s="1035"/>
      <c r="AI12" s="1035"/>
      <c r="AJ12" s="1035"/>
    </row>
    <row r="13" spans="1:36" ht="15.75" customHeight="1">
      <c r="C13" s="1421" t="s">
        <v>844</v>
      </c>
      <c r="D13" s="305">
        <v>4</v>
      </c>
      <c r="E13" s="306">
        <v>2.4</v>
      </c>
      <c r="F13" s="306">
        <v>1.3</v>
      </c>
      <c r="G13" s="306">
        <v>1</v>
      </c>
      <c r="H13" s="307">
        <v>1.5</v>
      </c>
      <c r="I13" s="306">
        <v>1</v>
      </c>
      <c r="J13" s="308">
        <v>1</v>
      </c>
      <c r="K13" s="308">
        <v>0.7</v>
      </c>
      <c r="L13" s="308">
        <v>1.65</v>
      </c>
      <c r="M13" s="307">
        <v>0.8</v>
      </c>
      <c r="N13" s="340"/>
      <c r="O13" s="255">
        <v>8.6999999999999993</v>
      </c>
      <c r="P13" s="256">
        <v>1.5</v>
      </c>
      <c r="Q13" s="257">
        <v>10.199999999999999</v>
      </c>
      <c r="R13" s="320"/>
      <c r="S13" s="255">
        <v>5.1499999999999995</v>
      </c>
      <c r="T13" s="680">
        <v>-0.49509803921568629</v>
      </c>
      <c r="U13" s="1035"/>
      <c r="W13" s="1035"/>
      <c r="X13" s="1035"/>
      <c r="Y13" s="1035"/>
      <c r="Z13" s="1035"/>
      <c r="AA13" s="1035"/>
      <c r="AB13" s="1035"/>
      <c r="AC13" s="1035"/>
      <c r="AD13" s="1035"/>
      <c r="AE13" s="1035"/>
      <c r="AF13" s="1035"/>
      <c r="AG13" s="1035"/>
      <c r="AH13" s="1035"/>
      <c r="AI13" s="1035"/>
      <c r="AJ13" s="1035"/>
    </row>
    <row r="14" spans="1:36" ht="15.75" customHeight="1">
      <c r="C14" s="1421" t="s">
        <v>787</v>
      </c>
      <c r="D14" s="305">
        <v>3.2</v>
      </c>
      <c r="E14" s="306">
        <v>5.4</v>
      </c>
      <c r="F14" s="306">
        <v>3.6</v>
      </c>
      <c r="G14" s="306">
        <v>4.2</v>
      </c>
      <c r="H14" s="307">
        <v>0.9</v>
      </c>
      <c r="I14" s="306">
        <v>1</v>
      </c>
      <c r="J14" s="308">
        <v>1.2999999999999998</v>
      </c>
      <c r="K14" s="308">
        <v>2.1</v>
      </c>
      <c r="L14" s="308">
        <v>2.8000000000000003</v>
      </c>
      <c r="M14" s="307">
        <v>1</v>
      </c>
      <c r="N14" s="340"/>
      <c r="O14" s="255">
        <v>16.400000000000002</v>
      </c>
      <c r="P14" s="256">
        <v>0.9</v>
      </c>
      <c r="Q14" s="257">
        <v>17.3</v>
      </c>
      <c r="R14" s="320"/>
      <c r="S14" s="255">
        <v>8.2000000000000011</v>
      </c>
      <c r="T14" s="680">
        <v>-0.52601156069364152</v>
      </c>
      <c r="U14" s="1035"/>
      <c r="W14" s="1035" t="s">
        <v>859</v>
      </c>
      <c r="X14" s="1035"/>
      <c r="Y14" s="1035"/>
      <c r="Z14" s="1035"/>
      <c r="AA14" s="1035"/>
      <c r="AB14" s="1035"/>
      <c r="AC14" s="1035"/>
      <c r="AD14" s="1035"/>
      <c r="AE14" s="1035"/>
      <c r="AF14" s="1035"/>
      <c r="AG14" s="1035"/>
      <c r="AH14" s="1035"/>
      <c r="AI14" s="1035"/>
      <c r="AJ14" s="1035"/>
    </row>
    <row r="15" spans="1:36" ht="15.75" customHeight="1">
      <c r="C15" s="1397" t="s">
        <v>633</v>
      </c>
      <c r="D15" s="309"/>
      <c r="E15" s="310"/>
      <c r="F15" s="310"/>
      <c r="G15" s="306">
        <v>0</v>
      </c>
      <c r="H15" s="307">
        <v>0</v>
      </c>
      <c r="I15" s="306">
        <v>0</v>
      </c>
      <c r="J15" s="308">
        <v>0</v>
      </c>
      <c r="K15" s="308">
        <v>0</v>
      </c>
      <c r="L15" s="308">
        <v>0</v>
      </c>
      <c r="M15" s="307">
        <v>0</v>
      </c>
      <c r="N15" s="341"/>
      <c r="O15" s="255">
        <v>0</v>
      </c>
      <c r="P15" s="256">
        <v>0</v>
      </c>
      <c r="Q15" s="257">
        <v>0</v>
      </c>
      <c r="R15" s="320"/>
      <c r="S15" s="255">
        <v>0</v>
      </c>
      <c r="T15" s="680" t="s">
        <v>1020</v>
      </c>
      <c r="U15" s="1035"/>
      <c r="W15" s="1035"/>
      <c r="X15" s="1035"/>
      <c r="Y15" s="1035"/>
      <c r="Z15" s="1035"/>
      <c r="AA15" s="1035"/>
      <c r="AB15" s="1035"/>
      <c r="AC15" s="1035"/>
      <c r="AD15" s="1035"/>
      <c r="AE15" s="1035"/>
      <c r="AF15" s="1035"/>
      <c r="AG15" s="1035"/>
      <c r="AH15" s="1035"/>
      <c r="AI15" s="1035"/>
      <c r="AJ15" s="1035"/>
    </row>
    <row r="16" spans="1:36" ht="15.75" customHeight="1">
      <c r="C16" s="1397" t="s">
        <v>246</v>
      </c>
      <c r="D16" s="546">
        <v>8.4</v>
      </c>
      <c r="E16" s="549">
        <v>8.8000000000000007</v>
      </c>
      <c r="F16" s="549">
        <v>5.7</v>
      </c>
      <c r="G16" s="549">
        <v>6.7</v>
      </c>
      <c r="H16" s="548">
        <v>4.2</v>
      </c>
      <c r="I16" s="549">
        <v>3.3</v>
      </c>
      <c r="J16" s="547">
        <v>3.6999999999999997</v>
      </c>
      <c r="K16" s="547">
        <v>4.1999999999999993</v>
      </c>
      <c r="L16" s="547">
        <v>5.85</v>
      </c>
      <c r="M16" s="548">
        <v>3.2</v>
      </c>
      <c r="N16" s="342"/>
      <c r="O16" s="546">
        <v>29.6</v>
      </c>
      <c r="P16" s="547">
        <v>4.2</v>
      </c>
      <c r="Q16" s="548">
        <v>33.800000000000004</v>
      </c>
      <c r="R16" s="320"/>
      <c r="S16" s="546">
        <v>20.249999999999996</v>
      </c>
      <c r="T16" s="567">
        <v>-0.4008875739644972</v>
      </c>
      <c r="U16" s="1036"/>
      <c r="W16" s="1036"/>
      <c r="X16" s="1036"/>
      <c r="Y16" s="1036"/>
      <c r="Z16" s="1036"/>
      <c r="AA16" s="1036"/>
      <c r="AB16" s="1036"/>
      <c r="AC16" s="1036"/>
      <c r="AD16" s="1036"/>
      <c r="AE16" s="1036"/>
      <c r="AF16" s="1036"/>
      <c r="AG16" s="1036"/>
      <c r="AH16" s="1036"/>
      <c r="AI16" s="1036"/>
      <c r="AJ16" s="1036"/>
    </row>
    <row r="17" spans="1:36" ht="15.75" customHeight="1">
      <c r="C17" s="1397"/>
      <c r="D17" s="343"/>
      <c r="E17" s="344"/>
      <c r="F17" s="344"/>
      <c r="G17" s="344"/>
      <c r="H17" s="345"/>
      <c r="I17" s="344"/>
      <c r="J17" s="344"/>
      <c r="K17" s="344"/>
      <c r="L17" s="344"/>
      <c r="M17" s="345"/>
      <c r="N17" s="340"/>
      <c r="O17" s="343"/>
      <c r="P17" s="346"/>
      <c r="Q17" s="347"/>
      <c r="R17" s="320"/>
      <c r="S17" s="343"/>
      <c r="T17" s="1037"/>
      <c r="U17" s="1035"/>
      <c r="W17" s="1035"/>
      <c r="X17" s="1035"/>
      <c r="Y17" s="1035"/>
      <c r="Z17" s="1035"/>
      <c r="AA17" s="1035"/>
      <c r="AB17" s="1035"/>
      <c r="AC17" s="1035"/>
      <c r="AD17" s="1035"/>
      <c r="AE17" s="1035"/>
      <c r="AF17" s="1035"/>
      <c r="AG17" s="1035"/>
      <c r="AH17" s="1035"/>
      <c r="AI17" s="1035"/>
      <c r="AJ17" s="1035"/>
    </row>
    <row r="18" spans="1:36" ht="15.75" customHeight="1">
      <c r="C18" s="1397" t="s">
        <v>751</v>
      </c>
      <c r="D18" s="309"/>
      <c r="E18" s="310"/>
      <c r="F18" s="310"/>
      <c r="G18" s="306">
        <v>0</v>
      </c>
      <c r="H18" s="307">
        <v>0</v>
      </c>
      <c r="I18" s="306">
        <v>0</v>
      </c>
      <c r="J18" s="308">
        <v>0</v>
      </c>
      <c r="K18" s="308">
        <v>0</v>
      </c>
      <c r="L18" s="308">
        <v>0</v>
      </c>
      <c r="M18" s="307">
        <v>0</v>
      </c>
      <c r="N18" s="341"/>
      <c r="O18" s="255">
        <v>0</v>
      </c>
      <c r="P18" s="256">
        <v>0</v>
      </c>
      <c r="Q18" s="257">
        <v>0</v>
      </c>
      <c r="R18" s="320"/>
      <c r="S18" s="255">
        <v>0</v>
      </c>
      <c r="T18" s="680" t="s">
        <v>1020</v>
      </c>
      <c r="U18" s="1035"/>
      <c r="W18" s="1035"/>
      <c r="X18" s="1035"/>
      <c r="Y18" s="1035"/>
      <c r="Z18" s="1035"/>
      <c r="AA18" s="1035"/>
      <c r="AB18" s="1035"/>
      <c r="AC18" s="1035"/>
      <c r="AD18" s="1035"/>
      <c r="AE18" s="1035"/>
      <c r="AF18" s="1035"/>
      <c r="AG18" s="1035"/>
      <c r="AH18" s="1035"/>
      <c r="AI18" s="1035"/>
      <c r="AJ18" s="1035"/>
    </row>
    <row r="19" spans="1:36" ht="15.75" customHeight="1" thickBot="1">
      <c r="C19" s="1398" t="s">
        <v>752</v>
      </c>
      <c r="D19" s="311"/>
      <c r="E19" s="312"/>
      <c r="F19" s="312"/>
      <c r="G19" s="313">
        <v>0</v>
      </c>
      <c r="H19" s="314">
        <v>0</v>
      </c>
      <c r="I19" s="313">
        <v>0</v>
      </c>
      <c r="J19" s="315">
        <v>0</v>
      </c>
      <c r="K19" s="315">
        <v>0</v>
      </c>
      <c r="L19" s="315">
        <v>0</v>
      </c>
      <c r="M19" s="314">
        <v>0</v>
      </c>
      <c r="N19" s="341"/>
      <c r="O19" s="259">
        <v>0</v>
      </c>
      <c r="P19" s="260">
        <v>0</v>
      </c>
      <c r="Q19" s="261">
        <v>0</v>
      </c>
      <c r="R19" s="320"/>
      <c r="S19" s="259">
        <v>0</v>
      </c>
      <c r="T19" s="712" t="s">
        <v>1020</v>
      </c>
      <c r="U19" s="1035"/>
      <c r="W19" s="1035"/>
      <c r="X19" s="1035"/>
      <c r="Y19" s="1035"/>
      <c r="Z19" s="1035"/>
      <c r="AA19" s="1035"/>
      <c r="AB19" s="1035"/>
      <c r="AC19" s="1035"/>
      <c r="AD19" s="1035"/>
      <c r="AE19" s="1035"/>
      <c r="AF19" s="1035"/>
      <c r="AG19" s="1035"/>
      <c r="AH19" s="1035"/>
      <c r="AI19" s="1035"/>
      <c r="AJ19" s="1035"/>
    </row>
    <row r="20" spans="1:36">
      <c r="U20" s="1038"/>
    </row>
    <row r="21" spans="1:36" s="1039" customFormat="1"/>
    <row r="22" spans="1:36" s="1039" customFormat="1">
      <c r="B22" s="532" t="s">
        <v>549</v>
      </c>
    </row>
    <row r="23" spans="1:36" s="1039" customFormat="1" ht="13.5" thickBot="1">
      <c r="A23" s="532"/>
      <c r="B23" s="532"/>
    </row>
    <row r="24" spans="1:36" s="1039" customFormat="1" ht="27" customHeight="1">
      <c r="A24" s="532"/>
      <c r="B24" s="532"/>
      <c r="C24" s="1910" t="s">
        <v>550</v>
      </c>
      <c r="D24" s="533" t="s">
        <v>551</v>
      </c>
      <c r="E24" s="534"/>
      <c r="F24" s="534"/>
      <c r="G24" s="1040"/>
      <c r="H24" s="533" t="s">
        <v>552</v>
      </c>
      <c r="I24" s="534"/>
      <c r="J24" s="534"/>
      <c r="K24" s="1040"/>
      <c r="L24" s="1041" t="s">
        <v>551</v>
      </c>
      <c r="M24" s="1042" t="s">
        <v>552</v>
      </c>
    </row>
    <row r="25" spans="1:36" s="1039" customFormat="1">
      <c r="A25" s="532"/>
      <c r="B25" s="532"/>
      <c r="C25" s="1911"/>
      <c r="D25" s="1043" t="s">
        <v>553</v>
      </c>
      <c r="E25" s="1044" t="s">
        <v>554</v>
      </c>
      <c r="F25" s="1044" t="s">
        <v>555</v>
      </c>
      <c r="G25" s="1045" t="s">
        <v>556</v>
      </c>
      <c r="H25" s="1043" t="s">
        <v>553</v>
      </c>
      <c r="I25" s="1044" t="s">
        <v>554</v>
      </c>
      <c r="J25" s="1044" t="s">
        <v>555</v>
      </c>
      <c r="K25" s="1045" t="s">
        <v>556</v>
      </c>
      <c r="L25" s="1046" t="s">
        <v>246</v>
      </c>
      <c r="M25" s="1047" t="s">
        <v>246</v>
      </c>
    </row>
    <row r="26" spans="1:36" s="1039" customFormat="1" ht="15.75" customHeight="1">
      <c r="A26" s="532"/>
      <c r="B26" s="532"/>
      <c r="C26" s="1048" t="s">
        <v>557</v>
      </c>
      <c r="D26" s="901"/>
      <c r="E26" s="902"/>
      <c r="F26" s="902"/>
      <c r="G26" s="903"/>
      <c r="H26" s="901"/>
      <c r="I26" s="902"/>
      <c r="J26" s="902"/>
      <c r="K26" s="903"/>
      <c r="L26" s="916">
        <f>SUM(D26:G26)</f>
        <v>0</v>
      </c>
      <c r="M26" s="1050">
        <f>SUM(H26:K26)</f>
        <v>0</v>
      </c>
    </row>
    <row r="27" spans="1:36" s="1039" customFormat="1" ht="15.75" customHeight="1">
      <c r="A27" s="532"/>
      <c r="B27" s="532"/>
      <c r="C27" s="1049" t="s">
        <v>558</v>
      </c>
      <c r="D27" s="901"/>
      <c r="E27" s="902"/>
      <c r="F27" s="902"/>
      <c r="G27" s="903"/>
      <c r="H27" s="901"/>
      <c r="I27" s="902"/>
      <c r="J27" s="902"/>
      <c r="K27" s="903"/>
      <c r="L27" s="916">
        <f>SUM(D27:G27)</f>
        <v>0</v>
      </c>
      <c r="M27" s="1050">
        <f>SUM(H27:K27)</f>
        <v>0</v>
      </c>
    </row>
    <row r="28" spans="1:36" s="1039" customFormat="1" ht="15.75" customHeight="1">
      <c r="A28" s="532"/>
      <c r="B28" s="532"/>
      <c r="C28" s="1049" t="s">
        <v>559</v>
      </c>
      <c r="D28" s="901"/>
      <c r="E28" s="902"/>
      <c r="F28" s="902"/>
      <c r="G28" s="903"/>
      <c r="H28" s="901"/>
      <c r="I28" s="902"/>
      <c r="J28" s="902"/>
      <c r="K28" s="903"/>
      <c r="L28" s="916">
        <f>SUM(D28:G28)</f>
        <v>0</v>
      </c>
      <c r="M28" s="1050">
        <f>SUM(H28:K28)</f>
        <v>0</v>
      </c>
    </row>
    <row r="29" spans="1:36" s="1039" customFormat="1" ht="15.75" customHeight="1" thickBot="1">
      <c r="A29" s="532"/>
      <c r="B29" s="532"/>
      <c r="C29" s="1051" t="s">
        <v>560</v>
      </c>
      <c r="D29" s="1052" t="str">
        <f>IF(D27,D27/D28,"-")</f>
        <v>-</v>
      </c>
      <c r="E29" s="1053" t="str">
        <f t="shared" ref="E29:M29" si="0">IF(E27,E27/E28,"-")</f>
        <v>-</v>
      </c>
      <c r="F29" s="1053" t="str">
        <f t="shared" si="0"/>
        <v>-</v>
      </c>
      <c r="G29" s="1054" t="str">
        <f t="shared" si="0"/>
        <v>-</v>
      </c>
      <c r="H29" s="1052" t="str">
        <f t="shared" si="0"/>
        <v>-</v>
      </c>
      <c r="I29" s="1053" t="str">
        <f t="shared" si="0"/>
        <v>-</v>
      </c>
      <c r="J29" s="1053" t="str">
        <f t="shared" si="0"/>
        <v>-</v>
      </c>
      <c r="K29" s="1054" t="str">
        <f t="shared" si="0"/>
        <v>-</v>
      </c>
      <c r="L29" s="1055" t="str">
        <f t="shared" si="0"/>
        <v>-</v>
      </c>
      <c r="M29" s="1056" t="str">
        <f t="shared" si="0"/>
        <v>-</v>
      </c>
    </row>
    <row r="30" spans="1:36" s="1039" customFormat="1">
      <c r="A30" s="532"/>
      <c r="B30" s="532"/>
      <c r="C30" s="877"/>
      <c r="D30" s="878"/>
      <c r="E30" s="878"/>
      <c r="F30" s="878"/>
      <c r="G30" s="878"/>
    </row>
    <row r="31" spans="1:36" s="1039" customFormat="1" ht="13.5" thickBot="1">
      <c r="A31" s="532"/>
      <c r="B31" s="532"/>
      <c r="C31" s="877"/>
      <c r="D31" s="878"/>
      <c r="E31" s="878"/>
      <c r="F31" s="878"/>
      <c r="G31" s="878"/>
    </row>
    <row r="32" spans="1:36" s="1039" customFormat="1" ht="39" customHeight="1">
      <c r="A32" s="532"/>
      <c r="B32" s="532"/>
      <c r="C32" s="1927" t="s">
        <v>561</v>
      </c>
      <c r="D32" s="533" t="s">
        <v>551</v>
      </c>
      <c r="E32" s="534"/>
      <c r="F32" s="534"/>
      <c r="G32" s="1040"/>
      <c r="H32" s="533" t="s">
        <v>552</v>
      </c>
      <c r="I32" s="534"/>
      <c r="J32" s="534"/>
      <c r="K32" s="1040"/>
      <c r="L32" s="1041" t="s">
        <v>551</v>
      </c>
      <c r="M32" s="1042" t="s">
        <v>552</v>
      </c>
    </row>
    <row r="33" spans="1:37" s="1039" customFormat="1" ht="15.75" customHeight="1">
      <c r="A33" s="532"/>
      <c r="B33" s="532"/>
      <c r="C33" s="1928"/>
      <c r="D33" s="1043" t="s">
        <v>553</v>
      </c>
      <c r="E33" s="1044" t="s">
        <v>554</v>
      </c>
      <c r="F33" s="1044" t="s">
        <v>555</v>
      </c>
      <c r="G33" s="1045" t="s">
        <v>556</v>
      </c>
      <c r="H33" s="1043" t="s">
        <v>553</v>
      </c>
      <c r="I33" s="1044" t="s">
        <v>554</v>
      </c>
      <c r="J33" s="1044" t="s">
        <v>555</v>
      </c>
      <c r="K33" s="1045" t="s">
        <v>556</v>
      </c>
      <c r="L33" s="1046" t="s">
        <v>246</v>
      </c>
      <c r="M33" s="1047" t="s">
        <v>246</v>
      </c>
    </row>
    <row r="34" spans="1:37" s="1039" customFormat="1" ht="25.5">
      <c r="A34" s="532"/>
      <c r="B34" s="532"/>
      <c r="C34" s="1422" t="s">
        <v>562</v>
      </c>
      <c r="D34" s="901"/>
      <c r="E34" s="902"/>
      <c r="F34" s="902"/>
      <c r="G34" s="903"/>
      <c r="H34" s="901"/>
      <c r="I34" s="902"/>
      <c r="J34" s="902"/>
      <c r="K34" s="903"/>
      <c r="L34" s="916">
        <f t="shared" ref="L34:L39" si="1">SUM(D34:G34)</f>
        <v>0</v>
      </c>
      <c r="M34" s="1050">
        <f t="shared" ref="M34:M39" si="2">SUM(H34:K34)</f>
        <v>0</v>
      </c>
    </row>
    <row r="35" spans="1:37" s="1039" customFormat="1" ht="25.5">
      <c r="A35" s="532"/>
      <c r="B35" s="532"/>
      <c r="C35" s="1422" t="s">
        <v>563</v>
      </c>
      <c r="D35" s="901"/>
      <c r="E35" s="902"/>
      <c r="F35" s="902"/>
      <c r="G35" s="903"/>
      <c r="H35" s="901"/>
      <c r="I35" s="902"/>
      <c r="J35" s="902"/>
      <c r="K35" s="903"/>
      <c r="L35" s="916">
        <f t="shared" si="1"/>
        <v>0</v>
      </c>
      <c r="M35" s="1050">
        <f t="shared" si="2"/>
        <v>0</v>
      </c>
    </row>
    <row r="36" spans="1:37" s="1039" customFormat="1" ht="25.5">
      <c r="A36" s="532"/>
      <c r="B36" s="532"/>
      <c r="C36" s="1422" t="s">
        <v>564</v>
      </c>
      <c r="D36" s="901"/>
      <c r="E36" s="902"/>
      <c r="F36" s="902"/>
      <c r="G36" s="903"/>
      <c r="H36" s="901"/>
      <c r="I36" s="902"/>
      <c r="J36" s="902"/>
      <c r="K36" s="903"/>
      <c r="L36" s="916">
        <f t="shared" si="1"/>
        <v>0</v>
      </c>
      <c r="M36" s="1050">
        <f t="shared" si="2"/>
        <v>0</v>
      </c>
    </row>
    <row r="37" spans="1:37" s="1039" customFormat="1" ht="38.25">
      <c r="A37" s="532"/>
      <c r="B37" s="532"/>
      <c r="C37" s="1422" t="s">
        <v>565</v>
      </c>
      <c r="D37" s="1057"/>
      <c r="E37" s="1058"/>
      <c r="F37" s="1058"/>
      <c r="G37" s="1059"/>
      <c r="H37" s="1057"/>
      <c r="I37" s="1058"/>
      <c r="J37" s="1058"/>
      <c r="K37" s="1059"/>
      <c r="L37" s="1060" t="str">
        <f t="shared" ref="L37:M37" si="3">IF(L35,L35/L36,"-")</f>
        <v>-</v>
      </c>
      <c r="M37" s="1061" t="str">
        <f t="shared" si="3"/>
        <v>-</v>
      </c>
    </row>
    <row r="38" spans="1:37" s="1039" customFormat="1" ht="25.5">
      <c r="A38" s="532"/>
      <c r="B38" s="532"/>
      <c r="C38" s="1422" t="s">
        <v>566</v>
      </c>
      <c r="D38" s="901"/>
      <c r="E38" s="902"/>
      <c r="F38" s="902"/>
      <c r="G38" s="903"/>
      <c r="H38" s="901"/>
      <c r="I38" s="902"/>
      <c r="J38" s="902"/>
      <c r="K38" s="903"/>
      <c r="L38" s="916">
        <f t="shared" si="1"/>
        <v>0</v>
      </c>
      <c r="M38" s="1050">
        <f t="shared" si="2"/>
        <v>0</v>
      </c>
    </row>
    <row r="39" spans="1:37" s="1039" customFormat="1" ht="26.25" thickBot="1">
      <c r="A39" s="532"/>
      <c r="B39" s="532"/>
      <c r="C39" s="1423" t="s">
        <v>567</v>
      </c>
      <c r="D39" s="933"/>
      <c r="E39" s="934"/>
      <c r="F39" s="934"/>
      <c r="G39" s="1424"/>
      <c r="H39" s="933"/>
      <c r="I39" s="934"/>
      <c r="J39" s="934"/>
      <c r="K39" s="1424"/>
      <c r="L39" s="921">
        <f t="shared" si="1"/>
        <v>0</v>
      </c>
      <c r="M39" s="1062">
        <f t="shared" si="2"/>
        <v>0</v>
      </c>
    </row>
    <row r="41" spans="1:37" ht="15.75" customHeight="1">
      <c r="B41" s="532" t="s">
        <v>754</v>
      </c>
    </row>
    <row r="42" spans="1:37" ht="13.5" thickBot="1"/>
    <row r="43" spans="1:37" ht="13.5" thickBot="1">
      <c r="B43" s="328"/>
      <c r="C43" s="1916" t="s">
        <v>755</v>
      </c>
      <c r="D43" s="1917"/>
      <c r="E43" s="1917"/>
      <c r="F43" s="1917"/>
      <c r="G43" s="1917"/>
      <c r="H43" s="1917"/>
      <c r="I43" s="1917"/>
      <c r="J43" s="1917"/>
      <c r="K43" s="1918"/>
      <c r="L43" s="1914" t="s">
        <v>568</v>
      </c>
      <c r="M43" s="1919"/>
      <c r="N43" s="1919"/>
      <c r="O43" s="1919"/>
      <c r="P43" s="1920"/>
      <c r="Q43" s="1914" t="s">
        <v>569</v>
      </c>
      <c r="R43" s="1919"/>
      <c r="S43" s="1919"/>
      <c r="T43" s="1919"/>
      <c r="U43" s="1920"/>
      <c r="V43" s="1921" t="s">
        <v>570</v>
      </c>
      <c r="W43" s="1922"/>
      <c r="X43" s="1922"/>
      <c r="Y43" s="1922"/>
      <c r="Z43" s="1922"/>
      <c r="AA43" s="1922"/>
      <c r="AB43" s="1922"/>
      <c r="AC43" s="1922"/>
      <c r="AD43" s="1922"/>
      <c r="AE43" s="1922"/>
      <c r="AF43" s="1922"/>
      <c r="AG43" s="1922"/>
      <c r="AH43" s="1922"/>
      <c r="AI43" s="1923"/>
      <c r="AJ43" s="1910" t="s">
        <v>571</v>
      </c>
      <c r="AK43" s="1063" t="s">
        <v>756</v>
      </c>
    </row>
    <row r="44" spans="1:37" ht="78.75" customHeight="1">
      <c r="B44" s="319"/>
      <c r="C44" s="1064" t="s">
        <v>757</v>
      </c>
      <c r="D44" s="1065" t="s">
        <v>572</v>
      </c>
      <c r="E44" s="1065" t="s">
        <v>573</v>
      </c>
      <c r="F44" s="1065" t="s">
        <v>574</v>
      </c>
      <c r="G44" s="1065" t="s">
        <v>575</v>
      </c>
      <c r="H44" s="1065" t="s">
        <v>576</v>
      </c>
      <c r="I44" s="1065" t="s">
        <v>764</v>
      </c>
      <c r="J44" s="1065" t="s">
        <v>765</v>
      </c>
      <c r="K44" s="1066" t="s">
        <v>766</v>
      </c>
      <c r="L44" s="561" t="s">
        <v>32</v>
      </c>
      <c r="M44" s="543" t="s">
        <v>33</v>
      </c>
      <c r="N44" s="543" t="s">
        <v>29</v>
      </c>
      <c r="O44" s="543" t="s">
        <v>34</v>
      </c>
      <c r="P44" s="544" t="s">
        <v>35</v>
      </c>
      <c r="Q44" s="542" t="s">
        <v>118</v>
      </c>
      <c r="R44" s="543" t="s">
        <v>136</v>
      </c>
      <c r="S44" s="543" t="s">
        <v>137</v>
      </c>
      <c r="T44" s="543" t="s">
        <v>138</v>
      </c>
      <c r="U44" s="544" t="s">
        <v>139</v>
      </c>
      <c r="V44" s="1912" t="s">
        <v>577</v>
      </c>
      <c r="W44" s="1913"/>
      <c r="X44" s="1913"/>
      <c r="Y44" s="1913"/>
      <c r="Z44" s="1913"/>
      <c r="AA44" s="1913"/>
      <c r="AB44" s="1913"/>
      <c r="AC44" s="1913"/>
      <c r="AD44" s="1913"/>
      <c r="AE44" s="1913"/>
      <c r="AF44" s="539" t="s">
        <v>578</v>
      </c>
      <c r="AG44" s="539" t="s">
        <v>579</v>
      </c>
      <c r="AH44" s="539" t="s">
        <v>580</v>
      </c>
      <c r="AI44" s="539" t="s">
        <v>581</v>
      </c>
      <c r="AJ44" s="1911"/>
      <c r="AK44" s="1067" t="s">
        <v>74</v>
      </c>
    </row>
    <row r="45" spans="1:37" ht="15.75" customHeight="1" thickBot="1">
      <c r="B45" s="325"/>
      <c r="C45" s="570" t="s">
        <v>75</v>
      </c>
      <c r="D45" s="1068" t="s">
        <v>76</v>
      </c>
      <c r="E45" s="1068" t="s">
        <v>76</v>
      </c>
      <c r="F45" s="568" t="s">
        <v>77</v>
      </c>
      <c r="G45" s="569" t="s">
        <v>78</v>
      </c>
      <c r="H45" s="569" t="s">
        <v>78</v>
      </c>
      <c r="I45" s="568" t="s">
        <v>79</v>
      </c>
      <c r="J45" s="568" t="s">
        <v>735</v>
      </c>
      <c r="K45" s="571" t="s">
        <v>735</v>
      </c>
      <c r="L45" s="565" t="s">
        <v>735</v>
      </c>
      <c r="M45" s="563" t="s">
        <v>735</v>
      </c>
      <c r="N45" s="563" t="s">
        <v>735</v>
      </c>
      <c r="O45" s="563" t="s">
        <v>735</v>
      </c>
      <c r="P45" s="564" t="s">
        <v>735</v>
      </c>
      <c r="Q45" s="562" t="s">
        <v>735</v>
      </c>
      <c r="R45" s="563" t="s">
        <v>735</v>
      </c>
      <c r="S45" s="563" t="s">
        <v>735</v>
      </c>
      <c r="T45" s="563" t="s">
        <v>735</v>
      </c>
      <c r="U45" s="564" t="s">
        <v>735</v>
      </c>
      <c r="V45" s="1069" t="s">
        <v>32</v>
      </c>
      <c r="W45" s="1070" t="s">
        <v>33</v>
      </c>
      <c r="X45" s="1070" t="s">
        <v>29</v>
      </c>
      <c r="Y45" s="1070" t="s">
        <v>34</v>
      </c>
      <c r="Z45" s="1070" t="s">
        <v>35</v>
      </c>
      <c r="AA45" s="1070" t="s">
        <v>118</v>
      </c>
      <c r="AB45" s="1070" t="s">
        <v>136</v>
      </c>
      <c r="AC45" s="1070" t="s">
        <v>137</v>
      </c>
      <c r="AD45" s="1070" t="s">
        <v>138</v>
      </c>
      <c r="AE45" s="1071" t="s">
        <v>139</v>
      </c>
      <c r="AF45" s="1072" t="s">
        <v>79</v>
      </c>
      <c r="AG45" s="1073" t="s">
        <v>79</v>
      </c>
      <c r="AH45" s="1073" t="s">
        <v>79</v>
      </c>
      <c r="AI45" s="1073" t="s">
        <v>582</v>
      </c>
      <c r="AJ45" s="1074" t="s">
        <v>583</v>
      </c>
      <c r="AK45" s="1075" t="s">
        <v>65</v>
      </c>
    </row>
    <row r="46" spans="1:37" s="348" customFormat="1" ht="15.75" customHeight="1">
      <c r="B46" s="1076">
        <v>1</v>
      </c>
      <c r="C46" s="349"/>
      <c r="D46" s="349"/>
      <c r="E46" s="349"/>
      <c r="F46" s="349"/>
      <c r="G46" s="350"/>
      <c r="H46" s="350"/>
      <c r="I46" s="350"/>
      <c r="J46" s="351"/>
      <c r="K46" s="1128"/>
      <c r="L46" s="351"/>
      <c r="M46" s="352"/>
      <c r="N46" s="352"/>
      <c r="O46" s="352"/>
      <c r="P46" s="353"/>
      <c r="Q46" s="352"/>
      <c r="R46" s="354"/>
      <c r="S46" s="354"/>
      <c r="T46" s="354"/>
      <c r="U46" s="353"/>
      <c r="V46" s="1077"/>
      <c r="W46" s="1078"/>
      <c r="X46" s="1078"/>
      <c r="Y46" s="1078"/>
      <c r="Z46" s="1079"/>
      <c r="AA46" s="1077"/>
      <c r="AB46" s="1078"/>
      <c r="AC46" s="1078"/>
      <c r="AD46" s="1078"/>
      <c r="AE46" s="1079"/>
      <c r="AF46" s="352"/>
      <c r="AG46" s="354"/>
      <c r="AH46" s="354"/>
      <c r="AI46" s="1080"/>
      <c r="AJ46" s="1081"/>
      <c r="AK46" s="1425"/>
    </row>
    <row r="47" spans="1:37" s="348" customFormat="1" ht="15.75" customHeight="1">
      <c r="B47" s="1082">
        <v>2</v>
      </c>
      <c r="C47" s="349"/>
      <c r="D47" s="349"/>
      <c r="E47" s="349"/>
      <c r="F47" s="349"/>
      <c r="G47" s="350"/>
      <c r="H47" s="350"/>
      <c r="I47" s="350"/>
      <c r="J47" s="351"/>
      <c r="K47" s="1128"/>
      <c r="L47" s="351"/>
      <c r="M47" s="352"/>
      <c r="N47" s="352"/>
      <c r="O47" s="352"/>
      <c r="P47" s="353"/>
      <c r="Q47" s="352"/>
      <c r="R47" s="354"/>
      <c r="S47" s="354"/>
      <c r="T47" s="354"/>
      <c r="U47" s="353"/>
      <c r="V47" s="351"/>
      <c r="W47" s="354"/>
      <c r="X47" s="354"/>
      <c r="Y47" s="354"/>
      <c r="Z47" s="353"/>
      <c r="AA47" s="351"/>
      <c r="AB47" s="354"/>
      <c r="AC47" s="354"/>
      <c r="AD47" s="354"/>
      <c r="AE47" s="353"/>
      <c r="AF47" s="352"/>
      <c r="AG47" s="354"/>
      <c r="AH47" s="354"/>
      <c r="AI47" s="1080"/>
      <c r="AJ47" s="1081"/>
      <c r="AK47" s="1425"/>
    </row>
    <row r="48" spans="1:37" s="348" customFormat="1" ht="15.75" customHeight="1">
      <c r="B48" s="1082">
        <v>3</v>
      </c>
      <c r="C48" s="349"/>
      <c r="D48" s="349"/>
      <c r="E48" s="349"/>
      <c r="F48" s="349"/>
      <c r="G48" s="350"/>
      <c r="H48" s="350"/>
      <c r="I48" s="350"/>
      <c r="J48" s="351"/>
      <c r="K48" s="1128"/>
      <c r="L48" s="351"/>
      <c r="M48" s="352"/>
      <c r="N48" s="352"/>
      <c r="O48" s="352"/>
      <c r="P48" s="353"/>
      <c r="Q48" s="352"/>
      <c r="R48" s="354"/>
      <c r="S48" s="354"/>
      <c r="T48" s="354"/>
      <c r="U48" s="353"/>
      <c r="V48" s="351"/>
      <c r="W48" s="354"/>
      <c r="X48" s="354"/>
      <c r="Y48" s="354"/>
      <c r="Z48" s="353"/>
      <c r="AA48" s="351"/>
      <c r="AB48" s="354"/>
      <c r="AC48" s="354"/>
      <c r="AD48" s="354"/>
      <c r="AE48" s="353"/>
      <c r="AF48" s="352"/>
      <c r="AG48" s="354"/>
      <c r="AH48" s="354"/>
      <c r="AI48" s="1080"/>
      <c r="AJ48" s="1081"/>
      <c r="AK48" s="1425"/>
    </row>
    <row r="49" spans="2:41" s="348" customFormat="1" ht="15.75" customHeight="1">
      <c r="B49" s="1082">
        <v>4</v>
      </c>
      <c r="C49" s="349"/>
      <c r="D49" s="349"/>
      <c r="E49" s="349"/>
      <c r="F49" s="349"/>
      <c r="G49" s="350"/>
      <c r="H49" s="350"/>
      <c r="I49" s="350"/>
      <c r="J49" s="351"/>
      <c r="K49" s="1128"/>
      <c r="L49" s="351"/>
      <c r="M49" s="352"/>
      <c r="N49" s="352"/>
      <c r="O49" s="352"/>
      <c r="P49" s="353"/>
      <c r="Q49" s="352"/>
      <c r="R49" s="354"/>
      <c r="S49" s="354"/>
      <c r="T49" s="354"/>
      <c r="U49" s="353"/>
      <c r="V49" s="351"/>
      <c r="W49" s="354"/>
      <c r="X49" s="354"/>
      <c r="Y49" s="354"/>
      <c r="Z49" s="353"/>
      <c r="AA49" s="351"/>
      <c r="AB49" s="354"/>
      <c r="AC49" s="354"/>
      <c r="AD49" s="354"/>
      <c r="AE49" s="353"/>
      <c r="AF49" s="352"/>
      <c r="AG49" s="354"/>
      <c r="AH49" s="354"/>
      <c r="AI49" s="1080"/>
      <c r="AJ49" s="1081"/>
      <c r="AK49" s="1425"/>
    </row>
    <row r="50" spans="2:41" s="348" customFormat="1" ht="15.75" customHeight="1">
      <c r="B50" s="1082">
        <v>5</v>
      </c>
      <c r="C50" s="349"/>
      <c r="D50" s="349"/>
      <c r="E50" s="349"/>
      <c r="F50" s="349"/>
      <c r="G50" s="350"/>
      <c r="H50" s="350"/>
      <c r="I50" s="350"/>
      <c r="J50" s="351"/>
      <c r="K50" s="1128"/>
      <c r="L50" s="351"/>
      <c r="M50" s="352"/>
      <c r="N50" s="352"/>
      <c r="O50" s="352"/>
      <c r="P50" s="353"/>
      <c r="Q50" s="352"/>
      <c r="R50" s="354"/>
      <c r="S50" s="354"/>
      <c r="T50" s="354"/>
      <c r="U50" s="353"/>
      <c r="V50" s="351"/>
      <c r="W50" s="354"/>
      <c r="X50" s="354"/>
      <c r="Y50" s="354"/>
      <c r="Z50" s="353"/>
      <c r="AA50" s="351"/>
      <c r="AB50" s="354"/>
      <c r="AC50" s="354"/>
      <c r="AD50" s="354"/>
      <c r="AE50" s="353"/>
      <c r="AF50" s="352"/>
      <c r="AG50" s="354"/>
      <c r="AH50" s="354"/>
      <c r="AI50" s="1080"/>
      <c r="AJ50" s="1081"/>
      <c r="AK50" s="1425"/>
    </row>
    <row r="51" spans="2:41" s="348" customFormat="1" ht="15.75" customHeight="1">
      <c r="B51" s="1082">
        <v>6</v>
      </c>
      <c r="C51" s="349"/>
      <c r="D51" s="349"/>
      <c r="E51" s="349"/>
      <c r="F51" s="349"/>
      <c r="G51" s="350"/>
      <c r="H51" s="350"/>
      <c r="I51" s="350"/>
      <c r="J51" s="351"/>
      <c r="K51" s="1128"/>
      <c r="L51" s="351"/>
      <c r="M51" s="352"/>
      <c r="N51" s="352"/>
      <c r="O51" s="352"/>
      <c r="P51" s="353"/>
      <c r="Q51" s="352"/>
      <c r="R51" s="354"/>
      <c r="S51" s="354"/>
      <c r="T51" s="354"/>
      <c r="U51" s="353"/>
      <c r="V51" s="351"/>
      <c r="W51" s="354"/>
      <c r="X51" s="354"/>
      <c r="Y51" s="354"/>
      <c r="Z51" s="353"/>
      <c r="AA51" s="351"/>
      <c r="AB51" s="354"/>
      <c r="AC51" s="354"/>
      <c r="AD51" s="354"/>
      <c r="AE51" s="353"/>
      <c r="AF51" s="352"/>
      <c r="AG51" s="354"/>
      <c r="AH51" s="354"/>
      <c r="AI51" s="1080"/>
      <c r="AJ51" s="1081"/>
      <c r="AK51" s="1425"/>
    </row>
    <row r="52" spans="2:41" s="348" customFormat="1" ht="15.75" customHeight="1">
      <c r="B52" s="1082">
        <v>7</v>
      </c>
      <c r="C52" s="349"/>
      <c r="D52" s="349"/>
      <c r="E52" s="349"/>
      <c r="F52" s="349"/>
      <c r="G52" s="350"/>
      <c r="H52" s="350"/>
      <c r="I52" s="350"/>
      <c r="J52" s="351"/>
      <c r="K52" s="1128"/>
      <c r="L52" s="351"/>
      <c r="M52" s="352"/>
      <c r="N52" s="352"/>
      <c r="O52" s="352"/>
      <c r="P52" s="353"/>
      <c r="Q52" s="352"/>
      <c r="R52" s="354"/>
      <c r="S52" s="354"/>
      <c r="T52" s="354"/>
      <c r="U52" s="353"/>
      <c r="V52" s="351"/>
      <c r="W52" s="354"/>
      <c r="X52" s="354"/>
      <c r="Y52" s="354"/>
      <c r="Z52" s="353"/>
      <c r="AA52" s="351"/>
      <c r="AB52" s="354"/>
      <c r="AC52" s="354"/>
      <c r="AD52" s="354"/>
      <c r="AE52" s="353"/>
      <c r="AF52" s="352"/>
      <c r="AG52" s="354"/>
      <c r="AH52" s="354"/>
      <c r="AI52" s="1080"/>
      <c r="AJ52" s="1081"/>
      <c r="AK52" s="1425"/>
      <c r="AO52" s="348" t="s">
        <v>859</v>
      </c>
    </row>
    <row r="53" spans="2:41" s="348" customFormat="1" ht="15.75" customHeight="1">
      <c r="B53" s="1082">
        <v>8</v>
      </c>
      <c r="C53" s="349"/>
      <c r="D53" s="349"/>
      <c r="E53" s="349"/>
      <c r="F53" s="349"/>
      <c r="G53" s="350"/>
      <c r="H53" s="350"/>
      <c r="I53" s="350"/>
      <c r="J53" s="351"/>
      <c r="K53" s="1128"/>
      <c r="L53" s="351"/>
      <c r="M53" s="352"/>
      <c r="N53" s="352"/>
      <c r="O53" s="352"/>
      <c r="P53" s="353"/>
      <c r="Q53" s="352"/>
      <c r="R53" s="354"/>
      <c r="S53" s="354"/>
      <c r="T53" s="354"/>
      <c r="U53" s="353"/>
      <c r="V53" s="351"/>
      <c r="W53" s="354"/>
      <c r="X53" s="354"/>
      <c r="Y53" s="354"/>
      <c r="Z53" s="353"/>
      <c r="AA53" s="351"/>
      <c r="AB53" s="354"/>
      <c r="AC53" s="354"/>
      <c r="AD53" s="354"/>
      <c r="AE53" s="353"/>
      <c r="AF53" s="352"/>
      <c r="AG53" s="354"/>
      <c r="AH53" s="354"/>
      <c r="AI53" s="1080"/>
      <c r="AJ53" s="1081"/>
      <c r="AK53" s="1425"/>
    </row>
    <row r="54" spans="2:41" s="348" customFormat="1" ht="15.75" customHeight="1">
      <c r="B54" s="1082">
        <v>9</v>
      </c>
      <c r="C54" s="349"/>
      <c r="D54" s="349"/>
      <c r="E54" s="349"/>
      <c r="F54" s="349"/>
      <c r="G54" s="350"/>
      <c r="H54" s="350"/>
      <c r="I54" s="350"/>
      <c r="J54" s="351"/>
      <c r="K54" s="1128"/>
      <c r="L54" s="351"/>
      <c r="M54" s="352"/>
      <c r="N54" s="352"/>
      <c r="O54" s="352"/>
      <c r="P54" s="353"/>
      <c r="Q54" s="352"/>
      <c r="R54" s="354"/>
      <c r="S54" s="354"/>
      <c r="T54" s="354"/>
      <c r="U54" s="353"/>
      <c r="V54" s="351"/>
      <c r="W54" s="354"/>
      <c r="X54" s="354"/>
      <c r="Y54" s="354"/>
      <c r="Z54" s="353"/>
      <c r="AA54" s="351"/>
      <c r="AB54" s="354"/>
      <c r="AC54" s="354"/>
      <c r="AD54" s="354"/>
      <c r="AE54" s="353"/>
      <c r="AF54" s="352"/>
      <c r="AG54" s="354"/>
      <c r="AH54" s="354"/>
      <c r="AI54" s="1080"/>
      <c r="AJ54" s="1081"/>
      <c r="AK54" s="1425"/>
    </row>
    <row r="55" spans="2:41" s="348" customFormat="1" ht="15.75" customHeight="1">
      <c r="B55" s="1082">
        <v>10</v>
      </c>
      <c r="C55" s="349"/>
      <c r="D55" s="349"/>
      <c r="E55" s="349"/>
      <c r="F55" s="349"/>
      <c r="G55" s="350"/>
      <c r="H55" s="350"/>
      <c r="I55" s="350"/>
      <c r="J55" s="351"/>
      <c r="K55" s="1128"/>
      <c r="L55" s="351"/>
      <c r="M55" s="352"/>
      <c r="N55" s="352"/>
      <c r="O55" s="352"/>
      <c r="P55" s="353"/>
      <c r="Q55" s="352"/>
      <c r="R55" s="354"/>
      <c r="S55" s="354"/>
      <c r="T55" s="354"/>
      <c r="U55" s="353"/>
      <c r="V55" s="351"/>
      <c r="W55" s="354"/>
      <c r="X55" s="354"/>
      <c r="Y55" s="354"/>
      <c r="Z55" s="353"/>
      <c r="AA55" s="351"/>
      <c r="AB55" s="354"/>
      <c r="AC55" s="354"/>
      <c r="AD55" s="354"/>
      <c r="AE55" s="353"/>
      <c r="AF55" s="352"/>
      <c r="AG55" s="354"/>
      <c r="AH55" s="354"/>
      <c r="AI55" s="1080"/>
      <c r="AJ55" s="1081"/>
      <c r="AK55" s="1425"/>
    </row>
    <row r="56" spans="2:41" s="348" customFormat="1" ht="15.75" customHeight="1">
      <c r="B56" s="1082">
        <v>11</v>
      </c>
      <c r="C56" s="349"/>
      <c r="D56" s="349"/>
      <c r="E56" s="349"/>
      <c r="F56" s="349"/>
      <c r="G56" s="350"/>
      <c r="H56" s="350"/>
      <c r="I56" s="350"/>
      <c r="J56" s="351"/>
      <c r="K56" s="1128"/>
      <c r="L56" s="351"/>
      <c r="M56" s="352"/>
      <c r="N56" s="352"/>
      <c r="O56" s="352"/>
      <c r="P56" s="353"/>
      <c r="Q56" s="352"/>
      <c r="R56" s="354"/>
      <c r="S56" s="354"/>
      <c r="T56" s="354"/>
      <c r="U56" s="353"/>
      <c r="V56" s="351"/>
      <c r="W56" s="354"/>
      <c r="X56" s="354"/>
      <c r="Y56" s="354"/>
      <c r="Z56" s="353"/>
      <c r="AA56" s="351"/>
      <c r="AB56" s="354"/>
      <c r="AC56" s="354"/>
      <c r="AD56" s="354"/>
      <c r="AE56" s="353"/>
      <c r="AF56" s="352"/>
      <c r="AG56" s="354"/>
      <c r="AH56" s="354"/>
      <c r="AI56" s="1080"/>
      <c r="AJ56" s="1081"/>
      <c r="AK56" s="1425"/>
    </row>
    <row r="57" spans="2:41" s="348" customFormat="1" ht="15.75" customHeight="1">
      <c r="B57" s="1082">
        <v>12</v>
      </c>
      <c r="C57" s="349"/>
      <c r="D57" s="349"/>
      <c r="E57" s="349"/>
      <c r="F57" s="349"/>
      <c r="G57" s="350"/>
      <c r="H57" s="350"/>
      <c r="I57" s="350"/>
      <c r="J57" s="351"/>
      <c r="K57" s="1128"/>
      <c r="L57" s="351"/>
      <c r="M57" s="352"/>
      <c r="N57" s="352"/>
      <c r="O57" s="352"/>
      <c r="P57" s="353"/>
      <c r="Q57" s="352"/>
      <c r="R57" s="354"/>
      <c r="S57" s="354"/>
      <c r="T57" s="354"/>
      <c r="U57" s="353"/>
      <c r="V57" s="351"/>
      <c r="W57" s="354"/>
      <c r="X57" s="354"/>
      <c r="Y57" s="354"/>
      <c r="Z57" s="353"/>
      <c r="AA57" s="351"/>
      <c r="AB57" s="354"/>
      <c r="AC57" s="354"/>
      <c r="AD57" s="354"/>
      <c r="AE57" s="353"/>
      <c r="AF57" s="352"/>
      <c r="AG57" s="354"/>
      <c r="AH57" s="354"/>
      <c r="AI57" s="1080"/>
      <c r="AJ57" s="1081"/>
      <c r="AK57" s="1425"/>
    </row>
    <row r="58" spans="2:41" s="348" customFormat="1" ht="15.75" customHeight="1">
      <c r="B58" s="1082">
        <v>13</v>
      </c>
      <c r="C58" s="349"/>
      <c r="D58" s="349"/>
      <c r="E58" s="349"/>
      <c r="F58" s="349"/>
      <c r="G58" s="350"/>
      <c r="H58" s="350"/>
      <c r="I58" s="350"/>
      <c r="J58" s="351"/>
      <c r="K58" s="1128"/>
      <c r="L58" s="351"/>
      <c r="M58" s="352"/>
      <c r="N58" s="352"/>
      <c r="O58" s="352"/>
      <c r="P58" s="353"/>
      <c r="Q58" s="352"/>
      <c r="R58" s="354"/>
      <c r="S58" s="354"/>
      <c r="T58" s="354"/>
      <c r="U58" s="353"/>
      <c r="V58" s="351"/>
      <c r="W58" s="354"/>
      <c r="X58" s="354"/>
      <c r="Y58" s="354"/>
      <c r="Z58" s="353"/>
      <c r="AA58" s="351"/>
      <c r="AB58" s="354"/>
      <c r="AC58" s="354"/>
      <c r="AD58" s="354"/>
      <c r="AE58" s="353"/>
      <c r="AF58" s="352"/>
      <c r="AG58" s="354"/>
      <c r="AH58" s="354"/>
      <c r="AI58" s="1080"/>
      <c r="AJ58" s="1081"/>
      <c r="AK58" s="1425"/>
    </row>
    <row r="59" spans="2:41" s="348" customFormat="1" ht="15.75" customHeight="1">
      <c r="B59" s="1082">
        <v>14</v>
      </c>
      <c r="C59" s="349"/>
      <c r="D59" s="349"/>
      <c r="E59" s="349"/>
      <c r="F59" s="349"/>
      <c r="G59" s="350"/>
      <c r="H59" s="350"/>
      <c r="I59" s="350"/>
      <c r="J59" s="351"/>
      <c r="K59" s="1128"/>
      <c r="L59" s="351"/>
      <c r="M59" s="352"/>
      <c r="N59" s="352"/>
      <c r="O59" s="352"/>
      <c r="P59" s="353"/>
      <c r="Q59" s="352"/>
      <c r="R59" s="354"/>
      <c r="S59" s="354"/>
      <c r="T59" s="354"/>
      <c r="U59" s="353"/>
      <c r="V59" s="351"/>
      <c r="W59" s="354"/>
      <c r="X59" s="354"/>
      <c r="Y59" s="354"/>
      <c r="Z59" s="353"/>
      <c r="AA59" s="351"/>
      <c r="AB59" s="354"/>
      <c r="AC59" s="354"/>
      <c r="AD59" s="354"/>
      <c r="AE59" s="353"/>
      <c r="AF59" s="352"/>
      <c r="AG59" s="354"/>
      <c r="AH59" s="354"/>
      <c r="AI59" s="1080"/>
      <c r="AJ59" s="1081"/>
      <c r="AK59" s="1425"/>
    </row>
    <row r="60" spans="2:41" s="348" customFormat="1" ht="15.75" customHeight="1">
      <c r="B60" s="1082">
        <v>15</v>
      </c>
      <c r="C60" s="349"/>
      <c r="D60" s="349"/>
      <c r="E60" s="349"/>
      <c r="F60" s="349"/>
      <c r="G60" s="350"/>
      <c r="H60" s="350"/>
      <c r="I60" s="350"/>
      <c r="J60" s="351"/>
      <c r="K60" s="1128"/>
      <c r="L60" s="351"/>
      <c r="M60" s="352"/>
      <c r="N60" s="352"/>
      <c r="O60" s="352"/>
      <c r="P60" s="353"/>
      <c r="Q60" s="352"/>
      <c r="R60" s="354"/>
      <c r="S60" s="354"/>
      <c r="T60" s="354"/>
      <c r="U60" s="353"/>
      <c r="V60" s="351"/>
      <c r="W60" s="354"/>
      <c r="X60" s="354"/>
      <c r="Y60" s="354"/>
      <c r="Z60" s="353"/>
      <c r="AA60" s="351"/>
      <c r="AB60" s="354"/>
      <c r="AC60" s="354"/>
      <c r="AD60" s="354"/>
      <c r="AE60" s="353"/>
      <c r="AF60" s="352"/>
      <c r="AG60" s="354"/>
      <c r="AH60" s="354"/>
      <c r="AI60" s="1080"/>
      <c r="AJ60" s="1081"/>
      <c r="AK60" s="1425"/>
    </row>
    <row r="61" spans="2:41" s="348" customFormat="1" ht="15.75" customHeight="1">
      <c r="B61" s="1082">
        <v>16</v>
      </c>
      <c r="C61" s="349"/>
      <c r="D61" s="349"/>
      <c r="E61" s="349"/>
      <c r="F61" s="349"/>
      <c r="G61" s="350"/>
      <c r="H61" s="350"/>
      <c r="I61" s="350"/>
      <c r="J61" s="351"/>
      <c r="K61" s="1128"/>
      <c r="L61" s="351"/>
      <c r="M61" s="352"/>
      <c r="N61" s="352"/>
      <c r="O61" s="352"/>
      <c r="P61" s="353"/>
      <c r="Q61" s="352"/>
      <c r="R61" s="354"/>
      <c r="S61" s="354"/>
      <c r="T61" s="354"/>
      <c r="U61" s="353"/>
      <c r="V61" s="351"/>
      <c r="W61" s="354"/>
      <c r="X61" s="354"/>
      <c r="Y61" s="354"/>
      <c r="Z61" s="353"/>
      <c r="AA61" s="351"/>
      <c r="AB61" s="354"/>
      <c r="AC61" s="354"/>
      <c r="AD61" s="354"/>
      <c r="AE61" s="353"/>
      <c r="AF61" s="352"/>
      <c r="AG61" s="354"/>
      <c r="AH61" s="354"/>
      <c r="AI61" s="1080"/>
      <c r="AJ61" s="1081"/>
      <c r="AK61" s="1425"/>
    </row>
    <row r="62" spans="2:41" s="348" customFormat="1" ht="15.75" customHeight="1">
      <c r="B62" s="1082">
        <v>17</v>
      </c>
      <c r="C62" s="349"/>
      <c r="D62" s="349"/>
      <c r="E62" s="349"/>
      <c r="F62" s="349"/>
      <c r="G62" s="350"/>
      <c r="H62" s="350"/>
      <c r="I62" s="350"/>
      <c r="J62" s="351"/>
      <c r="K62" s="1128"/>
      <c r="L62" s="351"/>
      <c r="M62" s="352"/>
      <c r="N62" s="352"/>
      <c r="O62" s="352"/>
      <c r="P62" s="353"/>
      <c r="Q62" s="352"/>
      <c r="R62" s="354"/>
      <c r="S62" s="354"/>
      <c r="T62" s="354"/>
      <c r="U62" s="353"/>
      <c r="V62" s="351"/>
      <c r="W62" s="354"/>
      <c r="X62" s="354"/>
      <c r="Y62" s="354"/>
      <c r="Z62" s="353"/>
      <c r="AA62" s="351"/>
      <c r="AB62" s="354"/>
      <c r="AC62" s="354"/>
      <c r="AD62" s="354"/>
      <c r="AE62" s="353"/>
      <c r="AF62" s="352"/>
      <c r="AG62" s="354"/>
      <c r="AH62" s="354"/>
      <c r="AI62" s="1080"/>
      <c r="AJ62" s="1081"/>
      <c r="AK62" s="1425"/>
    </row>
    <row r="63" spans="2:41" s="348" customFormat="1" ht="15.75" customHeight="1">
      <c r="B63" s="1082">
        <v>18</v>
      </c>
      <c r="C63" s="349"/>
      <c r="D63" s="349"/>
      <c r="E63" s="349"/>
      <c r="F63" s="349"/>
      <c r="G63" s="350"/>
      <c r="H63" s="350"/>
      <c r="I63" s="350"/>
      <c r="J63" s="351"/>
      <c r="K63" s="1128"/>
      <c r="L63" s="351"/>
      <c r="M63" s="352"/>
      <c r="N63" s="352"/>
      <c r="O63" s="352"/>
      <c r="P63" s="353"/>
      <c r="Q63" s="352"/>
      <c r="R63" s="354"/>
      <c r="S63" s="354"/>
      <c r="T63" s="354"/>
      <c r="U63" s="353"/>
      <c r="V63" s="351"/>
      <c r="W63" s="354"/>
      <c r="X63" s="354"/>
      <c r="Y63" s="354"/>
      <c r="Z63" s="353"/>
      <c r="AA63" s="351"/>
      <c r="AB63" s="354"/>
      <c r="AC63" s="354"/>
      <c r="AD63" s="354"/>
      <c r="AE63" s="353"/>
      <c r="AF63" s="352"/>
      <c r="AG63" s="354"/>
      <c r="AH63" s="354"/>
      <c r="AI63" s="1080"/>
      <c r="AJ63" s="1081"/>
      <c r="AK63" s="1425"/>
    </row>
    <row r="64" spans="2:41" s="348" customFormat="1" ht="15.75" customHeight="1">
      <c r="B64" s="1082">
        <v>19</v>
      </c>
      <c r="C64" s="349"/>
      <c r="D64" s="349"/>
      <c r="E64" s="349"/>
      <c r="F64" s="349"/>
      <c r="G64" s="350"/>
      <c r="H64" s="350"/>
      <c r="I64" s="350"/>
      <c r="J64" s="351"/>
      <c r="K64" s="1128"/>
      <c r="L64" s="351"/>
      <c r="M64" s="352"/>
      <c r="N64" s="352"/>
      <c r="O64" s="352"/>
      <c r="P64" s="353"/>
      <c r="Q64" s="352"/>
      <c r="R64" s="354"/>
      <c r="S64" s="354"/>
      <c r="T64" s="354"/>
      <c r="U64" s="353"/>
      <c r="V64" s="351"/>
      <c r="W64" s="354"/>
      <c r="X64" s="354"/>
      <c r="Y64" s="354"/>
      <c r="Z64" s="353"/>
      <c r="AA64" s="351"/>
      <c r="AB64" s="354"/>
      <c r="AC64" s="354"/>
      <c r="AD64" s="354"/>
      <c r="AE64" s="353"/>
      <c r="AF64" s="352"/>
      <c r="AG64" s="354"/>
      <c r="AH64" s="354"/>
      <c r="AI64" s="1080"/>
      <c r="AJ64" s="1081"/>
      <c r="AK64" s="1425"/>
    </row>
    <row r="65" spans="2:37" s="348" customFormat="1" ht="15.75" customHeight="1">
      <c r="B65" s="1082">
        <v>20</v>
      </c>
      <c r="C65" s="355"/>
      <c r="D65" s="355"/>
      <c r="E65" s="349"/>
      <c r="F65" s="355"/>
      <c r="G65" s="356"/>
      <c r="H65" s="350"/>
      <c r="I65" s="356"/>
      <c r="J65" s="1129"/>
      <c r="K65" s="1130"/>
      <c r="L65" s="1129"/>
      <c r="M65" s="357"/>
      <c r="N65" s="357"/>
      <c r="O65" s="357"/>
      <c r="P65" s="358"/>
      <c r="Q65" s="357"/>
      <c r="R65" s="359"/>
      <c r="S65" s="359"/>
      <c r="T65" s="359"/>
      <c r="U65" s="358"/>
      <c r="V65" s="351"/>
      <c r="W65" s="354"/>
      <c r="X65" s="354"/>
      <c r="Y65" s="354"/>
      <c r="Z65" s="353"/>
      <c r="AA65" s="351"/>
      <c r="AB65" s="354"/>
      <c r="AC65" s="354"/>
      <c r="AD65" s="354"/>
      <c r="AE65" s="353"/>
      <c r="AF65" s="352"/>
      <c r="AG65" s="354"/>
      <c r="AH65" s="354"/>
      <c r="AI65" s="1080"/>
      <c r="AJ65" s="1081"/>
      <c r="AK65" s="1426"/>
    </row>
    <row r="66" spans="2:37" s="348" customFormat="1" ht="15.75" customHeight="1">
      <c r="B66" s="1082">
        <v>21</v>
      </c>
      <c r="C66" s="355"/>
      <c r="D66" s="355"/>
      <c r="E66" s="349"/>
      <c r="F66" s="355"/>
      <c r="G66" s="356"/>
      <c r="H66" s="350"/>
      <c r="I66" s="356"/>
      <c r="J66" s="1129"/>
      <c r="K66" s="1130"/>
      <c r="L66" s="1129"/>
      <c r="M66" s="357"/>
      <c r="N66" s="357"/>
      <c r="O66" s="357"/>
      <c r="P66" s="358"/>
      <c r="Q66" s="357"/>
      <c r="R66" s="359"/>
      <c r="S66" s="359"/>
      <c r="T66" s="359"/>
      <c r="U66" s="358"/>
      <c r="V66" s="351"/>
      <c r="W66" s="354"/>
      <c r="X66" s="354"/>
      <c r="Y66" s="354"/>
      <c r="Z66" s="353"/>
      <c r="AA66" s="351"/>
      <c r="AB66" s="354"/>
      <c r="AC66" s="354"/>
      <c r="AD66" s="354"/>
      <c r="AE66" s="353"/>
      <c r="AF66" s="352"/>
      <c r="AG66" s="354"/>
      <c r="AH66" s="354"/>
      <c r="AI66" s="1080"/>
      <c r="AJ66" s="1081"/>
      <c r="AK66" s="1426"/>
    </row>
    <row r="67" spans="2:37" s="348" customFormat="1" ht="15.75" customHeight="1">
      <c r="B67" s="1082">
        <v>22</v>
      </c>
      <c r="C67" s="355"/>
      <c r="D67" s="355"/>
      <c r="E67" s="349"/>
      <c r="F67" s="355"/>
      <c r="G67" s="356"/>
      <c r="H67" s="350"/>
      <c r="I67" s="356"/>
      <c r="J67" s="1129"/>
      <c r="K67" s="1130"/>
      <c r="L67" s="1129"/>
      <c r="M67" s="357"/>
      <c r="N67" s="357"/>
      <c r="O67" s="357"/>
      <c r="P67" s="358"/>
      <c r="Q67" s="357"/>
      <c r="R67" s="359"/>
      <c r="S67" s="359"/>
      <c r="T67" s="359"/>
      <c r="U67" s="358"/>
      <c r="V67" s="351"/>
      <c r="W67" s="354"/>
      <c r="X67" s="354"/>
      <c r="Y67" s="354"/>
      <c r="Z67" s="353"/>
      <c r="AA67" s="351"/>
      <c r="AB67" s="354"/>
      <c r="AC67" s="354"/>
      <c r="AD67" s="354"/>
      <c r="AE67" s="353"/>
      <c r="AF67" s="352"/>
      <c r="AG67" s="354"/>
      <c r="AH67" s="354"/>
      <c r="AI67" s="1080"/>
      <c r="AJ67" s="1081"/>
      <c r="AK67" s="1426"/>
    </row>
    <row r="68" spans="2:37" s="348" customFormat="1" ht="15.75" customHeight="1">
      <c r="B68" s="1082">
        <v>23</v>
      </c>
      <c r="C68" s="355"/>
      <c r="D68" s="355"/>
      <c r="E68" s="349"/>
      <c r="F68" s="355"/>
      <c r="G68" s="356"/>
      <c r="H68" s="350"/>
      <c r="I68" s="356"/>
      <c r="J68" s="1129"/>
      <c r="K68" s="1130"/>
      <c r="L68" s="1129"/>
      <c r="M68" s="357"/>
      <c r="N68" s="357"/>
      <c r="O68" s="357"/>
      <c r="P68" s="358"/>
      <c r="Q68" s="357"/>
      <c r="R68" s="359"/>
      <c r="S68" s="359"/>
      <c r="T68" s="359"/>
      <c r="U68" s="358"/>
      <c r="V68" s="351"/>
      <c r="W68" s="354"/>
      <c r="X68" s="354"/>
      <c r="Y68" s="354"/>
      <c r="Z68" s="353"/>
      <c r="AA68" s="351"/>
      <c r="AB68" s="354"/>
      <c r="AC68" s="354"/>
      <c r="AD68" s="354"/>
      <c r="AE68" s="353"/>
      <c r="AF68" s="352"/>
      <c r="AG68" s="354"/>
      <c r="AH68" s="354"/>
      <c r="AI68" s="1080"/>
      <c r="AJ68" s="1081"/>
      <c r="AK68" s="1426"/>
    </row>
    <row r="69" spans="2:37" s="348" customFormat="1" ht="15.75" customHeight="1">
      <c r="B69" s="1082">
        <v>24</v>
      </c>
      <c r="C69" s="355"/>
      <c r="D69" s="355"/>
      <c r="E69" s="349"/>
      <c r="F69" s="355"/>
      <c r="G69" s="356"/>
      <c r="H69" s="350"/>
      <c r="I69" s="356"/>
      <c r="J69" s="1129"/>
      <c r="K69" s="1130"/>
      <c r="L69" s="1129"/>
      <c r="M69" s="357"/>
      <c r="N69" s="357"/>
      <c r="O69" s="357"/>
      <c r="P69" s="358"/>
      <c r="Q69" s="357"/>
      <c r="R69" s="359"/>
      <c r="S69" s="359"/>
      <c r="T69" s="359"/>
      <c r="U69" s="358"/>
      <c r="V69" s="351"/>
      <c r="W69" s="354"/>
      <c r="X69" s="354"/>
      <c r="Y69" s="354"/>
      <c r="Z69" s="353"/>
      <c r="AA69" s="351"/>
      <c r="AB69" s="354"/>
      <c r="AC69" s="354"/>
      <c r="AD69" s="354"/>
      <c r="AE69" s="353"/>
      <c r="AF69" s="352"/>
      <c r="AG69" s="354"/>
      <c r="AH69" s="354"/>
      <c r="AI69" s="1080"/>
      <c r="AJ69" s="1081"/>
      <c r="AK69" s="1426"/>
    </row>
    <row r="70" spans="2:37" s="348" customFormat="1" ht="15.75" customHeight="1">
      <c r="B70" s="1082">
        <v>25</v>
      </c>
      <c r="C70" s="355"/>
      <c r="D70" s="355"/>
      <c r="E70" s="349"/>
      <c r="F70" s="355"/>
      <c r="G70" s="356"/>
      <c r="H70" s="350"/>
      <c r="I70" s="356"/>
      <c r="J70" s="1129"/>
      <c r="K70" s="1130"/>
      <c r="L70" s="1129"/>
      <c r="M70" s="357"/>
      <c r="N70" s="357"/>
      <c r="O70" s="357"/>
      <c r="P70" s="358"/>
      <c r="Q70" s="357"/>
      <c r="R70" s="359"/>
      <c r="S70" s="359"/>
      <c r="T70" s="359"/>
      <c r="U70" s="358"/>
      <c r="V70" s="351"/>
      <c r="W70" s="354"/>
      <c r="X70" s="354"/>
      <c r="Y70" s="354"/>
      <c r="Z70" s="353"/>
      <c r="AA70" s="351"/>
      <c r="AB70" s="354"/>
      <c r="AC70" s="354"/>
      <c r="AD70" s="354"/>
      <c r="AE70" s="353"/>
      <c r="AF70" s="352"/>
      <c r="AG70" s="354"/>
      <c r="AH70" s="354"/>
      <c r="AI70" s="1080"/>
      <c r="AJ70" s="1081"/>
      <c r="AK70" s="1426"/>
    </row>
    <row r="71" spans="2:37" s="348" customFormat="1" ht="15.75" customHeight="1">
      <c r="B71" s="1082">
        <v>26</v>
      </c>
      <c r="C71" s="355"/>
      <c r="D71" s="355"/>
      <c r="E71" s="349"/>
      <c r="F71" s="355"/>
      <c r="G71" s="356"/>
      <c r="H71" s="350"/>
      <c r="I71" s="356"/>
      <c r="J71" s="1129"/>
      <c r="K71" s="1130"/>
      <c r="L71" s="1129"/>
      <c r="M71" s="357"/>
      <c r="N71" s="357"/>
      <c r="O71" s="357"/>
      <c r="P71" s="358"/>
      <c r="Q71" s="357"/>
      <c r="R71" s="359"/>
      <c r="S71" s="359"/>
      <c r="T71" s="359"/>
      <c r="U71" s="358"/>
      <c r="V71" s="351"/>
      <c r="W71" s="354"/>
      <c r="X71" s="354"/>
      <c r="Y71" s="354"/>
      <c r="Z71" s="353"/>
      <c r="AA71" s="351"/>
      <c r="AB71" s="354"/>
      <c r="AC71" s="354"/>
      <c r="AD71" s="354"/>
      <c r="AE71" s="353"/>
      <c r="AF71" s="352"/>
      <c r="AG71" s="354"/>
      <c r="AH71" s="354"/>
      <c r="AI71" s="1080"/>
      <c r="AJ71" s="1081"/>
      <c r="AK71" s="1426"/>
    </row>
    <row r="72" spans="2:37" s="348" customFormat="1" ht="15.75" customHeight="1">
      <c r="B72" s="1082">
        <v>27</v>
      </c>
      <c r="C72" s="355"/>
      <c r="D72" s="355"/>
      <c r="E72" s="349"/>
      <c r="F72" s="355"/>
      <c r="G72" s="356"/>
      <c r="H72" s="350"/>
      <c r="I72" s="356"/>
      <c r="J72" s="1129"/>
      <c r="K72" s="1130"/>
      <c r="L72" s="1129"/>
      <c r="M72" s="357"/>
      <c r="N72" s="357"/>
      <c r="O72" s="357"/>
      <c r="P72" s="358"/>
      <c r="Q72" s="357"/>
      <c r="R72" s="359"/>
      <c r="S72" s="359"/>
      <c r="T72" s="359"/>
      <c r="U72" s="358"/>
      <c r="V72" s="351"/>
      <c r="W72" s="354"/>
      <c r="X72" s="354"/>
      <c r="Y72" s="354"/>
      <c r="Z72" s="353"/>
      <c r="AA72" s="351"/>
      <c r="AB72" s="354"/>
      <c r="AC72" s="354"/>
      <c r="AD72" s="354"/>
      <c r="AE72" s="353"/>
      <c r="AF72" s="352"/>
      <c r="AG72" s="354"/>
      <c r="AH72" s="354"/>
      <c r="AI72" s="1080"/>
      <c r="AJ72" s="1081"/>
      <c r="AK72" s="1426"/>
    </row>
    <row r="73" spans="2:37" s="348" customFormat="1" ht="15.75" customHeight="1">
      <c r="B73" s="1082">
        <v>28</v>
      </c>
      <c r="C73" s="355"/>
      <c r="D73" s="355"/>
      <c r="E73" s="349"/>
      <c r="F73" s="355"/>
      <c r="G73" s="356"/>
      <c r="H73" s="350"/>
      <c r="I73" s="356"/>
      <c r="J73" s="1129"/>
      <c r="K73" s="1130"/>
      <c r="L73" s="1129"/>
      <c r="M73" s="357"/>
      <c r="N73" s="357"/>
      <c r="O73" s="357"/>
      <c r="P73" s="358"/>
      <c r="Q73" s="357"/>
      <c r="R73" s="359"/>
      <c r="S73" s="359"/>
      <c r="T73" s="359"/>
      <c r="U73" s="358"/>
      <c r="V73" s="351"/>
      <c r="W73" s="354"/>
      <c r="X73" s="354"/>
      <c r="Y73" s="354"/>
      <c r="Z73" s="353"/>
      <c r="AA73" s="351"/>
      <c r="AB73" s="354"/>
      <c r="AC73" s="354"/>
      <c r="AD73" s="354"/>
      <c r="AE73" s="353"/>
      <c r="AF73" s="352"/>
      <c r="AG73" s="354"/>
      <c r="AH73" s="354"/>
      <c r="AI73" s="1080"/>
      <c r="AJ73" s="1081"/>
      <c r="AK73" s="1426"/>
    </row>
    <row r="74" spans="2:37" s="348" customFormat="1" ht="15.75" customHeight="1">
      <c r="B74" s="1082">
        <v>29</v>
      </c>
      <c r="C74" s="355"/>
      <c r="D74" s="355"/>
      <c r="E74" s="349"/>
      <c r="F74" s="355"/>
      <c r="G74" s="356"/>
      <c r="H74" s="350"/>
      <c r="I74" s="356"/>
      <c r="J74" s="1129"/>
      <c r="K74" s="1130"/>
      <c r="L74" s="1129"/>
      <c r="M74" s="357"/>
      <c r="N74" s="357"/>
      <c r="O74" s="357"/>
      <c r="P74" s="358"/>
      <c r="Q74" s="357"/>
      <c r="R74" s="359"/>
      <c r="S74" s="359"/>
      <c r="T74" s="359"/>
      <c r="U74" s="358"/>
      <c r="V74" s="351"/>
      <c r="W74" s="354"/>
      <c r="X74" s="354"/>
      <c r="Y74" s="354"/>
      <c r="Z74" s="353"/>
      <c r="AA74" s="351"/>
      <c r="AB74" s="354"/>
      <c r="AC74" s="354"/>
      <c r="AD74" s="354"/>
      <c r="AE74" s="353"/>
      <c r="AF74" s="352"/>
      <c r="AG74" s="354"/>
      <c r="AH74" s="354"/>
      <c r="AI74" s="1080"/>
      <c r="AJ74" s="1081"/>
      <c r="AK74" s="1426"/>
    </row>
    <row r="75" spans="2:37" s="348" customFormat="1" ht="15.75" customHeight="1">
      <c r="B75" s="1082">
        <v>30</v>
      </c>
      <c r="C75" s="355"/>
      <c r="D75" s="355"/>
      <c r="E75" s="349"/>
      <c r="F75" s="355"/>
      <c r="G75" s="356"/>
      <c r="H75" s="350"/>
      <c r="I75" s="356"/>
      <c r="J75" s="1129"/>
      <c r="K75" s="1130"/>
      <c r="L75" s="1129"/>
      <c r="M75" s="357"/>
      <c r="N75" s="357"/>
      <c r="O75" s="357"/>
      <c r="P75" s="358"/>
      <c r="Q75" s="357"/>
      <c r="R75" s="359"/>
      <c r="S75" s="359"/>
      <c r="T75" s="359"/>
      <c r="U75" s="358"/>
      <c r="V75" s="351"/>
      <c r="W75" s="354"/>
      <c r="X75" s="354"/>
      <c r="Y75" s="354"/>
      <c r="Z75" s="353"/>
      <c r="AA75" s="351"/>
      <c r="AB75" s="354"/>
      <c r="AC75" s="354"/>
      <c r="AD75" s="354"/>
      <c r="AE75" s="353"/>
      <c r="AF75" s="352"/>
      <c r="AG75" s="354"/>
      <c r="AH75" s="354"/>
      <c r="AI75" s="1080"/>
      <c r="AJ75" s="1081"/>
      <c r="AK75" s="1426"/>
    </row>
    <row r="76" spans="2:37" s="348" customFormat="1" ht="15.75" customHeight="1">
      <c r="B76" s="1082">
        <v>31</v>
      </c>
      <c r="C76" s="355"/>
      <c r="D76" s="355"/>
      <c r="E76" s="349"/>
      <c r="F76" s="355"/>
      <c r="G76" s="356"/>
      <c r="H76" s="350"/>
      <c r="I76" s="356"/>
      <c r="J76" s="1129"/>
      <c r="K76" s="1130"/>
      <c r="L76" s="1129"/>
      <c r="M76" s="357"/>
      <c r="N76" s="357"/>
      <c r="O76" s="357"/>
      <c r="P76" s="358"/>
      <c r="Q76" s="357"/>
      <c r="R76" s="359"/>
      <c r="S76" s="359"/>
      <c r="T76" s="359"/>
      <c r="U76" s="358"/>
      <c r="V76" s="351"/>
      <c r="W76" s="354"/>
      <c r="X76" s="354"/>
      <c r="Y76" s="354"/>
      <c r="Z76" s="353"/>
      <c r="AA76" s="351"/>
      <c r="AB76" s="354"/>
      <c r="AC76" s="354"/>
      <c r="AD76" s="354"/>
      <c r="AE76" s="353"/>
      <c r="AF76" s="352"/>
      <c r="AG76" s="354"/>
      <c r="AH76" s="354"/>
      <c r="AI76" s="1080"/>
      <c r="AJ76" s="1081"/>
      <c r="AK76" s="1426"/>
    </row>
    <row r="77" spans="2:37" s="348" customFormat="1" ht="15.75" customHeight="1">
      <c r="B77" s="1082">
        <v>32</v>
      </c>
      <c r="C77" s="355"/>
      <c r="D77" s="355"/>
      <c r="E77" s="349"/>
      <c r="F77" s="355"/>
      <c r="G77" s="356"/>
      <c r="H77" s="350"/>
      <c r="I77" s="356"/>
      <c r="J77" s="1129"/>
      <c r="K77" s="1130"/>
      <c r="L77" s="1129"/>
      <c r="M77" s="357"/>
      <c r="N77" s="357"/>
      <c r="O77" s="357"/>
      <c r="P77" s="358"/>
      <c r="Q77" s="357"/>
      <c r="R77" s="359"/>
      <c r="S77" s="359"/>
      <c r="T77" s="359"/>
      <c r="U77" s="358"/>
      <c r="V77" s="351"/>
      <c r="W77" s="354"/>
      <c r="X77" s="354"/>
      <c r="Y77" s="354"/>
      <c r="Z77" s="353"/>
      <c r="AA77" s="351"/>
      <c r="AB77" s="354"/>
      <c r="AC77" s="354"/>
      <c r="AD77" s="354"/>
      <c r="AE77" s="353"/>
      <c r="AF77" s="352"/>
      <c r="AG77" s="354"/>
      <c r="AH77" s="354"/>
      <c r="AI77" s="1080"/>
      <c r="AJ77" s="1081"/>
      <c r="AK77" s="1426"/>
    </row>
    <row r="78" spans="2:37" s="348" customFormat="1" ht="15.75" customHeight="1">
      <c r="B78" s="1082">
        <v>33</v>
      </c>
      <c r="C78" s="355"/>
      <c r="D78" s="355"/>
      <c r="E78" s="349"/>
      <c r="F78" s="355"/>
      <c r="G78" s="356"/>
      <c r="H78" s="350"/>
      <c r="I78" s="356"/>
      <c r="J78" s="1129"/>
      <c r="K78" s="1130"/>
      <c r="L78" s="1129"/>
      <c r="M78" s="357"/>
      <c r="N78" s="357"/>
      <c r="O78" s="357"/>
      <c r="P78" s="358"/>
      <c r="Q78" s="357"/>
      <c r="R78" s="359"/>
      <c r="S78" s="359"/>
      <c r="T78" s="359"/>
      <c r="U78" s="358"/>
      <c r="V78" s="351"/>
      <c r="W78" s="354"/>
      <c r="X78" s="354"/>
      <c r="Y78" s="354"/>
      <c r="Z78" s="353"/>
      <c r="AA78" s="351"/>
      <c r="AB78" s="354"/>
      <c r="AC78" s="354"/>
      <c r="AD78" s="354"/>
      <c r="AE78" s="353"/>
      <c r="AF78" s="352"/>
      <c r="AG78" s="354"/>
      <c r="AH78" s="354"/>
      <c r="AI78" s="1080"/>
      <c r="AJ78" s="1081"/>
      <c r="AK78" s="1426"/>
    </row>
    <row r="79" spans="2:37" s="348" customFormat="1" ht="15.75" customHeight="1">
      <c r="B79" s="1082">
        <v>34</v>
      </c>
      <c r="C79" s="355"/>
      <c r="D79" s="355"/>
      <c r="E79" s="349"/>
      <c r="F79" s="355"/>
      <c r="G79" s="356"/>
      <c r="H79" s="350"/>
      <c r="I79" s="356"/>
      <c r="J79" s="1129"/>
      <c r="K79" s="1130"/>
      <c r="L79" s="1129"/>
      <c r="M79" s="357"/>
      <c r="N79" s="357"/>
      <c r="O79" s="357"/>
      <c r="P79" s="358"/>
      <c r="Q79" s="357"/>
      <c r="R79" s="359"/>
      <c r="S79" s="359"/>
      <c r="T79" s="359"/>
      <c r="U79" s="358"/>
      <c r="V79" s="351"/>
      <c r="W79" s="354"/>
      <c r="X79" s="354"/>
      <c r="Y79" s="354"/>
      <c r="Z79" s="353"/>
      <c r="AA79" s="351"/>
      <c r="AB79" s="354"/>
      <c r="AC79" s="354"/>
      <c r="AD79" s="354"/>
      <c r="AE79" s="353"/>
      <c r="AF79" s="352"/>
      <c r="AG79" s="354"/>
      <c r="AH79" s="354"/>
      <c r="AI79" s="1080"/>
      <c r="AJ79" s="1081"/>
      <c r="AK79" s="1426"/>
    </row>
    <row r="80" spans="2:37" s="348" customFormat="1" ht="15.75" customHeight="1">
      <c r="B80" s="1082">
        <v>35</v>
      </c>
      <c r="C80" s="355"/>
      <c r="D80" s="355"/>
      <c r="E80" s="349"/>
      <c r="F80" s="355"/>
      <c r="G80" s="356"/>
      <c r="H80" s="350"/>
      <c r="I80" s="356"/>
      <c r="J80" s="1129"/>
      <c r="K80" s="1130"/>
      <c r="L80" s="1129"/>
      <c r="M80" s="357"/>
      <c r="N80" s="357"/>
      <c r="O80" s="357"/>
      <c r="P80" s="358"/>
      <c r="Q80" s="357"/>
      <c r="R80" s="359"/>
      <c r="S80" s="359"/>
      <c r="T80" s="359"/>
      <c r="U80" s="358"/>
      <c r="V80" s="351"/>
      <c r="W80" s="354"/>
      <c r="X80" s="354"/>
      <c r="Y80" s="354"/>
      <c r="Z80" s="353"/>
      <c r="AA80" s="351"/>
      <c r="AB80" s="354"/>
      <c r="AC80" s="354"/>
      <c r="AD80" s="354"/>
      <c r="AE80" s="353"/>
      <c r="AF80" s="352"/>
      <c r="AG80" s="354"/>
      <c r="AH80" s="354"/>
      <c r="AI80" s="1080"/>
      <c r="AJ80" s="1081"/>
      <c r="AK80" s="1426"/>
    </row>
    <row r="81" spans="2:37" s="348" customFormat="1" ht="15.75" customHeight="1">
      <c r="B81" s="1082">
        <v>36</v>
      </c>
      <c r="C81" s="355"/>
      <c r="D81" s="355"/>
      <c r="E81" s="349"/>
      <c r="F81" s="355"/>
      <c r="G81" s="356"/>
      <c r="H81" s="350"/>
      <c r="I81" s="356"/>
      <c r="J81" s="1129"/>
      <c r="K81" s="1130"/>
      <c r="L81" s="1129"/>
      <c r="M81" s="357"/>
      <c r="N81" s="357"/>
      <c r="O81" s="357"/>
      <c r="P81" s="358"/>
      <c r="Q81" s="357"/>
      <c r="R81" s="359"/>
      <c r="S81" s="359"/>
      <c r="T81" s="359"/>
      <c r="U81" s="358"/>
      <c r="V81" s="351"/>
      <c r="W81" s="354"/>
      <c r="X81" s="354"/>
      <c r="Y81" s="354"/>
      <c r="Z81" s="353"/>
      <c r="AA81" s="351"/>
      <c r="AB81" s="354"/>
      <c r="AC81" s="354"/>
      <c r="AD81" s="354"/>
      <c r="AE81" s="353"/>
      <c r="AF81" s="352"/>
      <c r="AG81" s="354"/>
      <c r="AH81" s="354"/>
      <c r="AI81" s="1080"/>
      <c r="AJ81" s="1081"/>
      <c r="AK81" s="1426"/>
    </row>
    <row r="82" spans="2:37" s="348" customFormat="1" ht="15.75" customHeight="1">
      <c r="B82" s="1082">
        <v>37</v>
      </c>
      <c r="C82" s="355"/>
      <c r="D82" s="355"/>
      <c r="E82" s="349"/>
      <c r="F82" s="355"/>
      <c r="G82" s="356"/>
      <c r="H82" s="350"/>
      <c r="I82" s="356"/>
      <c r="J82" s="1129"/>
      <c r="K82" s="1130"/>
      <c r="L82" s="1129"/>
      <c r="M82" s="357"/>
      <c r="N82" s="357"/>
      <c r="O82" s="357"/>
      <c r="P82" s="358"/>
      <c r="Q82" s="357"/>
      <c r="R82" s="359"/>
      <c r="S82" s="359"/>
      <c r="T82" s="359"/>
      <c r="U82" s="358"/>
      <c r="V82" s="351"/>
      <c r="W82" s="354"/>
      <c r="X82" s="354"/>
      <c r="Y82" s="354"/>
      <c r="Z82" s="353"/>
      <c r="AA82" s="351"/>
      <c r="AB82" s="354"/>
      <c r="AC82" s="354"/>
      <c r="AD82" s="354"/>
      <c r="AE82" s="353"/>
      <c r="AF82" s="352"/>
      <c r="AG82" s="354"/>
      <c r="AH82" s="354"/>
      <c r="AI82" s="1080"/>
      <c r="AJ82" s="1081"/>
      <c r="AK82" s="1426"/>
    </row>
    <row r="83" spans="2:37" s="348" customFormat="1" ht="15.75" customHeight="1">
      <c r="B83" s="1082">
        <v>38</v>
      </c>
      <c r="C83" s="355"/>
      <c r="D83" s="355"/>
      <c r="E83" s="349"/>
      <c r="F83" s="355"/>
      <c r="G83" s="356"/>
      <c r="H83" s="350"/>
      <c r="I83" s="356"/>
      <c r="J83" s="1129"/>
      <c r="K83" s="1130"/>
      <c r="L83" s="1129"/>
      <c r="M83" s="357"/>
      <c r="N83" s="357"/>
      <c r="O83" s="357"/>
      <c r="P83" s="358"/>
      <c r="Q83" s="357"/>
      <c r="R83" s="359"/>
      <c r="S83" s="359"/>
      <c r="T83" s="359"/>
      <c r="U83" s="358"/>
      <c r="V83" s="351"/>
      <c r="W83" s="354"/>
      <c r="X83" s="354"/>
      <c r="Y83" s="354"/>
      <c r="Z83" s="353"/>
      <c r="AA83" s="351"/>
      <c r="AB83" s="354"/>
      <c r="AC83" s="354"/>
      <c r="AD83" s="354"/>
      <c r="AE83" s="353"/>
      <c r="AF83" s="352"/>
      <c r="AG83" s="354"/>
      <c r="AH83" s="354"/>
      <c r="AI83" s="1080"/>
      <c r="AJ83" s="1081"/>
      <c r="AK83" s="1426"/>
    </row>
    <row r="84" spans="2:37" s="348" customFormat="1" ht="15.75" customHeight="1">
      <c r="B84" s="1082">
        <v>39</v>
      </c>
      <c r="C84" s="355"/>
      <c r="D84" s="355"/>
      <c r="E84" s="349"/>
      <c r="F84" s="355"/>
      <c r="G84" s="356"/>
      <c r="H84" s="350"/>
      <c r="I84" s="356"/>
      <c r="J84" s="1129"/>
      <c r="K84" s="1130"/>
      <c r="L84" s="1129"/>
      <c r="M84" s="357"/>
      <c r="N84" s="357"/>
      <c r="O84" s="357"/>
      <c r="P84" s="358"/>
      <c r="Q84" s="357"/>
      <c r="R84" s="359"/>
      <c r="S84" s="359"/>
      <c r="T84" s="359"/>
      <c r="U84" s="358"/>
      <c r="V84" s="351"/>
      <c r="W84" s="354"/>
      <c r="X84" s="354"/>
      <c r="Y84" s="354"/>
      <c r="Z84" s="353"/>
      <c r="AA84" s="351"/>
      <c r="AB84" s="354"/>
      <c r="AC84" s="354"/>
      <c r="AD84" s="354"/>
      <c r="AE84" s="353"/>
      <c r="AF84" s="352"/>
      <c r="AG84" s="354"/>
      <c r="AH84" s="354"/>
      <c r="AI84" s="1080"/>
      <c r="AJ84" s="1081"/>
      <c r="AK84" s="1426"/>
    </row>
    <row r="85" spans="2:37" s="348" customFormat="1" ht="15.75" customHeight="1">
      <c r="B85" s="1082">
        <v>40</v>
      </c>
      <c r="C85" s="355"/>
      <c r="D85" s="355"/>
      <c r="E85" s="349"/>
      <c r="F85" s="355"/>
      <c r="G85" s="356"/>
      <c r="H85" s="350"/>
      <c r="I85" s="356"/>
      <c r="J85" s="1129"/>
      <c r="K85" s="1130"/>
      <c r="L85" s="1129"/>
      <c r="M85" s="357"/>
      <c r="N85" s="357"/>
      <c r="O85" s="357"/>
      <c r="P85" s="358"/>
      <c r="Q85" s="357"/>
      <c r="R85" s="359"/>
      <c r="S85" s="359"/>
      <c r="T85" s="359"/>
      <c r="U85" s="358"/>
      <c r="V85" s="351"/>
      <c r="W85" s="354"/>
      <c r="X85" s="354"/>
      <c r="Y85" s="354"/>
      <c r="Z85" s="353"/>
      <c r="AA85" s="351"/>
      <c r="AB85" s="354"/>
      <c r="AC85" s="354"/>
      <c r="AD85" s="354"/>
      <c r="AE85" s="353"/>
      <c r="AF85" s="352"/>
      <c r="AG85" s="354"/>
      <c r="AH85" s="354"/>
      <c r="AI85" s="1080"/>
      <c r="AJ85" s="1081"/>
      <c r="AK85" s="1426"/>
    </row>
    <row r="86" spans="2:37" s="348" customFormat="1" ht="15.75" customHeight="1">
      <c r="B86" s="1082">
        <v>41</v>
      </c>
      <c r="C86" s="355"/>
      <c r="D86" s="355"/>
      <c r="E86" s="349"/>
      <c r="F86" s="355"/>
      <c r="G86" s="356"/>
      <c r="H86" s="350"/>
      <c r="I86" s="356"/>
      <c r="J86" s="1129"/>
      <c r="K86" s="1130"/>
      <c r="L86" s="1129"/>
      <c r="M86" s="357"/>
      <c r="N86" s="357"/>
      <c r="O86" s="357"/>
      <c r="P86" s="358"/>
      <c r="Q86" s="357"/>
      <c r="R86" s="359"/>
      <c r="S86" s="359"/>
      <c r="T86" s="359"/>
      <c r="U86" s="358"/>
      <c r="V86" s="351"/>
      <c r="W86" s="354"/>
      <c r="X86" s="354"/>
      <c r="Y86" s="354"/>
      <c r="Z86" s="353"/>
      <c r="AA86" s="351"/>
      <c r="AB86" s="354"/>
      <c r="AC86" s="354"/>
      <c r="AD86" s="354"/>
      <c r="AE86" s="353"/>
      <c r="AF86" s="352"/>
      <c r="AG86" s="354"/>
      <c r="AH86" s="354"/>
      <c r="AI86" s="1080"/>
      <c r="AJ86" s="1081"/>
      <c r="AK86" s="1426"/>
    </row>
    <row r="87" spans="2:37" s="348" customFormat="1" ht="15.75" customHeight="1">
      <c r="B87" s="1082">
        <v>42</v>
      </c>
      <c r="C87" s="355"/>
      <c r="D87" s="355"/>
      <c r="E87" s="349"/>
      <c r="F87" s="355"/>
      <c r="G87" s="356"/>
      <c r="H87" s="350"/>
      <c r="I87" s="356"/>
      <c r="J87" s="1129"/>
      <c r="K87" s="1130"/>
      <c r="L87" s="1129"/>
      <c r="M87" s="357"/>
      <c r="N87" s="357"/>
      <c r="O87" s="357"/>
      <c r="P87" s="358"/>
      <c r="Q87" s="357"/>
      <c r="R87" s="359"/>
      <c r="S87" s="359"/>
      <c r="T87" s="359"/>
      <c r="U87" s="358"/>
      <c r="V87" s="351"/>
      <c r="W87" s="354"/>
      <c r="X87" s="354"/>
      <c r="Y87" s="354"/>
      <c r="Z87" s="353"/>
      <c r="AA87" s="351"/>
      <c r="AB87" s="354"/>
      <c r="AC87" s="354"/>
      <c r="AD87" s="354"/>
      <c r="AE87" s="353"/>
      <c r="AF87" s="352"/>
      <c r="AG87" s="354"/>
      <c r="AH87" s="354"/>
      <c r="AI87" s="1080"/>
      <c r="AJ87" s="1081"/>
      <c r="AK87" s="1426"/>
    </row>
    <row r="88" spans="2:37" s="348" customFormat="1" ht="15.75" customHeight="1">
      <c r="B88" s="1082">
        <v>43</v>
      </c>
      <c r="C88" s="355"/>
      <c r="D88" s="355"/>
      <c r="E88" s="349"/>
      <c r="F88" s="355"/>
      <c r="G88" s="356"/>
      <c r="H88" s="350"/>
      <c r="I88" s="356"/>
      <c r="J88" s="1129"/>
      <c r="K88" s="1130"/>
      <c r="L88" s="1129"/>
      <c r="M88" s="357"/>
      <c r="N88" s="357"/>
      <c r="O88" s="357"/>
      <c r="P88" s="358"/>
      <c r="Q88" s="357"/>
      <c r="R88" s="359"/>
      <c r="S88" s="359"/>
      <c r="T88" s="359"/>
      <c r="U88" s="358"/>
      <c r="V88" s="351"/>
      <c r="W88" s="354"/>
      <c r="X88" s="354"/>
      <c r="Y88" s="354"/>
      <c r="Z88" s="353"/>
      <c r="AA88" s="351"/>
      <c r="AB88" s="354"/>
      <c r="AC88" s="354"/>
      <c r="AD88" s="354"/>
      <c r="AE88" s="353"/>
      <c r="AF88" s="352"/>
      <c r="AG88" s="354"/>
      <c r="AH88" s="354"/>
      <c r="AI88" s="1080"/>
      <c r="AJ88" s="1081"/>
      <c r="AK88" s="1426"/>
    </row>
    <row r="89" spans="2:37" s="348" customFormat="1" ht="15.75" customHeight="1">
      <c r="B89" s="1082">
        <v>44</v>
      </c>
      <c r="C89" s="355"/>
      <c r="D89" s="355"/>
      <c r="E89" s="349"/>
      <c r="F89" s="355"/>
      <c r="G89" s="356"/>
      <c r="H89" s="350"/>
      <c r="I89" s="356"/>
      <c r="J89" s="1129"/>
      <c r="K89" s="1130"/>
      <c r="L89" s="1129"/>
      <c r="M89" s="357"/>
      <c r="N89" s="357"/>
      <c r="O89" s="357"/>
      <c r="P89" s="358"/>
      <c r="Q89" s="357"/>
      <c r="R89" s="359"/>
      <c r="S89" s="359"/>
      <c r="T89" s="359"/>
      <c r="U89" s="358"/>
      <c r="V89" s="351"/>
      <c r="W89" s="354"/>
      <c r="X89" s="354"/>
      <c r="Y89" s="354"/>
      <c r="Z89" s="353"/>
      <c r="AA89" s="351"/>
      <c r="AB89" s="354"/>
      <c r="AC89" s="354"/>
      <c r="AD89" s="354"/>
      <c r="AE89" s="353"/>
      <c r="AF89" s="352"/>
      <c r="AG89" s="354"/>
      <c r="AH89" s="354"/>
      <c r="AI89" s="1080"/>
      <c r="AJ89" s="1081"/>
      <c r="AK89" s="1426"/>
    </row>
    <row r="90" spans="2:37" s="348" customFormat="1" ht="15.75" customHeight="1">
      <c r="B90" s="1082">
        <v>45</v>
      </c>
      <c r="C90" s="355"/>
      <c r="D90" s="355"/>
      <c r="E90" s="349"/>
      <c r="F90" s="355"/>
      <c r="G90" s="356"/>
      <c r="H90" s="350"/>
      <c r="I90" s="356"/>
      <c r="J90" s="1129"/>
      <c r="K90" s="1130"/>
      <c r="L90" s="1129"/>
      <c r="M90" s="357"/>
      <c r="N90" s="357"/>
      <c r="O90" s="357"/>
      <c r="P90" s="358"/>
      <c r="Q90" s="357"/>
      <c r="R90" s="359"/>
      <c r="S90" s="359"/>
      <c r="T90" s="359"/>
      <c r="U90" s="358"/>
      <c r="V90" s="351"/>
      <c r="W90" s="354"/>
      <c r="X90" s="354"/>
      <c r="Y90" s="354"/>
      <c r="Z90" s="353"/>
      <c r="AA90" s="351"/>
      <c r="AB90" s="354"/>
      <c r="AC90" s="354"/>
      <c r="AD90" s="354"/>
      <c r="AE90" s="353"/>
      <c r="AF90" s="352"/>
      <c r="AG90" s="354"/>
      <c r="AH90" s="354"/>
      <c r="AI90" s="1080"/>
      <c r="AJ90" s="1081"/>
      <c r="AK90" s="1426"/>
    </row>
    <row r="91" spans="2:37" s="348" customFormat="1" ht="15.75" customHeight="1">
      <c r="B91" s="1082">
        <v>46</v>
      </c>
      <c r="C91" s="355"/>
      <c r="D91" s="355"/>
      <c r="E91" s="349"/>
      <c r="F91" s="355"/>
      <c r="G91" s="356"/>
      <c r="H91" s="350"/>
      <c r="I91" s="356"/>
      <c r="J91" s="1129"/>
      <c r="K91" s="1130"/>
      <c r="L91" s="1129"/>
      <c r="M91" s="357"/>
      <c r="N91" s="357"/>
      <c r="O91" s="357"/>
      <c r="P91" s="358"/>
      <c r="Q91" s="357"/>
      <c r="R91" s="359"/>
      <c r="S91" s="359"/>
      <c r="T91" s="359"/>
      <c r="U91" s="358"/>
      <c r="V91" s="351"/>
      <c r="W91" s="354"/>
      <c r="X91" s="354"/>
      <c r="Y91" s="354"/>
      <c r="Z91" s="353"/>
      <c r="AA91" s="351"/>
      <c r="AB91" s="354"/>
      <c r="AC91" s="354"/>
      <c r="AD91" s="354"/>
      <c r="AE91" s="353"/>
      <c r="AF91" s="352"/>
      <c r="AG91" s="354"/>
      <c r="AH91" s="354"/>
      <c r="AI91" s="1080"/>
      <c r="AJ91" s="1081"/>
      <c r="AK91" s="1426"/>
    </row>
    <row r="92" spans="2:37" s="348" customFormat="1" ht="15.75" customHeight="1">
      <c r="B92" s="1082">
        <v>47</v>
      </c>
      <c r="C92" s="355"/>
      <c r="D92" s="355"/>
      <c r="E92" s="349"/>
      <c r="F92" s="355"/>
      <c r="G92" s="356"/>
      <c r="H92" s="350"/>
      <c r="I92" s="356"/>
      <c r="J92" s="1129"/>
      <c r="K92" s="1130"/>
      <c r="L92" s="1129"/>
      <c r="M92" s="357"/>
      <c r="N92" s="357"/>
      <c r="O92" s="357"/>
      <c r="P92" s="358"/>
      <c r="Q92" s="357"/>
      <c r="R92" s="359"/>
      <c r="S92" s="359"/>
      <c r="T92" s="359"/>
      <c r="U92" s="358"/>
      <c r="V92" s="351"/>
      <c r="W92" s="354"/>
      <c r="X92" s="354"/>
      <c r="Y92" s="354"/>
      <c r="Z92" s="353"/>
      <c r="AA92" s="351"/>
      <c r="AB92" s="354"/>
      <c r="AC92" s="354"/>
      <c r="AD92" s="354"/>
      <c r="AE92" s="353"/>
      <c r="AF92" s="352"/>
      <c r="AG92" s="354"/>
      <c r="AH92" s="354"/>
      <c r="AI92" s="1080"/>
      <c r="AJ92" s="1081"/>
      <c r="AK92" s="1426"/>
    </row>
    <row r="93" spans="2:37" s="348" customFormat="1" ht="15.75" customHeight="1">
      <c r="B93" s="1082">
        <v>48</v>
      </c>
      <c r="C93" s="355"/>
      <c r="D93" s="355"/>
      <c r="E93" s="349"/>
      <c r="F93" s="355"/>
      <c r="G93" s="356"/>
      <c r="H93" s="350"/>
      <c r="I93" s="356"/>
      <c r="J93" s="1129"/>
      <c r="K93" s="1130"/>
      <c r="L93" s="1129"/>
      <c r="M93" s="357"/>
      <c r="N93" s="357"/>
      <c r="O93" s="357"/>
      <c r="P93" s="358"/>
      <c r="Q93" s="357"/>
      <c r="R93" s="359"/>
      <c r="S93" s="359"/>
      <c r="T93" s="359"/>
      <c r="U93" s="358"/>
      <c r="V93" s="351"/>
      <c r="W93" s="354"/>
      <c r="X93" s="354"/>
      <c r="Y93" s="354"/>
      <c r="Z93" s="353"/>
      <c r="AA93" s="351"/>
      <c r="AB93" s="354"/>
      <c r="AC93" s="354"/>
      <c r="AD93" s="354"/>
      <c r="AE93" s="353"/>
      <c r="AF93" s="352"/>
      <c r="AG93" s="354"/>
      <c r="AH93" s="354"/>
      <c r="AI93" s="1080"/>
      <c r="AJ93" s="1081"/>
      <c r="AK93" s="1426"/>
    </row>
    <row r="94" spans="2:37" s="348" customFormat="1" ht="15.75" customHeight="1">
      <c r="B94" s="1082">
        <v>49</v>
      </c>
      <c r="C94" s="355"/>
      <c r="D94" s="355"/>
      <c r="E94" s="349"/>
      <c r="F94" s="355"/>
      <c r="G94" s="356"/>
      <c r="H94" s="350"/>
      <c r="I94" s="356"/>
      <c r="J94" s="1129"/>
      <c r="K94" s="1130"/>
      <c r="L94" s="1129"/>
      <c r="M94" s="357"/>
      <c r="N94" s="357"/>
      <c r="O94" s="357"/>
      <c r="P94" s="358"/>
      <c r="Q94" s="357"/>
      <c r="R94" s="359"/>
      <c r="S94" s="359"/>
      <c r="T94" s="359"/>
      <c r="U94" s="358"/>
      <c r="V94" s="351"/>
      <c r="W94" s="354"/>
      <c r="X94" s="354"/>
      <c r="Y94" s="354"/>
      <c r="Z94" s="353"/>
      <c r="AA94" s="351"/>
      <c r="AB94" s="354"/>
      <c r="AC94" s="354"/>
      <c r="AD94" s="354"/>
      <c r="AE94" s="353"/>
      <c r="AF94" s="352"/>
      <c r="AG94" s="354"/>
      <c r="AH94" s="354"/>
      <c r="AI94" s="1080"/>
      <c r="AJ94" s="1081"/>
      <c r="AK94" s="1426"/>
    </row>
    <row r="95" spans="2:37" s="348" customFormat="1" ht="15.75" customHeight="1">
      <c r="B95" s="1082">
        <v>50</v>
      </c>
      <c r="C95" s="355"/>
      <c r="D95" s="355"/>
      <c r="E95" s="349"/>
      <c r="F95" s="355"/>
      <c r="G95" s="356"/>
      <c r="H95" s="350"/>
      <c r="I95" s="356"/>
      <c r="J95" s="1129"/>
      <c r="K95" s="1130"/>
      <c r="L95" s="1129"/>
      <c r="M95" s="357"/>
      <c r="N95" s="357"/>
      <c r="O95" s="357"/>
      <c r="P95" s="358"/>
      <c r="Q95" s="357"/>
      <c r="R95" s="359"/>
      <c r="S95" s="359"/>
      <c r="T95" s="359"/>
      <c r="U95" s="358"/>
      <c r="V95" s="351"/>
      <c r="W95" s="354"/>
      <c r="X95" s="354"/>
      <c r="Y95" s="354"/>
      <c r="Z95" s="353"/>
      <c r="AA95" s="351"/>
      <c r="AB95" s="354"/>
      <c r="AC95" s="354"/>
      <c r="AD95" s="354"/>
      <c r="AE95" s="353"/>
      <c r="AF95" s="352"/>
      <c r="AG95" s="354"/>
      <c r="AH95" s="354"/>
      <c r="AI95" s="1080"/>
      <c r="AJ95" s="1081"/>
      <c r="AK95" s="1426"/>
    </row>
    <row r="96" spans="2:37" s="348" customFormat="1" ht="15.75" customHeight="1">
      <c r="B96" s="1082">
        <v>51</v>
      </c>
      <c r="C96" s="355"/>
      <c r="D96" s="355"/>
      <c r="E96" s="349"/>
      <c r="F96" s="355"/>
      <c r="G96" s="356"/>
      <c r="H96" s="350"/>
      <c r="I96" s="356"/>
      <c r="J96" s="1129"/>
      <c r="K96" s="1130"/>
      <c r="L96" s="1129"/>
      <c r="M96" s="357"/>
      <c r="N96" s="357"/>
      <c r="O96" s="357"/>
      <c r="P96" s="358"/>
      <c r="Q96" s="357"/>
      <c r="R96" s="359"/>
      <c r="S96" s="359"/>
      <c r="T96" s="359"/>
      <c r="U96" s="358"/>
      <c r="V96" s="351"/>
      <c r="W96" s="354"/>
      <c r="X96" s="354"/>
      <c r="Y96" s="354"/>
      <c r="Z96" s="353"/>
      <c r="AA96" s="351"/>
      <c r="AB96" s="354"/>
      <c r="AC96" s="354"/>
      <c r="AD96" s="354"/>
      <c r="AE96" s="353"/>
      <c r="AF96" s="352"/>
      <c r="AG96" s="354"/>
      <c r="AH96" s="354"/>
      <c r="AI96" s="1080"/>
      <c r="AJ96" s="1081"/>
      <c r="AK96" s="1426"/>
    </row>
    <row r="97" spans="2:37" s="348" customFormat="1" ht="15.75" customHeight="1" thickBot="1">
      <c r="B97" s="1082">
        <v>52</v>
      </c>
      <c r="C97" s="355"/>
      <c r="D97" s="355"/>
      <c r="E97" s="355"/>
      <c r="F97" s="355"/>
      <c r="G97" s="356"/>
      <c r="H97" s="356"/>
      <c r="I97" s="356"/>
      <c r="J97" s="1129"/>
      <c r="K97" s="1130"/>
      <c r="L97" s="1129"/>
      <c r="M97" s="357"/>
      <c r="N97" s="357"/>
      <c r="O97" s="357"/>
      <c r="P97" s="358"/>
      <c r="Q97" s="357"/>
      <c r="R97" s="359"/>
      <c r="S97" s="359"/>
      <c r="T97" s="359"/>
      <c r="U97" s="358"/>
      <c r="V97" s="1083"/>
      <c r="W97" s="1084"/>
      <c r="X97" s="1084"/>
      <c r="Y97" s="1084"/>
      <c r="Z97" s="1085"/>
      <c r="AA97" s="1083"/>
      <c r="AB97" s="1084"/>
      <c r="AC97" s="1084"/>
      <c r="AD97" s="1084"/>
      <c r="AE97" s="1085"/>
      <c r="AF97" s="352"/>
      <c r="AG97" s="354"/>
      <c r="AH97" s="354"/>
      <c r="AI97" s="1080"/>
      <c r="AJ97" s="1081"/>
      <c r="AK97" s="1426"/>
    </row>
    <row r="98" spans="2:37" s="348" customFormat="1" ht="15.75" customHeight="1">
      <c r="B98" s="1082">
        <v>53</v>
      </c>
      <c r="C98" s="355"/>
      <c r="D98" s="355"/>
      <c r="E98" s="349"/>
      <c r="F98" s="355"/>
      <c r="G98" s="356"/>
      <c r="H98" s="350"/>
      <c r="I98" s="356"/>
      <c r="J98" s="1129"/>
      <c r="K98" s="1130"/>
      <c r="L98" s="1129"/>
      <c r="M98" s="357"/>
      <c r="N98" s="357"/>
      <c r="O98" s="357"/>
      <c r="P98" s="358"/>
      <c r="Q98" s="357"/>
      <c r="R98" s="359"/>
      <c r="S98" s="359"/>
      <c r="T98" s="359"/>
      <c r="U98" s="358"/>
      <c r="V98" s="351"/>
      <c r="W98" s="354"/>
      <c r="X98" s="354"/>
      <c r="Y98" s="354"/>
      <c r="Z98" s="353"/>
      <c r="AA98" s="351"/>
      <c r="AB98" s="354"/>
      <c r="AC98" s="354"/>
      <c r="AD98" s="354"/>
      <c r="AE98" s="353"/>
      <c r="AF98" s="352"/>
      <c r="AG98" s="354"/>
      <c r="AH98" s="354"/>
      <c r="AI98" s="1080"/>
      <c r="AJ98" s="1081"/>
      <c r="AK98" s="1426"/>
    </row>
    <row r="99" spans="2:37" s="348" customFormat="1" ht="15.75" customHeight="1">
      <c r="B99" s="1082">
        <v>54</v>
      </c>
      <c r="C99" s="355"/>
      <c r="D99" s="355"/>
      <c r="E99" s="349"/>
      <c r="F99" s="355"/>
      <c r="G99" s="356"/>
      <c r="H99" s="350"/>
      <c r="I99" s="356"/>
      <c r="J99" s="1129"/>
      <c r="K99" s="1130"/>
      <c r="L99" s="1129"/>
      <c r="M99" s="357"/>
      <c r="N99" s="357"/>
      <c r="O99" s="357"/>
      <c r="P99" s="358"/>
      <c r="Q99" s="357"/>
      <c r="R99" s="359"/>
      <c r="S99" s="359"/>
      <c r="T99" s="359"/>
      <c r="U99" s="358"/>
      <c r="V99" s="351"/>
      <c r="W99" s="354"/>
      <c r="X99" s="354"/>
      <c r="Y99" s="354"/>
      <c r="Z99" s="353"/>
      <c r="AA99" s="351"/>
      <c r="AB99" s="354"/>
      <c r="AC99" s="354"/>
      <c r="AD99" s="354"/>
      <c r="AE99" s="353"/>
      <c r="AF99" s="352"/>
      <c r="AG99" s="354"/>
      <c r="AH99" s="354"/>
      <c r="AI99" s="1080"/>
      <c r="AJ99" s="1081"/>
      <c r="AK99" s="1426"/>
    </row>
    <row r="100" spans="2:37" s="348" customFormat="1" ht="15.75" customHeight="1">
      <c r="B100" s="1082">
        <v>55</v>
      </c>
      <c r="C100" s="355"/>
      <c r="D100" s="355"/>
      <c r="E100" s="349"/>
      <c r="F100" s="355"/>
      <c r="G100" s="356"/>
      <c r="H100" s="350"/>
      <c r="I100" s="356"/>
      <c r="J100" s="1129"/>
      <c r="K100" s="1130"/>
      <c r="L100" s="1129"/>
      <c r="M100" s="357"/>
      <c r="N100" s="357"/>
      <c r="O100" s="357"/>
      <c r="P100" s="358"/>
      <c r="Q100" s="357"/>
      <c r="R100" s="359"/>
      <c r="S100" s="359"/>
      <c r="T100" s="359"/>
      <c r="U100" s="358"/>
      <c r="V100" s="351"/>
      <c r="W100" s="354"/>
      <c r="X100" s="354"/>
      <c r="Y100" s="354"/>
      <c r="Z100" s="353"/>
      <c r="AA100" s="351"/>
      <c r="AB100" s="354"/>
      <c r="AC100" s="354"/>
      <c r="AD100" s="354"/>
      <c r="AE100" s="353"/>
      <c r="AF100" s="352"/>
      <c r="AG100" s="354"/>
      <c r="AH100" s="354"/>
      <c r="AI100" s="1080"/>
      <c r="AJ100" s="1081"/>
      <c r="AK100" s="1426"/>
    </row>
    <row r="101" spans="2:37" s="348" customFormat="1" ht="15.75" customHeight="1">
      <c r="B101" s="1082">
        <v>56</v>
      </c>
      <c r="C101" s="355"/>
      <c r="D101" s="355"/>
      <c r="E101" s="349"/>
      <c r="F101" s="355"/>
      <c r="G101" s="356"/>
      <c r="H101" s="350"/>
      <c r="I101" s="356"/>
      <c r="J101" s="1129"/>
      <c r="K101" s="1130"/>
      <c r="L101" s="1129"/>
      <c r="M101" s="357"/>
      <c r="N101" s="357"/>
      <c r="O101" s="357"/>
      <c r="P101" s="358"/>
      <c r="Q101" s="357"/>
      <c r="R101" s="359"/>
      <c r="S101" s="359"/>
      <c r="T101" s="359"/>
      <c r="U101" s="358"/>
      <c r="V101" s="351"/>
      <c r="W101" s="354"/>
      <c r="X101" s="354"/>
      <c r="Y101" s="354"/>
      <c r="Z101" s="353"/>
      <c r="AA101" s="351"/>
      <c r="AB101" s="354"/>
      <c r="AC101" s="354"/>
      <c r="AD101" s="354"/>
      <c r="AE101" s="353"/>
      <c r="AF101" s="352"/>
      <c r="AG101" s="354"/>
      <c r="AH101" s="354"/>
      <c r="AI101" s="1080"/>
      <c r="AJ101" s="1081"/>
      <c r="AK101" s="1426"/>
    </row>
    <row r="102" spans="2:37" s="348" customFormat="1" ht="15.75" customHeight="1">
      <c r="B102" s="1082">
        <v>57</v>
      </c>
      <c r="C102" s="355"/>
      <c r="D102" s="355"/>
      <c r="E102" s="349"/>
      <c r="F102" s="355"/>
      <c r="G102" s="356"/>
      <c r="H102" s="350"/>
      <c r="I102" s="356"/>
      <c r="J102" s="1129"/>
      <c r="K102" s="1130"/>
      <c r="L102" s="1129"/>
      <c r="M102" s="357"/>
      <c r="N102" s="357"/>
      <c r="O102" s="357"/>
      <c r="P102" s="358"/>
      <c r="Q102" s="357"/>
      <c r="R102" s="359"/>
      <c r="S102" s="359"/>
      <c r="T102" s="359"/>
      <c r="U102" s="358"/>
      <c r="V102" s="351"/>
      <c r="W102" s="354"/>
      <c r="X102" s="354"/>
      <c r="Y102" s="354"/>
      <c r="Z102" s="353"/>
      <c r="AA102" s="351"/>
      <c r="AB102" s="354"/>
      <c r="AC102" s="354"/>
      <c r="AD102" s="354"/>
      <c r="AE102" s="353"/>
      <c r="AF102" s="352"/>
      <c r="AG102" s="354"/>
      <c r="AH102" s="354"/>
      <c r="AI102" s="1080"/>
      <c r="AJ102" s="1081"/>
      <c r="AK102" s="1426"/>
    </row>
    <row r="103" spans="2:37" s="348" customFormat="1" ht="15.75" customHeight="1">
      <c r="B103" s="1082">
        <v>58</v>
      </c>
      <c r="C103" s="355"/>
      <c r="D103" s="355"/>
      <c r="E103" s="349"/>
      <c r="F103" s="355"/>
      <c r="G103" s="356"/>
      <c r="H103" s="350"/>
      <c r="I103" s="356"/>
      <c r="J103" s="1129"/>
      <c r="K103" s="1130"/>
      <c r="L103" s="1129"/>
      <c r="M103" s="357"/>
      <c r="N103" s="357"/>
      <c r="O103" s="357"/>
      <c r="P103" s="358"/>
      <c r="Q103" s="357"/>
      <c r="R103" s="359"/>
      <c r="S103" s="359"/>
      <c r="T103" s="359"/>
      <c r="U103" s="358"/>
      <c r="V103" s="351"/>
      <c r="W103" s="354"/>
      <c r="X103" s="354"/>
      <c r="Y103" s="354"/>
      <c r="Z103" s="353"/>
      <c r="AA103" s="351"/>
      <c r="AB103" s="354"/>
      <c r="AC103" s="354"/>
      <c r="AD103" s="354"/>
      <c r="AE103" s="353"/>
      <c r="AF103" s="352"/>
      <c r="AG103" s="354"/>
      <c r="AH103" s="354"/>
      <c r="AI103" s="1080"/>
      <c r="AJ103" s="1081"/>
      <c r="AK103" s="1426"/>
    </row>
    <row r="104" spans="2:37" s="348" customFormat="1" ht="15.75" customHeight="1">
      <c r="B104" s="1082">
        <v>59</v>
      </c>
      <c r="C104" s="355"/>
      <c r="D104" s="355"/>
      <c r="E104" s="349"/>
      <c r="F104" s="355"/>
      <c r="G104" s="356"/>
      <c r="H104" s="350"/>
      <c r="I104" s="356"/>
      <c r="J104" s="1129"/>
      <c r="K104" s="1130"/>
      <c r="L104" s="1129"/>
      <c r="M104" s="357"/>
      <c r="N104" s="357"/>
      <c r="O104" s="357"/>
      <c r="P104" s="358"/>
      <c r="Q104" s="357"/>
      <c r="R104" s="359"/>
      <c r="S104" s="359"/>
      <c r="T104" s="359"/>
      <c r="U104" s="358"/>
      <c r="V104" s="351"/>
      <c r="W104" s="354"/>
      <c r="X104" s="354"/>
      <c r="Y104" s="354"/>
      <c r="Z104" s="353"/>
      <c r="AA104" s="351"/>
      <c r="AB104" s="354"/>
      <c r="AC104" s="354"/>
      <c r="AD104" s="354"/>
      <c r="AE104" s="353"/>
      <c r="AF104" s="352"/>
      <c r="AG104" s="354"/>
      <c r="AH104" s="354"/>
      <c r="AI104" s="1080"/>
      <c r="AJ104" s="1081"/>
      <c r="AK104" s="1426"/>
    </row>
    <row r="105" spans="2:37" s="348" customFormat="1" ht="15.75" customHeight="1">
      <c r="B105" s="1082">
        <v>60</v>
      </c>
      <c r="C105" s="355"/>
      <c r="D105" s="355"/>
      <c r="E105" s="349"/>
      <c r="F105" s="355"/>
      <c r="G105" s="356"/>
      <c r="H105" s="350"/>
      <c r="I105" s="356"/>
      <c r="J105" s="1129"/>
      <c r="K105" s="1130"/>
      <c r="L105" s="1129"/>
      <c r="M105" s="357"/>
      <c r="N105" s="357"/>
      <c r="O105" s="357"/>
      <c r="P105" s="358"/>
      <c r="Q105" s="357"/>
      <c r="R105" s="359"/>
      <c r="S105" s="359"/>
      <c r="T105" s="359"/>
      <c r="U105" s="358"/>
      <c r="V105" s="351"/>
      <c r="W105" s="354"/>
      <c r="X105" s="354"/>
      <c r="Y105" s="354"/>
      <c r="Z105" s="353"/>
      <c r="AA105" s="351"/>
      <c r="AB105" s="354"/>
      <c r="AC105" s="354"/>
      <c r="AD105" s="354"/>
      <c r="AE105" s="353"/>
      <c r="AF105" s="352"/>
      <c r="AG105" s="354"/>
      <c r="AH105" s="354"/>
      <c r="AI105" s="1080"/>
      <c r="AJ105" s="1081"/>
      <c r="AK105" s="1426"/>
    </row>
    <row r="106" spans="2:37" s="348" customFormat="1" ht="15.75" customHeight="1">
      <c r="B106" s="1082">
        <v>61</v>
      </c>
      <c r="C106" s="355"/>
      <c r="D106" s="355"/>
      <c r="E106" s="349"/>
      <c r="F106" s="355"/>
      <c r="G106" s="356"/>
      <c r="H106" s="350"/>
      <c r="I106" s="356"/>
      <c r="J106" s="1129"/>
      <c r="K106" s="1130"/>
      <c r="L106" s="1129"/>
      <c r="M106" s="357"/>
      <c r="N106" s="357"/>
      <c r="O106" s="357"/>
      <c r="P106" s="358"/>
      <c r="Q106" s="357"/>
      <c r="R106" s="359"/>
      <c r="S106" s="359"/>
      <c r="T106" s="359"/>
      <c r="U106" s="358"/>
      <c r="V106" s="351"/>
      <c r="W106" s="354"/>
      <c r="X106" s="354"/>
      <c r="Y106" s="354"/>
      <c r="Z106" s="353"/>
      <c r="AA106" s="351"/>
      <c r="AB106" s="354"/>
      <c r="AC106" s="354"/>
      <c r="AD106" s="354"/>
      <c r="AE106" s="353"/>
      <c r="AF106" s="352"/>
      <c r="AG106" s="354"/>
      <c r="AH106" s="354"/>
      <c r="AI106" s="1080"/>
      <c r="AJ106" s="1081"/>
      <c r="AK106" s="1426"/>
    </row>
    <row r="107" spans="2:37" s="348" customFormat="1" ht="15.75" customHeight="1">
      <c r="B107" s="1082">
        <v>62</v>
      </c>
      <c r="C107" s="355"/>
      <c r="D107" s="355"/>
      <c r="E107" s="349"/>
      <c r="F107" s="355"/>
      <c r="G107" s="356"/>
      <c r="H107" s="350"/>
      <c r="I107" s="356"/>
      <c r="J107" s="1129"/>
      <c r="K107" s="1130"/>
      <c r="L107" s="1129"/>
      <c r="M107" s="357"/>
      <c r="N107" s="357"/>
      <c r="O107" s="357"/>
      <c r="P107" s="358"/>
      <c r="Q107" s="357"/>
      <c r="R107" s="359"/>
      <c r="S107" s="359"/>
      <c r="T107" s="359"/>
      <c r="U107" s="358"/>
      <c r="V107" s="351"/>
      <c r="W107" s="354"/>
      <c r="X107" s="354"/>
      <c r="Y107" s="354"/>
      <c r="Z107" s="353"/>
      <c r="AA107" s="351"/>
      <c r="AB107" s="354"/>
      <c r="AC107" s="354"/>
      <c r="AD107" s="354"/>
      <c r="AE107" s="353"/>
      <c r="AF107" s="352"/>
      <c r="AG107" s="354"/>
      <c r="AH107" s="354"/>
      <c r="AI107" s="1080"/>
      <c r="AJ107" s="1081"/>
      <c r="AK107" s="1426"/>
    </row>
    <row r="108" spans="2:37" s="348" customFormat="1" ht="15.75" customHeight="1">
      <c r="B108" s="1082">
        <v>63</v>
      </c>
      <c r="C108" s="355"/>
      <c r="D108" s="355"/>
      <c r="E108" s="349"/>
      <c r="F108" s="355"/>
      <c r="G108" s="356"/>
      <c r="H108" s="350"/>
      <c r="I108" s="356"/>
      <c r="J108" s="1129"/>
      <c r="K108" s="1130"/>
      <c r="L108" s="1129"/>
      <c r="M108" s="357"/>
      <c r="N108" s="357"/>
      <c r="O108" s="357"/>
      <c r="P108" s="358"/>
      <c r="Q108" s="357"/>
      <c r="R108" s="359"/>
      <c r="S108" s="359"/>
      <c r="T108" s="359"/>
      <c r="U108" s="358"/>
      <c r="V108" s="351"/>
      <c r="W108" s="354"/>
      <c r="X108" s="354"/>
      <c r="Y108" s="354"/>
      <c r="Z108" s="353"/>
      <c r="AA108" s="351"/>
      <c r="AB108" s="354"/>
      <c r="AC108" s="354"/>
      <c r="AD108" s="354"/>
      <c r="AE108" s="353"/>
      <c r="AF108" s="352"/>
      <c r="AG108" s="354"/>
      <c r="AH108" s="354"/>
      <c r="AI108" s="1080"/>
      <c r="AJ108" s="1081"/>
      <c r="AK108" s="1426"/>
    </row>
    <row r="109" spans="2:37" ht="15.75" customHeight="1">
      <c r="B109" s="1082">
        <v>64</v>
      </c>
      <c r="C109" s="355"/>
      <c r="D109" s="355"/>
      <c r="E109" s="349"/>
      <c r="F109" s="355"/>
      <c r="G109" s="356"/>
      <c r="H109" s="350"/>
      <c r="I109" s="356"/>
      <c r="J109" s="1129"/>
      <c r="K109" s="1130"/>
      <c r="L109" s="1129"/>
      <c r="M109" s="357"/>
      <c r="N109" s="357"/>
      <c r="O109" s="357"/>
      <c r="P109" s="358"/>
      <c r="Q109" s="357"/>
      <c r="R109" s="359"/>
      <c r="S109" s="359"/>
      <c r="T109" s="359"/>
      <c r="U109" s="358"/>
      <c r="V109" s="351"/>
      <c r="W109" s="354"/>
      <c r="X109" s="354"/>
      <c r="Y109" s="354"/>
      <c r="Z109" s="353"/>
      <c r="AA109" s="351"/>
      <c r="AB109" s="354"/>
      <c r="AC109" s="354"/>
      <c r="AD109" s="354"/>
      <c r="AE109" s="353"/>
      <c r="AF109" s="352"/>
      <c r="AG109" s="354"/>
      <c r="AH109" s="354"/>
      <c r="AI109" s="1080"/>
      <c r="AJ109" s="1081"/>
      <c r="AK109" s="1426"/>
    </row>
    <row r="110" spans="2:37" ht="15.75" customHeight="1">
      <c r="B110" s="1082">
        <v>65</v>
      </c>
      <c r="C110" s="355"/>
      <c r="D110" s="355"/>
      <c r="E110" s="349"/>
      <c r="F110" s="355"/>
      <c r="G110" s="356"/>
      <c r="H110" s="350"/>
      <c r="I110" s="356"/>
      <c r="J110" s="1129"/>
      <c r="K110" s="1130"/>
      <c r="L110" s="1129"/>
      <c r="M110" s="357"/>
      <c r="N110" s="357"/>
      <c r="O110" s="357"/>
      <c r="P110" s="358"/>
      <c r="Q110" s="357"/>
      <c r="R110" s="359"/>
      <c r="S110" s="359"/>
      <c r="T110" s="359"/>
      <c r="U110" s="358"/>
      <c r="V110" s="351"/>
      <c r="W110" s="354"/>
      <c r="X110" s="354"/>
      <c r="Y110" s="354"/>
      <c r="Z110" s="353"/>
      <c r="AA110" s="351"/>
      <c r="AB110" s="354"/>
      <c r="AC110" s="354"/>
      <c r="AD110" s="354"/>
      <c r="AE110" s="353"/>
      <c r="AF110" s="352"/>
      <c r="AG110" s="354"/>
      <c r="AH110" s="354"/>
      <c r="AI110" s="1080"/>
      <c r="AJ110" s="1081"/>
      <c r="AK110" s="1426"/>
    </row>
    <row r="111" spans="2:37" ht="15.75" customHeight="1">
      <c r="B111" s="1082">
        <v>66</v>
      </c>
      <c r="C111" s="355"/>
      <c r="D111" s="355"/>
      <c r="E111" s="349"/>
      <c r="F111" s="355"/>
      <c r="G111" s="356"/>
      <c r="H111" s="350"/>
      <c r="I111" s="356"/>
      <c r="J111" s="1129"/>
      <c r="K111" s="1130"/>
      <c r="L111" s="1129"/>
      <c r="M111" s="357"/>
      <c r="N111" s="357"/>
      <c r="O111" s="357"/>
      <c r="P111" s="358"/>
      <c r="Q111" s="357"/>
      <c r="R111" s="359"/>
      <c r="S111" s="359"/>
      <c r="T111" s="359"/>
      <c r="U111" s="358"/>
      <c r="V111" s="351"/>
      <c r="W111" s="354"/>
      <c r="X111" s="354"/>
      <c r="Y111" s="354"/>
      <c r="Z111" s="353"/>
      <c r="AA111" s="351"/>
      <c r="AB111" s="354"/>
      <c r="AC111" s="354"/>
      <c r="AD111" s="354"/>
      <c r="AE111" s="353"/>
      <c r="AF111" s="352"/>
      <c r="AG111" s="354"/>
      <c r="AH111" s="354"/>
      <c r="AI111" s="1080"/>
      <c r="AJ111" s="1081"/>
      <c r="AK111" s="1426"/>
    </row>
    <row r="112" spans="2:37" ht="15.75" customHeight="1">
      <c r="B112" s="1082">
        <v>67</v>
      </c>
      <c r="C112" s="355"/>
      <c r="D112" s="355"/>
      <c r="E112" s="349"/>
      <c r="F112" s="355"/>
      <c r="G112" s="356"/>
      <c r="H112" s="350"/>
      <c r="I112" s="356"/>
      <c r="J112" s="1129"/>
      <c r="K112" s="1130"/>
      <c r="L112" s="1129"/>
      <c r="M112" s="357"/>
      <c r="N112" s="357"/>
      <c r="O112" s="357"/>
      <c r="P112" s="358"/>
      <c r="Q112" s="357"/>
      <c r="R112" s="359"/>
      <c r="S112" s="359"/>
      <c r="T112" s="359"/>
      <c r="U112" s="358"/>
      <c r="V112" s="351"/>
      <c r="W112" s="354"/>
      <c r="X112" s="354"/>
      <c r="Y112" s="354"/>
      <c r="Z112" s="353"/>
      <c r="AA112" s="351"/>
      <c r="AB112" s="354"/>
      <c r="AC112" s="354"/>
      <c r="AD112" s="354"/>
      <c r="AE112" s="353"/>
      <c r="AF112" s="352"/>
      <c r="AG112" s="354"/>
      <c r="AH112" s="354"/>
      <c r="AI112" s="1080"/>
      <c r="AJ112" s="1081"/>
      <c r="AK112" s="1426"/>
    </row>
    <row r="113" spans="2:37" ht="15.75" customHeight="1">
      <c r="B113" s="1082">
        <v>68</v>
      </c>
      <c r="C113" s="355"/>
      <c r="D113" s="355"/>
      <c r="E113" s="349"/>
      <c r="F113" s="355"/>
      <c r="G113" s="356"/>
      <c r="H113" s="350"/>
      <c r="I113" s="356"/>
      <c r="J113" s="1129"/>
      <c r="K113" s="1130"/>
      <c r="L113" s="1129"/>
      <c r="M113" s="357"/>
      <c r="N113" s="357"/>
      <c r="O113" s="357"/>
      <c r="P113" s="358"/>
      <c r="Q113" s="357"/>
      <c r="R113" s="359"/>
      <c r="S113" s="359"/>
      <c r="T113" s="359"/>
      <c r="U113" s="358"/>
      <c r="V113" s="351"/>
      <c r="W113" s="354"/>
      <c r="X113" s="354"/>
      <c r="Y113" s="354"/>
      <c r="Z113" s="353"/>
      <c r="AA113" s="351"/>
      <c r="AB113" s="354"/>
      <c r="AC113" s="354"/>
      <c r="AD113" s="354"/>
      <c r="AE113" s="353"/>
      <c r="AF113" s="352"/>
      <c r="AG113" s="354"/>
      <c r="AH113" s="354"/>
      <c r="AI113" s="1080"/>
      <c r="AJ113" s="1081"/>
      <c r="AK113" s="1426"/>
    </row>
    <row r="114" spans="2:37" ht="15.75" customHeight="1">
      <c r="B114" s="1082">
        <v>69</v>
      </c>
      <c r="C114" s="355"/>
      <c r="D114" s="355"/>
      <c r="E114" s="349"/>
      <c r="F114" s="355"/>
      <c r="G114" s="356"/>
      <c r="H114" s="350"/>
      <c r="I114" s="356"/>
      <c r="J114" s="1129"/>
      <c r="K114" s="1130"/>
      <c r="L114" s="1129"/>
      <c r="M114" s="357"/>
      <c r="N114" s="357"/>
      <c r="O114" s="357"/>
      <c r="P114" s="358"/>
      <c r="Q114" s="357"/>
      <c r="R114" s="359"/>
      <c r="S114" s="359"/>
      <c r="T114" s="359"/>
      <c r="U114" s="358"/>
      <c r="V114" s="351"/>
      <c r="W114" s="354"/>
      <c r="X114" s="354"/>
      <c r="Y114" s="354"/>
      <c r="Z114" s="353"/>
      <c r="AA114" s="351"/>
      <c r="AB114" s="354"/>
      <c r="AC114" s="354"/>
      <c r="AD114" s="354"/>
      <c r="AE114" s="353"/>
      <c r="AF114" s="352"/>
      <c r="AG114" s="354"/>
      <c r="AH114" s="354"/>
      <c r="AI114" s="1080"/>
      <c r="AJ114" s="1081"/>
      <c r="AK114" s="1426"/>
    </row>
    <row r="115" spans="2:37" ht="15.75" customHeight="1">
      <c r="B115" s="1082">
        <v>70</v>
      </c>
      <c r="C115" s="355"/>
      <c r="D115" s="355"/>
      <c r="E115" s="349"/>
      <c r="F115" s="355"/>
      <c r="G115" s="356"/>
      <c r="H115" s="350"/>
      <c r="I115" s="356"/>
      <c r="J115" s="1129"/>
      <c r="K115" s="1130"/>
      <c r="L115" s="1129"/>
      <c r="M115" s="357"/>
      <c r="N115" s="357"/>
      <c r="O115" s="357"/>
      <c r="P115" s="358"/>
      <c r="Q115" s="357"/>
      <c r="R115" s="359"/>
      <c r="S115" s="359"/>
      <c r="T115" s="359"/>
      <c r="U115" s="358"/>
      <c r="V115" s="351"/>
      <c r="W115" s="354"/>
      <c r="X115" s="354"/>
      <c r="Y115" s="354"/>
      <c r="Z115" s="353"/>
      <c r="AA115" s="351"/>
      <c r="AB115" s="354"/>
      <c r="AC115" s="354"/>
      <c r="AD115" s="354"/>
      <c r="AE115" s="353"/>
      <c r="AF115" s="352"/>
      <c r="AG115" s="354"/>
      <c r="AH115" s="354"/>
      <c r="AI115" s="1080"/>
      <c r="AJ115" s="1081"/>
      <c r="AK115" s="1426"/>
    </row>
    <row r="116" spans="2:37" s="348" customFormat="1" ht="15.75" customHeight="1" thickBot="1">
      <c r="B116" s="360"/>
      <c r="C116" s="1086" t="s">
        <v>246</v>
      </c>
      <c r="D116" s="361"/>
      <c r="E116" s="361"/>
      <c r="F116" s="361"/>
      <c r="G116" s="361"/>
      <c r="H116" s="361"/>
      <c r="I116" s="1087">
        <f t="shared" ref="I116:U116" si="4">SUM(I46:I115)</f>
        <v>0</v>
      </c>
      <c r="J116" s="362">
        <f t="shared" si="4"/>
        <v>0</v>
      </c>
      <c r="K116" s="1088">
        <f t="shared" si="4"/>
        <v>0</v>
      </c>
      <c r="L116" s="1089">
        <f t="shared" si="4"/>
        <v>0</v>
      </c>
      <c r="M116" s="363">
        <f t="shared" si="4"/>
        <v>0</v>
      </c>
      <c r="N116" s="363">
        <f t="shared" si="4"/>
        <v>0</v>
      </c>
      <c r="O116" s="363">
        <f t="shared" si="4"/>
        <v>0</v>
      </c>
      <c r="P116" s="364">
        <f t="shared" si="4"/>
        <v>0</v>
      </c>
      <c r="Q116" s="365">
        <f t="shared" si="4"/>
        <v>0</v>
      </c>
      <c r="R116" s="363">
        <f t="shared" si="4"/>
        <v>0</v>
      </c>
      <c r="S116" s="1427">
        <f t="shared" si="4"/>
        <v>0</v>
      </c>
      <c r="T116" s="1427">
        <f t="shared" si="4"/>
        <v>0</v>
      </c>
      <c r="U116" s="364">
        <f t="shared" si="4"/>
        <v>0</v>
      </c>
      <c r="V116" s="1428">
        <f>SUM(V46:V115)</f>
        <v>0</v>
      </c>
      <c r="W116" s="1428">
        <f t="shared" ref="W116:AH116" si="5">SUM(W46:W115)</f>
        <v>0</v>
      </c>
      <c r="X116" s="1428">
        <f t="shared" si="5"/>
        <v>0</v>
      </c>
      <c r="Y116" s="1428">
        <f t="shared" si="5"/>
        <v>0</v>
      </c>
      <c r="Z116" s="1428">
        <f t="shared" si="5"/>
        <v>0</v>
      </c>
      <c r="AA116" s="1428">
        <f t="shared" si="5"/>
        <v>0</v>
      </c>
      <c r="AB116" s="1428">
        <f t="shared" si="5"/>
        <v>0</v>
      </c>
      <c r="AC116" s="1428">
        <f t="shared" si="5"/>
        <v>0</v>
      </c>
      <c r="AD116" s="1428">
        <f t="shared" si="5"/>
        <v>0</v>
      </c>
      <c r="AE116" s="1428">
        <f t="shared" si="5"/>
        <v>0</v>
      </c>
      <c r="AF116" s="1428">
        <f t="shared" si="5"/>
        <v>0</v>
      </c>
      <c r="AG116" s="1428">
        <f t="shared" si="5"/>
        <v>0</v>
      </c>
      <c r="AH116" s="1428">
        <f t="shared" si="5"/>
        <v>0</v>
      </c>
      <c r="AI116" s="1429"/>
      <c r="AJ116" s="1430"/>
      <c r="AK116" s="1431"/>
    </row>
    <row r="117" spans="2:37" s="348" customFormat="1"/>
    <row r="118" spans="2:37" s="348" customFormat="1"/>
    <row r="119" spans="2:37" s="348" customFormat="1"/>
    <row r="120" spans="2:37" s="348" customFormat="1"/>
    <row r="121" spans="2:37" s="348" customFormat="1"/>
    <row r="122" spans="2:37" s="348" customFormat="1"/>
    <row r="123" spans="2:37" s="348" customFormat="1"/>
    <row r="124" spans="2:37" s="348" customFormat="1"/>
    <row r="125" spans="2:37" s="348" customFormat="1"/>
    <row r="126" spans="2:37" s="348" customFormat="1"/>
  </sheetData>
  <mergeCells count="11">
    <mergeCell ref="AJ43:AJ44"/>
    <mergeCell ref="V44:AE44"/>
    <mergeCell ref="S7:T7"/>
    <mergeCell ref="C43:K43"/>
    <mergeCell ref="L43:P43"/>
    <mergeCell ref="Q43:U43"/>
    <mergeCell ref="V43:AI43"/>
    <mergeCell ref="C7:C9"/>
    <mergeCell ref="C24:C25"/>
    <mergeCell ref="C32:C33"/>
    <mergeCell ref="O7:Q7"/>
  </mergeCells>
  <phoneticPr fontId="0" type="noConversion"/>
  <hyperlinks>
    <hyperlink ref="G1" location="Inputs!A1" display="Index"/>
  </hyperlink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C1DFFF"/>
  </sheetPr>
  <dimension ref="A1:S33"/>
  <sheetViews>
    <sheetView workbookViewId="0">
      <selection activeCell="C28" sqref="C28:S32"/>
    </sheetView>
  </sheetViews>
  <sheetFormatPr defaultColWidth="8.85546875" defaultRowHeight="12.75"/>
  <cols>
    <col min="1" max="1" width="8.85546875" customWidth="1"/>
    <col min="2" max="2" width="19.28515625" customWidth="1"/>
    <col min="3" max="3" width="9.42578125" customWidth="1"/>
    <col min="19" max="19" width="10.42578125" customWidth="1"/>
  </cols>
  <sheetData>
    <row r="1" spans="1:19">
      <c r="A1" s="510" t="s">
        <v>858</v>
      </c>
      <c r="F1" s="253" t="s">
        <v>216</v>
      </c>
    </row>
    <row r="2" spans="1:19">
      <c r="A2" s="510"/>
    </row>
    <row r="3" spans="1:19">
      <c r="A3" s="510" t="s">
        <v>492</v>
      </c>
    </row>
    <row r="6" spans="1:19">
      <c r="B6" s="532" t="s">
        <v>493</v>
      </c>
      <c r="C6" s="572"/>
      <c r="D6" s="572"/>
      <c r="E6" s="572"/>
      <c r="F6" s="572"/>
      <c r="G6" s="572"/>
      <c r="H6" s="572"/>
      <c r="I6" s="572"/>
      <c r="J6" s="572"/>
      <c r="K6" s="572"/>
      <c r="L6" s="572"/>
      <c r="M6" s="572"/>
      <c r="N6" s="572"/>
      <c r="O6" s="572"/>
      <c r="P6" s="572"/>
      <c r="Q6" s="572"/>
      <c r="R6" s="572"/>
      <c r="S6" s="572"/>
    </row>
    <row r="7" spans="1:19" ht="13.5" thickBot="1">
      <c r="B7" s="572"/>
      <c r="C7" s="572"/>
      <c r="D7" s="572"/>
      <c r="E7" s="572"/>
      <c r="F7" s="572"/>
      <c r="G7" s="572"/>
      <c r="H7" s="572"/>
      <c r="I7" s="572"/>
      <c r="J7" s="572"/>
      <c r="K7" s="572"/>
      <c r="L7" s="572"/>
      <c r="M7" s="572"/>
      <c r="N7" s="572"/>
      <c r="O7" s="572"/>
      <c r="P7" s="572"/>
      <c r="Q7" s="572"/>
      <c r="R7" s="572"/>
      <c r="S7" s="572"/>
    </row>
    <row r="8" spans="1:19" ht="15" customHeight="1">
      <c r="B8" s="1934"/>
      <c r="C8" s="1935"/>
      <c r="D8" s="1433" t="s">
        <v>494</v>
      </c>
      <c r="E8" s="574"/>
      <c r="F8" s="575"/>
      <c r="G8" s="573" t="s">
        <v>477</v>
      </c>
      <c r="H8" s="574"/>
      <c r="I8" s="575"/>
      <c r="J8" s="572"/>
      <c r="K8" s="572"/>
      <c r="L8" s="572"/>
      <c r="M8" s="572"/>
      <c r="N8" s="572"/>
      <c r="O8" s="572"/>
      <c r="P8" s="572"/>
      <c r="Q8" s="572"/>
      <c r="R8" s="572"/>
      <c r="S8" s="572"/>
    </row>
    <row r="9" spans="1:19" ht="15" customHeight="1">
      <c r="B9" s="1936"/>
      <c r="C9" s="1937"/>
      <c r="D9" s="1434" t="s">
        <v>243</v>
      </c>
      <c r="E9" s="577" t="s">
        <v>245</v>
      </c>
      <c r="F9" s="578" t="s">
        <v>239</v>
      </c>
      <c r="G9" s="576" t="s">
        <v>243</v>
      </c>
      <c r="H9" s="577" t="s">
        <v>245</v>
      </c>
      <c r="I9" s="578" t="s">
        <v>239</v>
      </c>
      <c r="J9" s="572"/>
      <c r="K9" s="572"/>
      <c r="L9" s="572"/>
      <c r="M9" s="572"/>
      <c r="N9" s="572"/>
      <c r="O9" s="572"/>
      <c r="P9" s="572"/>
      <c r="Q9" s="572"/>
      <c r="R9" s="572"/>
      <c r="S9" s="572"/>
    </row>
    <row r="10" spans="1:19" ht="15" customHeight="1">
      <c r="B10" s="1940" t="s">
        <v>726</v>
      </c>
      <c r="C10" s="1941"/>
      <c r="D10" s="367">
        <v>62</v>
      </c>
      <c r="E10" s="367">
        <v>324</v>
      </c>
      <c r="F10" s="368">
        <v>307</v>
      </c>
      <c r="G10" s="366">
        <v>62</v>
      </c>
      <c r="H10" s="367">
        <v>324</v>
      </c>
      <c r="I10" s="368">
        <v>307</v>
      </c>
      <c r="J10" s="572"/>
      <c r="K10" s="572"/>
      <c r="L10" s="572"/>
      <c r="M10" s="572"/>
      <c r="N10" s="572"/>
      <c r="O10" s="572"/>
      <c r="P10" s="572"/>
      <c r="Q10" s="572"/>
      <c r="R10" s="572"/>
      <c r="S10" s="572"/>
    </row>
    <row r="11" spans="1:19" ht="27" customHeight="1">
      <c r="B11" s="1938" t="s">
        <v>464</v>
      </c>
      <c r="C11" s="1939"/>
      <c r="D11" s="370">
        <v>1</v>
      </c>
      <c r="E11" s="370">
        <v>7</v>
      </c>
      <c r="F11" s="371">
        <v>4</v>
      </c>
      <c r="G11" s="369">
        <v>1</v>
      </c>
      <c r="H11" s="370">
        <v>7</v>
      </c>
      <c r="I11" s="371">
        <v>4</v>
      </c>
      <c r="J11" s="572"/>
      <c r="K11" s="572"/>
      <c r="L11" s="572"/>
      <c r="M11" s="572"/>
      <c r="N11" s="572"/>
      <c r="O11" s="572"/>
      <c r="P11" s="572"/>
      <c r="Q11" s="572"/>
      <c r="R11" s="572"/>
      <c r="S11" s="572"/>
    </row>
    <row r="12" spans="1:19" ht="30" customHeight="1" thickBot="1">
      <c r="B12" s="1942" t="s">
        <v>613</v>
      </c>
      <c r="C12" s="1943"/>
      <c r="D12" s="370">
        <v>0</v>
      </c>
      <c r="E12" s="370">
        <v>2</v>
      </c>
      <c r="F12" s="371">
        <v>1</v>
      </c>
      <c r="G12" s="369">
        <v>0</v>
      </c>
      <c r="H12" s="370">
        <v>2</v>
      </c>
      <c r="I12" s="371">
        <v>1</v>
      </c>
      <c r="J12" s="572"/>
      <c r="K12" s="572"/>
      <c r="L12" s="572"/>
      <c r="M12" s="572"/>
      <c r="N12" s="572"/>
      <c r="O12" s="572"/>
      <c r="P12" s="572"/>
      <c r="Q12" s="572"/>
      <c r="R12" s="572"/>
      <c r="S12" s="572"/>
    </row>
    <row r="13" spans="1:19">
      <c r="B13" s="572"/>
      <c r="C13" s="572"/>
      <c r="D13" s="572"/>
      <c r="E13" s="572"/>
      <c r="F13" s="572"/>
      <c r="G13" s="572"/>
      <c r="H13" s="572"/>
      <c r="I13" s="572"/>
      <c r="J13" s="572"/>
      <c r="K13" s="572"/>
      <c r="L13" s="572"/>
      <c r="M13" s="572"/>
      <c r="N13" s="572"/>
      <c r="O13" s="572"/>
      <c r="P13" s="572"/>
      <c r="Q13" s="572"/>
      <c r="R13" s="572"/>
      <c r="S13" s="572"/>
    </row>
    <row r="14" spans="1:19">
      <c r="B14" s="532" t="s">
        <v>614</v>
      </c>
      <c r="C14" s="572"/>
      <c r="D14" s="572"/>
      <c r="E14" s="572"/>
      <c r="F14" s="572"/>
      <c r="G14" s="572"/>
      <c r="H14" s="572"/>
      <c r="I14" s="572"/>
      <c r="J14" s="572"/>
      <c r="K14" s="572"/>
      <c r="L14" s="572"/>
      <c r="M14" s="572"/>
      <c r="N14" s="572"/>
      <c r="O14" s="572"/>
      <c r="P14" s="572"/>
      <c r="Q14" s="572"/>
      <c r="R14" s="572"/>
      <c r="S14" s="572"/>
    </row>
    <row r="15" spans="1:19" ht="13.5" thickBot="1">
      <c r="B15" s="572"/>
      <c r="C15" s="572"/>
      <c r="D15" s="572"/>
      <c r="E15" s="572"/>
      <c r="F15" s="572"/>
      <c r="G15" s="572"/>
      <c r="H15" s="572"/>
      <c r="I15" s="572"/>
      <c r="J15" s="572"/>
      <c r="K15" s="572"/>
      <c r="L15" s="572"/>
      <c r="M15" s="572"/>
      <c r="N15" s="572"/>
      <c r="O15" s="572"/>
      <c r="P15" s="572"/>
      <c r="Q15" s="572"/>
      <c r="R15" s="572"/>
      <c r="S15" s="572"/>
    </row>
    <row r="16" spans="1:19">
      <c r="B16" s="1944" t="s">
        <v>486</v>
      </c>
      <c r="C16" s="1945"/>
      <c r="D16" s="573" t="s">
        <v>116</v>
      </c>
      <c r="E16" s="574"/>
      <c r="F16" s="575"/>
      <c r="G16" s="573" t="s">
        <v>117</v>
      </c>
      <c r="H16" s="574"/>
      <c r="I16" s="575"/>
      <c r="J16" s="572"/>
      <c r="K16" s="572"/>
      <c r="L16" s="572"/>
      <c r="M16" s="572"/>
      <c r="N16" s="572"/>
      <c r="O16" s="572"/>
      <c r="P16" s="572"/>
      <c r="Q16" s="572"/>
      <c r="R16" s="572"/>
      <c r="S16" s="572"/>
    </row>
    <row r="17" spans="2:19">
      <c r="B17" s="1946"/>
      <c r="C17" s="1947"/>
      <c r="D17" s="576" t="s">
        <v>243</v>
      </c>
      <c r="E17" s="577" t="s">
        <v>245</v>
      </c>
      <c r="F17" s="578" t="s">
        <v>239</v>
      </c>
      <c r="G17" s="576" t="s">
        <v>243</v>
      </c>
      <c r="H17" s="577" t="s">
        <v>245</v>
      </c>
      <c r="I17" s="578" t="s">
        <v>239</v>
      </c>
      <c r="J17" s="572"/>
      <c r="K17" s="572"/>
      <c r="L17" s="572"/>
      <c r="M17" s="572"/>
      <c r="N17" s="572"/>
      <c r="O17" s="572"/>
      <c r="P17" s="572"/>
      <c r="Q17" s="572"/>
      <c r="R17" s="572"/>
      <c r="S17" s="572"/>
    </row>
    <row r="18" spans="2:19" ht="15" customHeight="1">
      <c r="B18" s="1930" t="s">
        <v>487</v>
      </c>
      <c r="C18" s="1931"/>
      <c r="D18" s="369">
        <v>0</v>
      </c>
      <c r="E18" s="370">
        <v>0</v>
      </c>
      <c r="F18" s="374">
        <v>0</v>
      </c>
      <c r="G18" s="369">
        <v>0</v>
      </c>
      <c r="H18" s="370">
        <v>1</v>
      </c>
      <c r="I18" s="374">
        <v>0</v>
      </c>
      <c r="J18" s="572"/>
      <c r="K18" s="572"/>
      <c r="L18" s="572"/>
      <c r="M18" s="572"/>
      <c r="N18" s="572"/>
      <c r="O18" s="572"/>
      <c r="P18" s="572"/>
      <c r="Q18" s="572"/>
      <c r="R18" s="572"/>
      <c r="S18" s="572"/>
    </row>
    <row r="19" spans="2:19" ht="15" customHeight="1">
      <c r="B19" s="1930" t="s">
        <v>651</v>
      </c>
      <c r="C19" s="1931"/>
      <c r="D19" s="369">
        <v>0</v>
      </c>
      <c r="E19" s="370">
        <v>0</v>
      </c>
      <c r="F19" s="374">
        <v>0</v>
      </c>
      <c r="G19" s="369">
        <v>0</v>
      </c>
      <c r="H19" s="370">
        <v>0</v>
      </c>
      <c r="I19" s="374">
        <v>0</v>
      </c>
      <c r="J19" s="572"/>
      <c r="K19" s="572"/>
      <c r="L19" s="572"/>
      <c r="M19" s="572"/>
      <c r="N19" s="572"/>
      <c r="O19" s="572"/>
      <c r="P19" s="572"/>
      <c r="Q19" s="572"/>
      <c r="R19" s="572"/>
      <c r="S19" s="572"/>
    </row>
    <row r="20" spans="2:19" ht="15" customHeight="1" thickBot="1">
      <c r="B20" s="1932" t="s">
        <v>652</v>
      </c>
      <c r="C20" s="1933"/>
      <c r="D20" s="372">
        <v>0</v>
      </c>
      <c r="E20" s="375">
        <v>0</v>
      </c>
      <c r="F20" s="373">
        <v>0</v>
      </c>
      <c r="G20" s="372">
        <v>0</v>
      </c>
      <c r="H20" s="375">
        <v>0</v>
      </c>
      <c r="I20" s="373">
        <v>0</v>
      </c>
      <c r="J20" s="572"/>
      <c r="K20" s="572"/>
      <c r="L20" s="572"/>
      <c r="M20" s="572"/>
      <c r="N20" s="572"/>
      <c r="O20" s="572"/>
      <c r="P20" s="572"/>
      <c r="Q20" s="572"/>
      <c r="R20" s="572"/>
      <c r="S20" s="572"/>
    </row>
    <row r="21" spans="2:19">
      <c r="B21" s="572"/>
      <c r="C21" s="572"/>
      <c r="D21" s="572"/>
      <c r="E21" s="572"/>
      <c r="F21" s="572"/>
      <c r="G21" s="572"/>
      <c r="H21" s="572"/>
      <c r="I21" s="572"/>
      <c r="J21" s="572"/>
      <c r="K21" s="572"/>
      <c r="L21" s="572"/>
      <c r="M21" s="572"/>
      <c r="N21" s="572"/>
      <c r="O21" s="572"/>
      <c r="P21" s="572"/>
      <c r="Q21" s="572"/>
      <c r="R21" s="572"/>
      <c r="S21" s="572"/>
    </row>
    <row r="22" spans="2:19">
      <c r="B22" s="532" t="s">
        <v>653</v>
      </c>
      <c r="C22" s="572"/>
      <c r="D22" s="572"/>
      <c r="E22" s="572"/>
      <c r="F22" s="572"/>
      <c r="G22" s="572"/>
      <c r="H22" s="572"/>
      <c r="I22" s="572"/>
      <c r="J22" s="572"/>
      <c r="K22" s="572"/>
      <c r="L22" s="572"/>
      <c r="M22" s="572"/>
      <c r="N22" s="572"/>
      <c r="O22" s="572"/>
      <c r="P22" s="572"/>
      <c r="Q22" s="572"/>
      <c r="R22" s="572"/>
      <c r="S22" s="572"/>
    </row>
    <row r="23" spans="2:19" ht="13.5" thickBot="1">
      <c r="B23" s="532"/>
      <c r="C23" s="572"/>
      <c r="D23" s="572"/>
      <c r="E23" s="572"/>
      <c r="F23" s="572"/>
      <c r="G23" s="572"/>
      <c r="H23" s="572"/>
      <c r="I23" s="572"/>
      <c r="J23" s="572"/>
      <c r="K23" s="572"/>
      <c r="L23" s="572"/>
      <c r="M23" s="572"/>
      <c r="N23" s="572"/>
      <c r="O23" s="572"/>
      <c r="P23" s="572"/>
      <c r="Q23" s="572"/>
      <c r="R23" s="572"/>
      <c r="S23" s="572"/>
    </row>
    <row r="24" spans="2:19">
      <c r="B24" s="1924"/>
      <c r="C24" s="533" t="s">
        <v>116</v>
      </c>
      <c r="D24" s="534"/>
      <c r="E24" s="534"/>
      <c r="F24" s="534"/>
      <c r="G24" s="579"/>
      <c r="H24" s="533" t="s">
        <v>117</v>
      </c>
      <c r="I24" s="580"/>
      <c r="J24" s="580"/>
      <c r="K24" s="580"/>
      <c r="L24" s="579"/>
      <c r="M24" s="376"/>
      <c r="N24" s="535" t="s">
        <v>116</v>
      </c>
      <c r="O24" s="536"/>
      <c r="P24" s="537"/>
      <c r="Q24" s="376"/>
      <c r="R24" s="535" t="s">
        <v>117</v>
      </c>
      <c r="S24" s="537"/>
    </row>
    <row r="25" spans="2:19">
      <c r="B25" s="1925"/>
      <c r="C25" s="542" t="s">
        <v>32</v>
      </c>
      <c r="D25" s="543" t="s">
        <v>33</v>
      </c>
      <c r="E25" s="543" t="s">
        <v>29</v>
      </c>
      <c r="F25" s="543" t="s">
        <v>34</v>
      </c>
      <c r="G25" s="544" t="s">
        <v>35</v>
      </c>
      <c r="H25" s="542" t="s">
        <v>118</v>
      </c>
      <c r="I25" s="543" t="s">
        <v>136</v>
      </c>
      <c r="J25" s="543" t="s">
        <v>137</v>
      </c>
      <c r="K25" s="543" t="s">
        <v>138</v>
      </c>
      <c r="L25" s="544" t="s">
        <v>139</v>
      </c>
      <c r="M25" s="376"/>
      <c r="N25" s="542" t="s">
        <v>126</v>
      </c>
      <c r="O25" s="543" t="s">
        <v>127</v>
      </c>
      <c r="P25" s="544" t="s">
        <v>246</v>
      </c>
      <c r="Q25" s="376"/>
      <c r="R25" s="542" t="s">
        <v>127</v>
      </c>
      <c r="S25" s="544" t="s">
        <v>128</v>
      </c>
    </row>
    <row r="26" spans="2:19">
      <c r="B26" s="1926"/>
      <c r="C26" s="562" t="s">
        <v>735</v>
      </c>
      <c r="D26" s="563" t="s">
        <v>735</v>
      </c>
      <c r="E26" s="563" t="s">
        <v>735</v>
      </c>
      <c r="F26" s="563" t="s">
        <v>735</v>
      </c>
      <c r="G26" s="564" t="s">
        <v>735</v>
      </c>
      <c r="H26" s="562" t="s">
        <v>735</v>
      </c>
      <c r="I26" s="563" t="s">
        <v>735</v>
      </c>
      <c r="J26" s="563" t="s">
        <v>735</v>
      </c>
      <c r="K26" s="563" t="s">
        <v>735</v>
      </c>
      <c r="L26" s="564" t="s">
        <v>735</v>
      </c>
      <c r="M26" s="377"/>
      <c r="N26" s="562" t="s">
        <v>735</v>
      </c>
      <c r="O26" s="563" t="s">
        <v>735</v>
      </c>
      <c r="P26" s="564" t="s">
        <v>735</v>
      </c>
      <c r="Q26" s="377"/>
      <c r="R26" s="562" t="s">
        <v>735</v>
      </c>
      <c r="S26" s="564" t="s">
        <v>735</v>
      </c>
    </row>
    <row r="27" spans="2:19">
      <c r="B27" s="559" t="s">
        <v>736</v>
      </c>
      <c r="C27" s="581"/>
      <c r="D27" s="582"/>
      <c r="E27" s="582"/>
      <c r="F27" s="582"/>
      <c r="G27" s="583"/>
      <c r="H27" s="581"/>
      <c r="I27" s="582"/>
      <c r="J27" s="582"/>
      <c r="K27" s="582"/>
      <c r="L27" s="583"/>
      <c r="M27" s="377"/>
      <c r="N27" s="581"/>
      <c r="O27" s="584"/>
      <c r="P27" s="585"/>
      <c r="Q27" s="377"/>
      <c r="R27" s="581"/>
      <c r="S27" s="566"/>
    </row>
    <row r="28" spans="2:19">
      <c r="B28" s="1436" t="s">
        <v>737</v>
      </c>
      <c r="C28" s="306">
        <v>0</v>
      </c>
      <c r="D28" s="306">
        <v>0</v>
      </c>
      <c r="E28" s="306">
        <v>0</v>
      </c>
      <c r="F28" s="306">
        <v>0</v>
      </c>
      <c r="G28" s="307">
        <v>0</v>
      </c>
      <c r="H28" s="305">
        <v>0</v>
      </c>
      <c r="I28" s="308">
        <v>0</v>
      </c>
      <c r="J28" s="308">
        <v>0</v>
      </c>
      <c r="K28" s="308">
        <v>0</v>
      </c>
      <c r="L28" s="307">
        <v>0</v>
      </c>
      <c r="M28" s="376"/>
      <c r="N28" s="586">
        <v>0</v>
      </c>
      <c r="O28" s="587">
        <v>0</v>
      </c>
      <c r="P28" s="588">
        <v>0</v>
      </c>
      <c r="Q28" s="376"/>
      <c r="R28" s="586">
        <v>0</v>
      </c>
      <c r="S28" s="1126" t="s">
        <v>1020</v>
      </c>
    </row>
    <row r="29" spans="2:19">
      <c r="B29" s="1436" t="s">
        <v>239</v>
      </c>
      <c r="C29" s="306">
        <v>0</v>
      </c>
      <c r="D29" s="306">
        <v>0</v>
      </c>
      <c r="E29" s="306">
        <v>0</v>
      </c>
      <c r="F29" s="306">
        <v>0</v>
      </c>
      <c r="G29" s="307">
        <v>0</v>
      </c>
      <c r="H29" s="305">
        <v>0</v>
      </c>
      <c r="I29" s="308">
        <v>0</v>
      </c>
      <c r="J29" s="308">
        <v>0</v>
      </c>
      <c r="K29" s="308">
        <v>0</v>
      </c>
      <c r="L29" s="307">
        <v>0</v>
      </c>
      <c r="M29" s="376"/>
      <c r="N29" s="586">
        <v>0</v>
      </c>
      <c r="O29" s="587">
        <v>0</v>
      </c>
      <c r="P29" s="588">
        <v>0</v>
      </c>
      <c r="Q29" s="376"/>
      <c r="R29" s="586">
        <v>0</v>
      </c>
      <c r="S29" s="1126" t="s">
        <v>1020</v>
      </c>
    </row>
    <row r="30" spans="2:19">
      <c r="B30" s="1436" t="s">
        <v>738</v>
      </c>
      <c r="C30" s="306">
        <v>0</v>
      </c>
      <c r="D30" s="306">
        <v>0</v>
      </c>
      <c r="E30" s="306">
        <v>0</v>
      </c>
      <c r="F30" s="306">
        <v>0</v>
      </c>
      <c r="G30" s="307">
        <v>0</v>
      </c>
      <c r="H30" s="305">
        <v>0</v>
      </c>
      <c r="I30" s="308">
        <v>1.6</v>
      </c>
      <c r="J30" s="308">
        <v>1.3</v>
      </c>
      <c r="K30" s="308">
        <v>0</v>
      </c>
      <c r="L30" s="307">
        <v>0</v>
      </c>
      <c r="M30" s="376"/>
      <c r="N30" s="586">
        <v>0</v>
      </c>
      <c r="O30" s="587">
        <v>0</v>
      </c>
      <c r="P30" s="588">
        <v>0</v>
      </c>
      <c r="Q30" s="376"/>
      <c r="R30" s="586">
        <v>2.9000000000000004</v>
      </c>
      <c r="S30" s="1126" t="s">
        <v>1020</v>
      </c>
    </row>
    <row r="31" spans="2:19">
      <c r="B31" s="1436" t="s">
        <v>739</v>
      </c>
      <c r="C31" s="306">
        <v>0</v>
      </c>
      <c r="D31" s="306">
        <v>0</v>
      </c>
      <c r="E31" s="306">
        <v>0</v>
      </c>
      <c r="F31" s="306">
        <v>0</v>
      </c>
      <c r="G31" s="307">
        <v>0</v>
      </c>
      <c r="H31" s="305">
        <v>0</v>
      </c>
      <c r="I31" s="308">
        <v>0</v>
      </c>
      <c r="J31" s="308">
        <v>0</v>
      </c>
      <c r="K31" s="308">
        <v>0</v>
      </c>
      <c r="L31" s="307">
        <v>0</v>
      </c>
      <c r="M31" s="376"/>
      <c r="N31" s="586">
        <v>0</v>
      </c>
      <c r="O31" s="587">
        <v>0</v>
      </c>
      <c r="P31" s="588">
        <v>0</v>
      </c>
      <c r="Q31" s="376"/>
      <c r="R31" s="586">
        <v>0</v>
      </c>
      <c r="S31" s="1126" t="s">
        <v>1020</v>
      </c>
    </row>
    <row r="32" spans="2:19" ht="13.5" thickBot="1">
      <c r="B32" s="1435" t="s">
        <v>740</v>
      </c>
      <c r="C32" s="1123">
        <v>0</v>
      </c>
      <c r="D32" s="1123">
        <v>0</v>
      </c>
      <c r="E32" s="1123">
        <v>0</v>
      </c>
      <c r="F32" s="1123">
        <v>0</v>
      </c>
      <c r="G32" s="1124">
        <v>0</v>
      </c>
      <c r="H32" s="1122">
        <v>0</v>
      </c>
      <c r="I32" s="1125">
        <v>1.6</v>
      </c>
      <c r="J32" s="1125">
        <v>1.3</v>
      </c>
      <c r="K32" s="1125">
        <v>0</v>
      </c>
      <c r="L32" s="1124">
        <v>0</v>
      </c>
      <c r="M32" s="378"/>
      <c r="N32" s="1122">
        <v>0</v>
      </c>
      <c r="O32" s="1125">
        <v>0</v>
      </c>
      <c r="P32" s="1124">
        <v>0</v>
      </c>
      <c r="Q32" s="378"/>
      <c r="R32" s="1122">
        <v>2.9000000000000004</v>
      </c>
      <c r="S32" s="1127" t="s">
        <v>1020</v>
      </c>
    </row>
    <row r="33" spans="2:19">
      <c r="B33" s="254"/>
      <c r="C33" s="254"/>
      <c r="D33" s="254"/>
      <c r="E33" s="254"/>
      <c r="F33" s="254"/>
      <c r="G33" s="254"/>
      <c r="H33" s="254"/>
      <c r="I33" s="254"/>
      <c r="J33" s="254"/>
      <c r="K33" s="254"/>
      <c r="L33" s="254"/>
      <c r="M33" s="258"/>
      <c r="N33" s="254"/>
      <c r="O33" s="254"/>
      <c r="P33" s="254"/>
      <c r="Q33" s="258"/>
      <c r="R33" s="254"/>
      <c r="S33" s="254"/>
    </row>
  </sheetData>
  <mergeCells count="9">
    <mergeCell ref="B19:C19"/>
    <mergeCell ref="B20:C20"/>
    <mergeCell ref="B24:B26"/>
    <mergeCell ref="B8:C9"/>
    <mergeCell ref="B11:C11"/>
    <mergeCell ref="B10:C10"/>
    <mergeCell ref="B12:C12"/>
    <mergeCell ref="B16:C17"/>
    <mergeCell ref="B18:C18"/>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C1DFFF"/>
  </sheetPr>
  <dimension ref="A1:W187"/>
  <sheetViews>
    <sheetView topLeftCell="A118" zoomScale="80" workbookViewId="0">
      <selection activeCell="D145" sqref="D145"/>
    </sheetView>
  </sheetViews>
  <sheetFormatPr defaultColWidth="8.85546875" defaultRowHeight="14.25"/>
  <cols>
    <col min="1" max="1" width="4.28515625" style="936" customWidth="1"/>
    <col min="2" max="2" width="45.85546875" style="938" customWidth="1"/>
    <col min="3" max="3" width="40.28515625" style="938" customWidth="1"/>
    <col min="4" max="8" width="10.28515625" style="938" customWidth="1"/>
    <col min="9" max="13" width="10.28515625" style="939" customWidth="1"/>
    <col min="14" max="14" width="4.140625" style="939" customWidth="1"/>
    <col min="15" max="17" width="13.7109375" style="939" customWidth="1"/>
    <col min="18" max="18" width="4.28515625" style="939" customWidth="1"/>
    <col min="19" max="20" width="11.85546875" style="939" customWidth="1"/>
    <col min="21" max="23" width="8.85546875" style="939"/>
    <col min="24" max="16384" width="8.85546875" style="938"/>
  </cols>
  <sheetData>
    <row r="1" spans="1:20" s="869" customFormat="1" ht="20.25">
      <c r="A1" s="868" t="s">
        <v>167</v>
      </c>
      <c r="G1" s="868" t="s">
        <v>859</v>
      </c>
    </row>
    <row r="2" spans="1:20" s="869" customFormat="1" ht="20.25">
      <c r="A2" s="870" t="s">
        <v>168</v>
      </c>
      <c r="B2" s="868"/>
    </row>
    <row r="3" spans="1:20" s="872" customFormat="1" ht="21" thickBot="1">
      <c r="A3" s="871" t="s">
        <v>860</v>
      </c>
    </row>
    <row r="4" spans="1:20" s="874" customFormat="1" ht="12.75">
      <c r="A4" s="873"/>
      <c r="S4" s="376"/>
      <c r="T4" s="376"/>
    </row>
    <row r="5" spans="1:20" s="1438" customFormat="1" ht="12.75">
      <c r="A5" s="1437"/>
      <c r="B5" s="875" t="s">
        <v>112</v>
      </c>
      <c r="O5" s="1439"/>
      <c r="P5" s="1439"/>
      <c r="Q5" s="1439"/>
      <c r="R5" s="1439"/>
      <c r="S5" s="1439"/>
      <c r="T5" s="1439"/>
    </row>
    <row r="6" spans="1:20" s="1442" customFormat="1" ht="13.5" thickBot="1">
      <c r="A6" s="1440"/>
      <c r="B6" s="877"/>
      <c r="C6" s="877"/>
      <c r="D6" s="877"/>
      <c r="E6" s="877"/>
      <c r="F6" s="877"/>
      <c r="G6" s="877"/>
      <c r="H6" s="877"/>
      <c r="I6" s="877"/>
      <c r="J6" s="877"/>
      <c r="K6" s="877"/>
      <c r="L6" s="877"/>
      <c r="M6" s="877"/>
      <c r="N6" s="1439"/>
      <c r="O6" s="1441"/>
      <c r="P6" s="1441"/>
      <c r="Q6" s="1441"/>
      <c r="R6" s="1439"/>
      <c r="S6" s="1441"/>
      <c r="T6" s="1441"/>
    </row>
    <row r="7" spans="1:20" s="1442" customFormat="1" ht="15" customHeight="1">
      <c r="A7" s="1440"/>
      <c r="B7" s="1952" t="s">
        <v>113</v>
      </c>
      <c r="C7" s="1953"/>
      <c r="D7" s="1443" t="s">
        <v>114</v>
      </c>
      <c r="E7" s="1444"/>
      <c r="F7" s="1444"/>
      <c r="G7" s="1444"/>
      <c r="H7" s="1445"/>
      <c r="I7" s="1443" t="s">
        <v>115</v>
      </c>
      <c r="J7" s="1444"/>
      <c r="K7" s="1444"/>
      <c r="L7" s="1444"/>
      <c r="M7" s="1445"/>
      <c r="N7" s="1439"/>
      <c r="O7" s="535" t="s">
        <v>116</v>
      </c>
      <c r="P7" s="536"/>
      <c r="Q7" s="537"/>
      <c r="R7" s="1439"/>
      <c r="S7" s="535" t="s">
        <v>117</v>
      </c>
      <c r="T7" s="537"/>
    </row>
    <row r="8" spans="1:20" s="1442" customFormat="1" ht="15" customHeight="1">
      <c r="A8" s="1440"/>
      <c r="B8" s="1954"/>
      <c r="C8" s="1955"/>
      <c r="D8" s="880" t="s">
        <v>32</v>
      </c>
      <c r="E8" s="881" t="s">
        <v>33</v>
      </c>
      <c r="F8" s="881" t="s">
        <v>29</v>
      </c>
      <c r="G8" s="881" t="s">
        <v>34</v>
      </c>
      <c r="H8" s="882" t="s">
        <v>35</v>
      </c>
      <c r="I8" s="880" t="s">
        <v>118</v>
      </c>
      <c r="J8" s="881" t="s">
        <v>136</v>
      </c>
      <c r="K8" s="881" t="s">
        <v>137</v>
      </c>
      <c r="L8" s="881" t="s">
        <v>138</v>
      </c>
      <c r="M8" s="882" t="s">
        <v>139</v>
      </c>
      <c r="N8" s="1439"/>
      <c r="O8" s="542" t="s">
        <v>126</v>
      </c>
      <c r="P8" s="543" t="s">
        <v>127</v>
      </c>
      <c r="Q8" s="544" t="s">
        <v>246</v>
      </c>
      <c r="R8" s="1439"/>
      <c r="S8" s="542" t="s">
        <v>127</v>
      </c>
      <c r="T8" s="544" t="s">
        <v>128</v>
      </c>
    </row>
    <row r="9" spans="1:20" s="1442" customFormat="1" ht="15" customHeight="1">
      <c r="A9" s="1440"/>
      <c r="B9" s="1956"/>
      <c r="C9" s="1957"/>
      <c r="D9" s="880" t="s">
        <v>14</v>
      </c>
      <c r="E9" s="881" t="s">
        <v>14</v>
      </c>
      <c r="F9" s="881" t="s">
        <v>14</v>
      </c>
      <c r="G9" s="881" t="s">
        <v>14</v>
      </c>
      <c r="H9" s="882" t="s">
        <v>14</v>
      </c>
      <c r="I9" s="883" t="s">
        <v>14</v>
      </c>
      <c r="J9" s="881" t="s">
        <v>14</v>
      </c>
      <c r="K9" s="881" t="s">
        <v>14</v>
      </c>
      <c r="L9" s="881" t="s">
        <v>14</v>
      </c>
      <c r="M9" s="882" t="s">
        <v>14</v>
      </c>
      <c r="N9" s="877"/>
      <c r="O9" s="884"/>
      <c r="P9" s="885"/>
      <c r="Q9" s="886"/>
      <c r="R9" s="1439"/>
      <c r="S9" s="887"/>
      <c r="T9" s="888"/>
    </row>
    <row r="10" spans="1:20" s="1442" customFormat="1" ht="15" customHeight="1">
      <c r="A10" s="1440"/>
      <c r="B10" s="1949" t="s">
        <v>103</v>
      </c>
      <c r="C10" s="1446" t="s">
        <v>104</v>
      </c>
      <c r="D10" s="1095">
        <v>1.3</v>
      </c>
      <c r="E10" s="1096">
        <v>1.2</v>
      </c>
      <c r="F10" s="1096">
        <v>1.7</v>
      </c>
      <c r="G10" s="1096">
        <v>1.3897827259207831</v>
      </c>
      <c r="H10" s="1097">
        <v>0.94341663521222741</v>
      </c>
      <c r="I10" s="1095">
        <v>0.87</v>
      </c>
      <c r="J10" s="1096">
        <v>1.23</v>
      </c>
      <c r="K10" s="1096">
        <v>1.64</v>
      </c>
      <c r="L10" s="1096">
        <v>1.64</v>
      </c>
      <c r="M10" s="1097">
        <v>1.64</v>
      </c>
      <c r="N10" s="877"/>
      <c r="O10" s="889">
        <v>4.2</v>
      </c>
      <c r="P10" s="890">
        <v>2.3331993611330106</v>
      </c>
      <c r="Q10" s="891">
        <v>6.5331993611330113</v>
      </c>
      <c r="R10" s="1439"/>
      <c r="S10" s="889">
        <v>7.02</v>
      </c>
      <c r="T10" s="680">
        <v>7.4511829803180163E-2</v>
      </c>
    </row>
    <row r="11" spans="1:20" s="1442" customFormat="1" ht="15" customHeight="1">
      <c r="A11" s="1440"/>
      <c r="B11" s="1950"/>
      <c r="C11" s="893" t="s">
        <v>105</v>
      </c>
      <c r="D11" s="1098">
        <v>1.7</v>
      </c>
      <c r="E11" s="1099">
        <v>1.5</v>
      </c>
      <c r="F11" s="1099">
        <v>1.1000000000000001</v>
      </c>
      <c r="G11" s="1099">
        <v>1.7696706246476237</v>
      </c>
      <c r="H11" s="1100">
        <v>1.8857826951068464</v>
      </c>
      <c r="I11" s="1098">
        <v>2.1800000000000002</v>
      </c>
      <c r="J11" s="1099">
        <v>2.27</v>
      </c>
      <c r="K11" s="1099">
        <v>2.35</v>
      </c>
      <c r="L11" s="1099">
        <v>2.42</v>
      </c>
      <c r="M11" s="1100">
        <v>2.48</v>
      </c>
      <c r="N11" s="877"/>
      <c r="O11" s="889">
        <v>4.3000000000000007</v>
      </c>
      <c r="P11" s="890">
        <v>3.6554533197544701</v>
      </c>
      <c r="Q11" s="891">
        <v>7.9554533197544712</v>
      </c>
      <c r="R11" s="1439"/>
      <c r="S11" s="889">
        <v>11.700000000000001</v>
      </c>
      <c r="T11" s="680">
        <v>0.4706892906966485</v>
      </c>
    </row>
    <row r="12" spans="1:20" s="1442" customFormat="1" ht="15" customHeight="1">
      <c r="A12" s="1440"/>
      <c r="B12" s="1950" t="s">
        <v>106</v>
      </c>
      <c r="C12" s="893" t="s">
        <v>104</v>
      </c>
      <c r="D12" s="1098">
        <v>0</v>
      </c>
      <c r="E12" s="1099">
        <v>0</v>
      </c>
      <c r="F12" s="1099">
        <v>0</v>
      </c>
      <c r="G12" s="1099">
        <v>4.2907448616530203E-2</v>
      </c>
      <c r="H12" s="1100">
        <v>0</v>
      </c>
      <c r="I12" s="1098">
        <v>0</v>
      </c>
      <c r="J12" s="1099">
        <v>0</v>
      </c>
      <c r="K12" s="1099">
        <v>0</v>
      </c>
      <c r="L12" s="1099">
        <v>0</v>
      </c>
      <c r="M12" s="1100">
        <v>0</v>
      </c>
      <c r="N12" s="877"/>
      <c r="O12" s="889">
        <v>0</v>
      </c>
      <c r="P12" s="890">
        <v>4.2907448616530203E-2</v>
      </c>
      <c r="Q12" s="891">
        <v>4.2907448616530203E-2</v>
      </c>
      <c r="R12" s="1439"/>
      <c r="S12" s="889">
        <v>0</v>
      </c>
      <c r="T12" s="680">
        <v>-1</v>
      </c>
    </row>
    <row r="13" spans="1:20" s="1442" customFormat="1" ht="15" customHeight="1">
      <c r="A13" s="1440"/>
      <c r="B13" s="1950"/>
      <c r="C13" s="893" t="s">
        <v>105</v>
      </c>
      <c r="D13" s="1098">
        <v>-0.43207195133507958</v>
      </c>
      <c r="E13" s="1099">
        <v>-0.31239287588104236</v>
      </c>
      <c r="F13" s="1099">
        <v>-0.29999999999999993</v>
      </c>
      <c r="G13" s="1099">
        <v>-0.38543281432700627</v>
      </c>
      <c r="H13" s="1100">
        <v>-0.20109607440707422</v>
      </c>
      <c r="I13" s="1098">
        <v>-0.3</v>
      </c>
      <c r="J13" s="1099">
        <v>-0.3</v>
      </c>
      <c r="K13" s="1099">
        <v>-0.3</v>
      </c>
      <c r="L13" s="1099">
        <v>-0.3</v>
      </c>
      <c r="M13" s="1100">
        <v>-0.3</v>
      </c>
      <c r="N13" s="877"/>
      <c r="O13" s="889">
        <v>-1.0444648272161219</v>
      </c>
      <c r="P13" s="890">
        <v>-0.58652888873408049</v>
      </c>
      <c r="Q13" s="891">
        <v>-1.6309937159502024</v>
      </c>
      <c r="R13" s="1439"/>
      <c r="S13" s="889">
        <v>-1.5</v>
      </c>
      <c r="T13" s="680">
        <v>-8.0315279371807144E-2</v>
      </c>
    </row>
    <row r="14" spans="1:20" s="1442" customFormat="1" ht="15" customHeight="1">
      <c r="A14" s="1440"/>
      <c r="B14" s="1948" t="s">
        <v>848</v>
      </c>
      <c r="C14" s="893" t="s">
        <v>129</v>
      </c>
      <c r="D14" s="1098">
        <v>3.3</v>
      </c>
      <c r="E14" s="1099">
        <v>3.6</v>
      </c>
      <c r="F14" s="1099">
        <v>5.3</v>
      </c>
      <c r="G14" s="1099">
        <v>4.7585407038868981</v>
      </c>
      <c r="H14" s="1100">
        <v>4.400833796743651</v>
      </c>
      <c r="I14" s="1098">
        <v>4.99</v>
      </c>
      <c r="J14" s="1099">
        <v>5.6199999999999992</v>
      </c>
      <c r="K14" s="1099">
        <v>6.42</v>
      </c>
      <c r="L14" s="1099">
        <v>7.0299999999999994</v>
      </c>
      <c r="M14" s="1100">
        <v>6.79</v>
      </c>
      <c r="N14" s="877"/>
      <c r="O14" s="889">
        <v>12.2</v>
      </c>
      <c r="P14" s="890">
        <v>9.1593745006305483</v>
      </c>
      <c r="Q14" s="891">
        <v>21.359374500630548</v>
      </c>
      <c r="R14" s="1439"/>
      <c r="S14" s="889">
        <v>30.85</v>
      </c>
      <c r="T14" s="680">
        <v>0.44433068482830723</v>
      </c>
    </row>
    <row r="15" spans="1:20" s="1442" customFormat="1" ht="15" customHeight="1">
      <c r="A15" s="1440"/>
      <c r="B15" s="1948"/>
      <c r="C15" s="893" t="s">
        <v>130</v>
      </c>
      <c r="D15" s="1098">
        <v>2.2000000000000002</v>
      </c>
      <c r="E15" s="1099">
        <v>3</v>
      </c>
      <c r="F15" s="1099">
        <v>2.1</v>
      </c>
      <c r="G15" s="1099">
        <v>2.1851403100320748</v>
      </c>
      <c r="H15" s="1100">
        <v>2.0015846805857622</v>
      </c>
      <c r="I15" s="1098">
        <v>1.77</v>
      </c>
      <c r="J15" s="1099">
        <v>1.96</v>
      </c>
      <c r="K15" s="1099">
        <v>2.17</v>
      </c>
      <c r="L15" s="1099">
        <v>2.38</v>
      </c>
      <c r="M15" s="1100">
        <v>2.61</v>
      </c>
      <c r="N15" s="877"/>
      <c r="O15" s="889">
        <v>7.3000000000000007</v>
      </c>
      <c r="P15" s="890">
        <v>4.1867249906178365</v>
      </c>
      <c r="Q15" s="891">
        <v>11.486724990617837</v>
      </c>
      <c r="R15" s="1439"/>
      <c r="S15" s="889">
        <v>10.89</v>
      </c>
      <c r="T15" s="680">
        <v>-5.1949096988500337E-2</v>
      </c>
    </row>
    <row r="16" spans="1:20" s="1442" customFormat="1" ht="15" customHeight="1">
      <c r="A16" s="1440"/>
      <c r="B16" s="1948"/>
      <c r="C16" s="892" t="s">
        <v>224</v>
      </c>
      <c r="D16" s="1098">
        <v>0.2</v>
      </c>
      <c r="E16" s="1099">
        <v>0.2</v>
      </c>
      <c r="F16" s="1099">
        <v>0</v>
      </c>
      <c r="G16" s="1099">
        <v>0.18000197956202912</v>
      </c>
      <c r="H16" s="1100">
        <v>9.3501203267136124E-2</v>
      </c>
      <c r="I16" s="1098">
        <v>0.53</v>
      </c>
      <c r="J16" s="1099">
        <v>0.57999999999999996</v>
      </c>
      <c r="K16" s="1099">
        <v>0.64</v>
      </c>
      <c r="L16" s="1099">
        <v>0.7</v>
      </c>
      <c r="M16" s="1100">
        <v>0.76</v>
      </c>
      <c r="N16" s="877"/>
      <c r="O16" s="889">
        <v>0.4</v>
      </c>
      <c r="P16" s="890">
        <v>0.27350318282916525</v>
      </c>
      <c r="Q16" s="891">
        <v>0.67350318282916533</v>
      </c>
      <c r="R16" s="1439"/>
      <c r="S16" s="889">
        <v>3.21</v>
      </c>
      <c r="T16" s="680">
        <v>3.7661244695471905</v>
      </c>
    </row>
    <row r="17" spans="1:20" s="1442" customFormat="1" ht="15" customHeight="1">
      <c r="A17" s="1440"/>
      <c r="B17" s="1948" t="s">
        <v>239</v>
      </c>
      <c r="C17" s="893" t="s">
        <v>225</v>
      </c>
      <c r="D17" s="1098">
        <v>2.5</v>
      </c>
      <c r="E17" s="1099">
        <v>6.1999999999999993</v>
      </c>
      <c r="F17" s="1099">
        <v>7.1</v>
      </c>
      <c r="G17" s="1099">
        <v>7.4481051659474495</v>
      </c>
      <c r="H17" s="1100">
        <v>7.3895728729761077</v>
      </c>
      <c r="I17" s="1098">
        <v>4.78</v>
      </c>
      <c r="J17" s="1099">
        <v>6.78</v>
      </c>
      <c r="K17" s="1099">
        <v>8.91</v>
      </c>
      <c r="L17" s="1099">
        <v>10.14</v>
      </c>
      <c r="M17" s="1100">
        <v>9.65</v>
      </c>
      <c r="N17" s="877"/>
      <c r="O17" s="889">
        <v>15.799999999999999</v>
      </c>
      <c r="P17" s="890">
        <v>14.837678038923556</v>
      </c>
      <c r="Q17" s="891">
        <v>30.637678038923557</v>
      </c>
      <c r="R17" s="1439"/>
      <c r="S17" s="889">
        <v>40.26</v>
      </c>
      <c r="T17" s="680">
        <v>0.31406825115309939</v>
      </c>
    </row>
    <row r="18" spans="1:20" s="1442" customFormat="1" ht="15" customHeight="1">
      <c r="A18" s="1440"/>
      <c r="B18" s="1948"/>
      <c r="C18" s="893" t="s">
        <v>878</v>
      </c>
      <c r="D18" s="1098">
        <v>0.8</v>
      </c>
      <c r="E18" s="1099">
        <v>1.1000000000000001</v>
      </c>
      <c r="F18" s="1099">
        <v>1.2</v>
      </c>
      <c r="G18" s="1099">
        <v>1.2474555792903415</v>
      </c>
      <c r="H18" s="1100">
        <v>0.93396145735375302</v>
      </c>
      <c r="I18" s="1098">
        <v>1.03</v>
      </c>
      <c r="J18" s="1099">
        <v>1.1399999999999999</v>
      </c>
      <c r="K18" s="1099">
        <v>1.26</v>
      </c>
      <c r="L18" s="1099">
        <v>1.39</v>
      </c>
      <c r="M18" s="1100">
        <v>1.53</v>
      </c>
      <c r="N18" s="877"/>
      <c r="O18" s="889">
        <v>3.1</v>
      </c>
      <c r="P18" s="890">
        <v>2.1814170366440946</v>
      </c>
      <c r="Q18" s="891">
        <v>5.2814170366440951</v>
      </c>
      <c r="R18" s="1439"/>
      <c r="S18" s="889">
        <v>6.35</v>
      </c>
      <c r="T18" s="680">
        <v>0.20232883635996693</v>
      </c>
    </row>
    <row r="19" spans="1:20" s="1442" customFormat="1" ht="15" customHeight="1">
      <c r="A19" s="1440"/>
      <c r="B19" s="1948"/>
      <c r="C19" s="892" t="s">
        <v>120</v>
      </c>
      <c r="D19" s="1098">
        <v>0</v>
      </c>
      <c r="E19" s="1099">
        <v>0.1</v>
      </c>
      <c r="F19" s="1099">
        <v>0</v>
      </c>
      <c r="G19" s="1099">
        <v>0</v>
      </c>
      <c r="H19" s="1100">
        <v>0</v>
      </c>
      <c r="I19" s="1098">
        <v>0.05</v>
      </c>
      <c r="J19" s="1099">
        <v>0.05</v>
      </c>
      <c r="K19" s="1099">
        <v>0.05</v>
      </c>
      <c r="L19" s="1099">
        <v>0.05</v>
      </c>
      <c r="M19" s="1100">
        <v>0.05</v>
      </c>
      <c r="N19" s="877"/>
      <c r="O19" s="889">
        <v>0.1</v>
      </c>
      <c r="P19" s="890">
        <v>0</v>
      </c>
      <c r="Q19" s="891">
        <v>0.1</v>
      </c>
      <c r="R19" s="1439"/>
      <c r="S19" s="889">
        <v>0.25</v>
      </c>
      <c r="T19" s="680">
        <v>1.4999999999999998</v>
      </c>
    </row>
    <row r="20" spans="1:20" s="1442" customFormat="1" ht="15" customHeight="1">
      <c r="A20" s="1440"/>
      <c r="B20" s="1948"/>
      <c r="C20" s="892" t="s">
        <v>224</v>
      </c>
      <c r="D20" s="1098">
        <v>1.7</v>
      </c>
      <c r="E20" s="1099">
        <v>2.5</v>
      </c>
      <c r="F20" s="1099">
        <v>2.6</v>
      </c>
      <c r="G20" s="1099">
        <v>2.4645619876080151</v>
      </c>
      <c r="H20" s="1100">
        <v>4.0735188384858354</v>
      </c>
      <c r="I20" s="1098">
        <v>3.98</v>
      </c>
      <c r="J20" s="1099">
        <v>4.1100000000000003</v>
      </c>
      <c r="K20" s="1099">
        <v>4.24</v>
      </c>
      <c r="L20" s="1099">
        <v>4.3499999999999996</v>
      </c>
      <c r="M20" s="1100">
        <v>4.46</v>
      </c>
      <c r="N20" s="877"/>
      <c r="O20" s="889">
        <v>6.8000000000000007</v>
      </c>
      <c r="P20" s="890">
        <v>6.5380808260938501</v>
      </c>
      <c r="Q20" s="891">
        <v>13.338080826093851</v>
      </c>
      <c r="R20" s="1439"/>
      <c r="S20" s="889">
        <v>21.14</v>
      </c>
      <c r="T20" s="680">
        <v>0.58493566470544445</v>
      </c>
    </row>
    <row r="21" spans="1:20" s="1442" customFormat="1" ht="15" customHeight="1">
      <c r="A21" s="1440"/>
      <c r="B21" s="1948"/>
      <c r="C21" s="893" t="s">
        <v>868</v>
      </c>
      <c r="D21" s="1098">
        <v>1.1000000000000001</v>
      </c>
      <c r="E21" s="1099">
        <v>1.3</v>
      </c>
      <c r="F21" s="1099">
        <v>1.3</v>
      </c>
      <c r="G21" s="1099">
        <v>0.96175476289246964</v>
      </c>
      <c r="H21" s="1100">
        <v>0.74800962613708899</v>
      </c>
      <c r="I21" s="1098">
        <v>2.38</v>
      </c>
      <c r="J21" s="1099">
        <v>2.5299999999999998</v>
      </c>
      <c r="K21" s="1099">
        <v>2.67</v>
      </c>
      <c r="L21" s="1099">
        <v>2.81</v>
      </c>
      <c r="M21" s="1100">
        <v>2.95</v>
      </c>
      <c r="N21" s="877"/>
      <c r="O21" s="889">
        <v>3.7</v>
      </c>
      <c r="P21" s="890">
        <v>1.7097643890295586</v>
      </c>
      <c r="Q21" s="891">
        <v>5.4097643890295579</v>
      </c>
      <c r="R21" s="1439"/>
      <c r="S21" s="889">
        <v>13.34</v>
      </c>
      <c r="T21" s="680">
        <v>1.4659114594809597</v>
      </c>
    </row>
    <row r="22" spans="1:20" s="1442" customFormat="1" ht="15" customHeight="1">
      <c r="A22" s="1440"/>
      <c r="B22" s="1948"/>
      <c r="C22" s="893" t="s">
        <v>869</v>
      </c>
      <c r="D22" s="1098">
        <v>1.2</v>
      </c>
      <c r="E22" s="1099">
        <v>1.5</v>
      </c>
      <c r="F22" s="1099">
        <v>1.1000000000000001</v>
      </c>
      <c r="G22" s="1099">
        <v>1.0978027707009799</v>
      </c>
      <c r="H22" s="1100">
        <v>0.6040808076247558</v>
      </c>
      <c r="I22" s="1098">
        <v>1.1599999999999999</v>
      </c>
      <c r="J22" s="1099">
        <v>1.1599999999999999</v>
      </c>
      <c r="K22" s="1099">
        <v>1.1599999999999999</v>
      </c>
      <c r="L22" s="1099">
        <v>1.1599999999999999</v>
      </c>
      <c r="M22" s="1100">
        <v>1.1599999999999999</v>
      </c>
      <c r="N22" s="877"/>
      <c r="O22" s="889">
        <v>3.8000000000000003</v>
      </c>
      <c r="P22" s="890">
        <v>1.7018835783257358</v>
      </c>
      <c r="Q22" s="891">
        <v>5.501883578325736</v>
      </c>
      <c r="R22" s="1439"/>
      <c r="S22" s="889">
        <v>5.8</v>
      </c>
      <c r="T22" s="680">
        <v>5.4184429283213369E-2</v>
      </c>
    </row>
    <row r="23" spans="1:20" s="1442" customFormat="1" ht="15" customHeight="1">
      <c r="A23" s="1440"/>
      <c r="B23" s="1948" t="s">
        <v>245</v>
      </c>
      <c r="C23" s="893" t="s">
        <v>225</v>
      </c>
      <c r="D23" s="1098">
        <v>0.4</v>
      </c>
      <c r="E23" s="1099">
        <v>0.5</v>
      </c>
      <c r="F23" s="1099">
        <v>0.60000000000000009</v>
      </c>
      <c r="G23" s="1099">
        <v>0.41756273165842805</v>
      </c>
      <c r="H23" s="1100">
        <v>0.31307144464726483</v>
      </c>
      <c r="I23" s="1098">
        <v>1.1300000000000001</v>
      </c>
      <c r="J23" s="1099">
        <v>1.5499999999999998</v>
      </c>
      <c r="K23" s="1099">
        <v>1.98</v>
      </c>
      <c r="L23" s="1099">
        <v>1.98</v>
      </c>
      <c r="M23" s="1100">
        <v>1.98</v>
      </c>
      <c r="N23" s="877"/>
      <c r="O23" s="889">
        <v>1.5</v>
      </c>
      <c r="P23" s="890">
        <v>0.73063417630569294</v>
      </c>
      <c r="Q23" s="891">
        <v>2.2306341763056929</v>
      </c>
      <c r="R23" s="1439"/>
      <c r="S23" s="889">
        <v>8.620000000000001</v>
      </c>
      <c r="T23" s="680">
        <v>2.8643718865081578</v>
      </c>
    </row>
    <row r="24" spans="1:20" s="1442" customFormat="1" ht="15" customHeight="1">
      <c r="A24" s="1440"/>
      <c r="B24" s="1948"/>
      <c r="C24" s="893" t="s">
        <v>878</v>
      </c>
      <c r="D24" s="1098">
        <v>0.4</v>
      </c>
      <c r="E24" s="1099">
        <v>0.5</v>
      </c>
      <c r="F24" s="1099">
        <v>0.8</v>
      </c>
      <c r="G24" s="1099">
        <v>0.67396090022062072</v>
      </c>
      <c r="H24" s="1100">
        <v>0.91715225227202057</v>
      </c>
      <c r="I24" s="1098">
        <v>0.44</v>
      </c>
      <c r="J24" s="1099">
        <v>0.44</v>
      </c>
      <c r="K24" s="1099">
        <v>0.47</v>
      </c>
      <c r="L24" s="1099">
        <v>0.49</v>
      </c>
      <c r="M24" s="1100">
        <v>0.52</v>
      </c>
      <c r="N24" s="877"/>
      <c r="O24" s="889">
        <v>1.7000000000000002</v>
      </c>
      <c r="P24" s="890">
        <v>1.5911131524926412</v>
      </c>
      <c r="Q24" s="891">
        <v>3.2911131524926418</v>
      </c>
      <c r="R24" s="1439"/>
      <c r="S24" s="889">
        <v>2.3600000000000003</v>
      </c>
      <c r="T24" s="680">
        <v>-0.28291739279381195</v>
      </c>
    </row>
    <row r="25" spans="1:20" s="1442" customFormat="1" ht="15" customHeight="1">
      <c r="A25" s="1440"/>
      <c r="B25" s="1948"/>
      <c r="C25" s="893" t="s">
        <v>120</v>
      </c>
      <c r="D25" s="1098">
        <v>0</v>
      </c>
      <c r="E25" s="1099">
        <v>0.1</v>
      </c>
      <c r="F25" s="1099">
        <v>0</v>
      </c>
      <c r="G25" s="1099">
        <v>0</v>
      </c>
      <c r="H25" s="1100">
        <v>0</v>
      </c>
      <c r="I25" s="1098">
        <v>0.61</v>
      </c>
      <c r="J25" s="1099">
        <v>0.61</v>
      </c>
      <c r="K25" s="1099">
        <v>0.71</v>
      </c>
      <c r="L25" s="1099">
        <v>0.71</v>
      </c>
      <c r="M25" s="1100">
        <v>0.82</v>
      </c>
      <c r="N25" s="877"/>
      <c r="O25" s="889">
        <v>0.1</v>
      </c>
      <c r="P25" s="890">
        <v>0</v>
      </c>
      <c r="Q25" s="891">
        <v>0.1</v>
      </c>
      <c r="R25" s="1439"/>
      <c r="S25" s="889">
        <v>3.4599999999999995</v>
      </c>
      <c r="T25" s="680">
        <v>33.599999999999994</v>
      </c>
    </row>
    <row r="26" spans="1:20" s="1442" customFormat="1" ht="15" customHeight="1">
      <c r="A26" s="1440"/>
      <c r="B26" s="1948"/>
      <c r="C26" s="893" t="s">
        <v>224</v>
      </c>
      <c r="D26" s="1098">
        <v>1.4</v>
      </c>
      <c r="E26" s="1099">
        <v>2.5</v>
      </c>
      <c r="F26" s="1099">
        <v>0.7</v>
      </c>
      <c r="G26" s="1099">
        <v>1.5509472890170184</v>
      </c>
      <c r="H26" s="1100">
        <v>1.7859780399340608</v>
      </c>
      <c r="I26" s="1098">
        <v>0.96</v>
      </c>
      <c r="J26" s="1099">
        <v>0.97</v>
      </c>
      <c r="K26" s="1099">
        <v>0.98</v>
      </c>
      <c r="L26" s="1099">
        <v>0.98</v>
      </c>
      <c r="M26" s="1100">
        <v>0.99</v>
      </c>
      <c r="N26" s="877"/>
      <c r="O26" s="889">
        <v>4.5999999999999996</v>
      </c>
      <c r="P26" s="890">
        <v>3.3369253289510792</v>
      </c>
      <c r="Q26" s="891">
        <v>7.9369253289510784</v>
      </c>
      <c r="R26" s="1439"/>
      <c r="S26" s="889">
        <v>4.88</v>
      </c>
      <c r="T26" s="680">
        <v>-0.38515233572886254</v>
      </c>
    </row>
    <row r="27" spans="1:20" s="1442" customFormat="1" ht="15" customHeight="1">
      <c r="A27" s="1440"/>
      <c r="B27" s="1948"/>
      <c r="C27" s="893" t="s">
        <v>868</v>
      </c>
      <c r="D27" s="1098">
        <v>1.3</v>
      </c>
      <c r="E27" s="1099">
        <v>1.2</v>
      </c>
      <c r="F27" s="1099">
        <v>1.4</v>
      </c>
      <c r="G27" s="1099">
        <v>1.0967562475639916</v>
      </c>
      <c r="H27" s="1100">
        <v>0.62929461524735431</v>
      </c>
      <c r="I27" s="1098">
        <v>1.75</v>
      </c>
      <c r="J27" s="1099">
        <v>1.88</v>
      </c>
      <c r="K27" s="1099">
        <v>2.0099999999999998</v>
      </c>
      <c r="L27" s="1099">
        <v>2.15</v>
      </c>
      <c r="M27" s="1100">
        <v>2.2799999999999998</v>
      </c>
      <c r="N27" s="877"/>
      <c r="O27" s="889">
        <v>3.9</v>
      </c>
      <c r="P27" s="890">
        <v>1.7260508628113458</v>
      </c>
      <c r="Q27" s="891">
        <v>5.6260508628113461</v>
      </c>
      <c r="R27" s="1439"/>
      <c r="S27" s="889">
        <v>10.069999999999999</v>
      </c>
      <c r="T27" s="680">
        <v>0.78988783527776429</v>
      </c>
    </row>
    <row r="28" spans="1:20" s="1442" customFormat="1" ht="15" customHeight="1">
      <c r="A28" s="1440"/>
      <c r="B28" s="1948"/>
      <c r="C28" s="892" t="s">
        <v>869</v>
      </c>
      <c r="D28" s="1098">
        <v>0.7</v>
      </c>
      <c r="E28" s="1099">
        <v>0.6</v>
      </c>
      <c r="F28" s="1099">
        <v>0.7</v>
      </c>
      <c r="G28" s="1099">
        <v>0.92826602250883627</v>
      </c>
      <c r="H28" s="1100">
        <v>0.16283917422928201</v>
      </c>
      <c r="I28" s="1098">
        <v>0.75</v>
      </c>
      <c r="J28" s="1099">
        <v>0.75</v>
      </c>
      <c r="K28" s="1099">
        <v>0.75</v>
      </c>
      <c r="L28" s="1099">
        <v>0.75</v>
      </c>
      <c r="M28" s="1100">
        <v>0.75</v>
      </c>
      <c r="N28" s="877"/>
      <c r="O28" s="889">
        <v>1.9999999999999998</v>
      </c>
      <c r="P28" s="890">
        <v>1.0911051967381182</v>
      </c>
      <c r="Q28" s="891">
        <v>3.091105196738118</v>
      </c>
      <c r="R28" s="1439"/>
      <c r="S28" s="889">
        <v>3.75</v>
      </c>
      <c r="T28" s="680">
        <v>0.21315832407036139</v>
      </c>
    </row>
    <row r="29" spans="1:20" s="1442" customFormat="1" ht="15" customHeight="1">
      <c r="A29" s="1440"/>
      <c r="B29" s="1948" t="s">
        <v>243</v>
      </c>
      <c r="C29" s="893" t="s">
        <v>225</v>
      </c>
      <c r="D29" s="1098">
        <v>1.5</v>
      </c>
      <c r="E29" s="1099">
        <v>3.9000000000000004</v>
      </c>
      <c r="F29" s="1099">
        <v>2.9</v>
      </c>
      <c r="G29" s="1099">
        <v>3.0443358054996672</v>
      </c>
      <c r="H29" s="1100">
        <v>0.98018677132851695</v>
      </c>
      <c r="I29" s="1098">
        <v>0.62</v>
      </c>
      <c r="J29" s="1099">
        <v>0.87</v>
      </c>
      <c r="K29" s="1099">
        <v>1.1200000000000001</v>
      </c>
      <c r="L29" s="1099">
        <v>1.26</v>
      </c>
      <c r="M29" s="1100">
        <v>1.25</v>
      </c>
      <c r="N29" s="877"/>
      <c r="O29" s="889">
        <v>8.3000000000000007</v>
      </c>
      <c r="P29" s="890">
        <v>4.0245225768281845</v>
      </c>
      <c r="Q29" s="891">
        <v>12.324522576828185</v>
      </c>
      <c r="R29" s="1439"/>
      <c r="S29" s="889">
        <v>5.12</v>
      </c>
      <c r="T29" s="680">
        <v>-0.58456808626191237</v>
      </c>
    </row>
    <row r="30" spans="1:20" s="1442" customFormat="1" ht="15" customHeight="1">
      <c r="A30" s="1440"/>
      <c r="B30" s="1948"/>
      <c r="C30" s="893" t="s">
        <v>878</v>
      </c>
      <c r="D30" s="1098">
        <v>0.1</v>
      </c>
      <c r="E30" s="1099">
        <v>0</v>
      </c>
      <c r="F30" s="1099">
        <v>0.8</v>
      </c>
      <c r="G30" s="1099">
        <v>0.716868348837151</v>
      </c>
      <c r="H30" s="1100">
        <v>0.55785549364999187</v>
      </c>
      <c r="I30" s="1098">
        <v>1.19</v>
      </c>
      <c r="J30" s="1099">
        <v>1.31</v>
      </c>
      <c r="K30" s="1099">
        <v>1.55</v>
      </c>
      <c r="L30" s="1099">
        <v>1.67</v>
      </c>
      <c r="M30" s="1100">
        <v>1.91</v>
      </c>
      <c r="N30" s="877"/>
      <c r="O30" s="889">
        <v>0.9</v>
      </c>
      <c r="P30" s="890">
        <v>1.274723842487143</v>
      </c>
      <c r="Q30" s="891">
        <v>2.1747238424871429</v>
      </c>
      <c r="R30" s="1439"/>
      <c r="S30" s="889">
        <v>7.63</v>
      </c>
      <c r="T30" s="680">
        <v>2.5084914465617301</v>
      </c>
    </row>
    <row r="31" spans="1:20" s="1442" customFormat="1" ht="15" customHeight="1">
      <c r="A31" s="1440"/>
      <c r="B31" s="1948"/>
      <c r="C31" s="892" t="s">
        <v>879</v>
      </c>
      <c r="D31" s="1098">
        <v>0</v>
      </c>
      <c r="E31" s="1099">
        <v>0</v>
      </c>
      <c r="F31" s="1099">
        <v>0</v>
      </c>
      <c r="G31" s="1099">
        <v>0</v>
      </c>
      <c r="H31" s="1100">
        <v>0</v>
      </c>
      <c r="I31" s="1098">
        <v>0</v>
      </c>
      <c r="J31" s="1099">
        <v>0</v>
      </c>
      <c r="K31" s="1099">
        <v>0</v>
      </c>
      <c r="L31" s="1099">
        <v>0</v>
      </c>
      <c r="M31" s="1100">
        <v>0</v>
      </c>
      <c r="N31" s="877"/>
      <c r="O31" s="889">
        <v>0</v>
      </c>
      <c r="P31" s="890">
        <v>0</v>
      </c>
      <c r="Q31" s="891">
        <v>0</v>
      </c>
      <c r="R31" s="1439"/>
      <c r="S31" s="889">
        <v>0</v>
      </c>
      <c r="T31" s="680" t="s">
        <v>1020</v>
      </c>
    </row>
    <row r="32" spans="1:20" s="1442" customFormat="1" ht="15" customHeight="1">
      <c r="A32" s="1440"/>
      <c r="B32" s="1948"/>
      <c r="C32" s="892" t="s">
        <v>224</v>
      </c>
      <c r="D32" s="1098">
        <v>0.8</v>
      </c>
      <c r="E32" s="1099">
        <v>0.4</v>
      </c>
      <c r="F32" s="1099">
        <v>0.3</v>
      </c>
      <c r="G32" s="1099">
        <v>0.76291536686464678</v>
      </c>
      <c r="H32" s="1100">
        <v>1.3415846805857621</v>
      </c>
      <c r="I32" s="1098">
        <v>0.16</v>
      </c>
      <c r="J32" s="1099">
        <v>0.16</v>
      </c>
      <c r="K32" s="1099">
        <v>0.16</v>
      </c>
      <c r="L32" s="1099">
        <v>0.14000000000000001</v>
      </c>
      <c r="M32" s="1100">
        <v>0.14000000000000001</v>
      </c>
      <c r="N32" s="877"/>
      <c r="O32" s="889">
        <v>1.5000000000000002</v>
      </c>
      <c r="P32" s="890">
        <v>2.1045000474504088</v>
      </c>
      <c r="Q32" s="891">
        <v>3.6045000474504092</v>
      </c>
      <c r="R32" s="1439"/>
      <c r="S32" s="889">
        <v>0.76</v>
      </c>
      <c r="T32" s="680">
        <v>-0.78915245110412047</v>
      </c>
    </row>
    <row r="33" spans="1:20" s="1442" customFormat="1" ht="15" customHeight="1">
      <c r="A33" s="1440"/>
      <c r="B33" s="1948"/>
      <c r="C33" s="892" t="s">
        <v>868</v>
      </c>
      <c r="D33" s="1098">
        <v>1.8</v>
      </c>
      <c r="E33" s="1099">
        <v>1.9</v>
      </c>
      <c r="F33" s="1099">
        <v>1</v>
      </c>
      <c r="G33" s="1099">
        <v>1.6336226168391133</v>
      </c>
      <c r="H33" s="1100">
        <v>0.58411987659019871</v>
      </c>
      <c r="I33" s="1098">
        <v>2.81</v>
      </c>
      <c r="J33" s="1099">
        <v>2.81</v>
      </c>
      <c r="K33" s="1099">
        <v>2.92</v>
      </c>
      <c r="L33" s="1099">
        <v>2.04</v>
      </c>
      <c r="M33" s="1100">
        <v>2.04</v>
      </c>
      <c r="N33" s="877"/>
      <c r="O33" s="889">
        <v>4.7</v>
      </c>
      <c r="P33" s="890">
        <v>2.217742493429312</v>
      </c>
      <c r="Q33" s="891">
        <v>6.9177424934293121</v>
      </c>
      <c r="R33" s="1439"/>
      <c r="S33" s="889">
        <v>12.619999999999997</v>
      </c>
      <c r="T33" s="680">
        <v>0.82429456025384984</v>
      </c>
    </row>
    <row r="34" spans="1:20" s="1442" customFormat="1" ht="15" customHeight="1">
      <c r="A34" s="1440"/>
      <c r="B34" s="1948"/>
      <c r="C34" s="892" t="s">
        <v>869</v>
      </c>
      <c r="D34" s="1098">
        <v>0.2</v>
      </c>
      <c r="E34" s="1099">
        <v>0.3</v>
      </c>
      <c r="F34" s="1099">
        <v>0.8</v>
      </c>
      <c r="G34" s="1099">
        <v>1.1197797565777394</v>
      </c>
      <c r="H34" s="1100">
        <v>0.33513352631703847</v>
      </c>
      <c r="I34" s="1098">
        <v>0.15</v>
      </c>
      <c r="J34" s="1099">
        <v>0.15</v>
      </c>
      <c r="K34" s="1099">
        <v>0.15</v>
      </c>
      <c r="L34" s="1099">
        <v>0.15</v>
      </c>
      <c r="M34" s="1100">
        <v>0.15</v>
      </c>
      <c r="N34" s="877"/>
      <c r="O34" s="889">
        <v>1.3</v>
      </c>
      <c r="P34" s="890">
        <v>1.4549132828947779</v>
      </c>
      <c r="Q34" s="891">
        <v>2.7549132828947775</v>
      </c>
      <c r="R34" s="1439"/>
      <c r="S34" s="889">
        <v>0.75</v>
      </c>
      <c r="T34" s="680">
        <v>-0.7277591259744034</v>
      </c>
    </row>
    <row r="35" spans="1:20" s="1442" customFormat="1" ht="15" customHeight="1" thickBot="1">
      <c r="A35" s="1440"/>
      <c r="B35" s="1447" t="s">
        <v>880</v>
      </c>
      <c r="C35" s="1448"/>
      <c r="D35" s="894">
        <v>24.167928048664923</v>
      </c>
      <c r="E35" s="895">
        <v>33.787607124118956</v>
      </c>
      <c r="F35" s="895">
        <v>33.200000000000003</v>
      </c>
      <c r="G35" s="895">
        <v>35.105306330365408</v>
      </c>
      <c r="H35" s="896">
        <v>30.480382413887572</v>
      </c>
      <c r="I35" s="894">
        <v>33.989999999999995</v>
      </c>
      <c r="J35" s="895">
        <v>38.629999999999995</v>
      </c>
      <c r="K35" s="895">
        <v>44.009999999999991</v>
      </c>
      <c r="L35" s="895">
        <v>46.089999999999989</v>
      </c>
      <c r="M35" s="896">
        <v>46.61</v>
      </c>
      <c r="N35" s="877"/>
      <c r="O35" s="897">
        <v>91.155535172783885</v>
      </c>
      <c r="P35" s="898">
        <v>65.585688744252977</v>
      </c>
      <c r="Q35" s="899">
        <v>156.74122391703688</v>
      </c>
      <c r="R35" s="1439"/>
      <c r="S35" s="897">
        <v>209.32999999999998</v>
      </c>
      <c r="T35" s="712">
        <v>0.33551336890669137</v>
      </c>
    </row>
    <row r="36" spans="1:20" s="1442" customFormat="1" ht="12.75">
      <c r="A36" s="1440"/>
      <c r="B36" s="1449"/>
      <c r="C36" s="1449"/>
      <c r="D36" s="900"/>
      <c r="E36" s="900"/>
      <c r="F36" s="900"/>
      <c r="G36" s="900"/>
      <c r="H36" s="900"/>
      <c r="I36" s="900"/>
      <c r="J36" s="900"/>
      <c r="K36" s="900"/>
      <c r="L36" s="900"/>
      <c r="M36" s="900"/>
      <c r="N36" s="877"/>
      <c r="O36" s="877"/>
      <c r="P36" s="877"/>
      <c r="Q36" s="877"/>
    </row>
    <row r="37" spans="1:20" s="1442" customFormat="1" ht="12.75">
      <c r="A37" s="1440"/>
      <c r="B37" s="877"/>
      <c r="C37" s="877"/>
      <c r="D37" s="877"/>
      <c r="E37" s="877"/>
      <c r="F37" s="877"/>
      <c r="G37" s="877"/>
      <c r="H37" s="877"/>
      <c r="I37" s="877"/>
      <c r="J37" s="877"/>
      <c r="K37" s="877"/>
      <c r="L37" s="877"/>
      <c r="M37" s="877"/>
      <c r="N37" s="877"/>
      <c r="O37" s="877"/>
      <c r="P37" s="877"/>
      <c r="Q37" s="877"/>
    </row>
    <row r="38" spans="1:20" s="1442" customFormat="1" ht="15" customHeight="1">
      <c r="A38" s="1440"/>
      <c r="B38" s="875" t="s">
        <v>884</v>
      </c>
      <c r="C38" s="877"/>
      <c r="D38" s="877"/>
      <c r="E38" s="877"/>
      <c r="F38" s="877"/>
      <c r="G38" s="877"/>
      <c r="H38" s="877"/>
      <c r="I38" s="877"/>
      <c r="J38" s="877"/>
      <c r="K38" s="877"/>
      <c r="L38" s="877"/>
      <c r="M38" s="877"/>
      <c r="O38" s="877"/>
      <c r="P38" s="877"/>
      <c r="Q38" s="877"/>
    </row>
    <row r="39" spans="1:20" s="1442" customFormat="1" ht="13.5" thickBot="1">
      <c r="A39" s="1440"/>
      <c r="B39" s="877"/>
      <c r="C39" s="877"/>
      <c r="D39" s="877"/>
      <c r="E39" s="877"/>
      <c r="F39" s="877"/>
      <c r="G39" s="877"/>
      <c r="H39" s="877"/>
      <c r="I39" s="877"/>
      <c r="J39" s="877"/>
      <c r="K39" s="877"/>
      <c r="L39" s="877"/>
      <c r="M39" s="877"/>
      <c r="N39" s="1439"/>
      <c r="O39" s="877"/>
      <c r="P39" s="877"/>
      <c r="Q39" s="877"/>
    </row>
    <row r="40" spans="1:20" s="1442" customFormat="1" ht="15" customHeight="1">
      <c r="A40" s="1440"/>
      <c r="B40" s="1952" t="s">
        <v>113</v>
      </c>
      <c r="C40" s="1953"/>
      <c r="D40" s="1444" t="s">
        <v>114</v>
      </c>
      <c r="E40" s="1444"/>
      <c r="F40" s="1444"/>
      <c r="G40" s="1444"/>
      <c r="H40" s="1445"/>
      <c r="I40" s="1443" t="s">
        <v>115</v>
      </c>
      <c r="J40" s="1444"/>
      <c r="K40" s="1444"/>
      <c r="L40" s="1444"/>
      <c r="M40" s="1445"/>
      <c r="N40" s="1439"/>
      <c r="O40" s="535" t="s">
        <v>116</v>
      </c>
      <c r="P40" s="536"/>
      <c r="Q40" s="537"/>
      <c r="R40" s="1439"/>
      <c r="S40" s="535" t="s">
        <v>117</v>
      </c>
      <c r="T40" s="537"/>
    </row>
    <row r="41" spans="1:20" s="1442" customFormat="1" ht="15" customHeight="1">
      <c r="A41" s="1440"/>
      <c r="B41" s="1954"/>
      <c r="C41" s="1955"/>
      <c r="D41" s="883" t="s">
        <v>32</v>
      </c>
      <c r="E41" s="881" t="s">
        <v>33</v>
      </c>
      <c r="F41" s="881" t="s">
        <v>29</v>
      </c>
      <c r="G41" s="881" t="s">
        <v>34</v>
      </c>
      <c r="H41" s="882" t="s">
        <v>35</v>
      </c>
      <c r="I41" s="880" t="s">
        <v>118</v>
      </c>
      <c r="J41" s="881" t="s">
        <v>136</v>
      </c>
      <c r="K41" s="881" t="s">
        <v>137</v>
      </c>
      <c r="L41" s="881" t="s">
        <v>138</v>
      </c>
      <c r="M41" s="882" t="s">
        <v>139</v>
      </c>
      <c r="N41" s="1439"/>
      <c r="O41" s="542" t="s">
        <v>126</v>
      </c>
      <c r="P41" s="543" t="s">
        <v>127</v>
      </c>
      <c r="Q41" s="544" t="s">
        <v>246</v>
      </c>
      <c r="R41" s="1439"/>
      <c r="S41" s="542" t="s">
        <v>127</v>
      </c>
      <c r="T41" s="544" t="s">
        <v>128</v>
      </c>
    </row>
    <row r="42" spans="1:20" s="1442" customFormat="1" ht="15" customHeight="1">
      <c r="A42" s="1440"/>
      <c r="B42" s="1956"/>
      <c r="C42" s="1957"/>
      <c r="D42" s="883" t="s">
        <v>14</v>
      </c>
      <c r="E42" s="881" t="s">
        <v>14</v>
      </c>
      <c r="F42" s="881" t="s">
        <v>14</v>
      </c>
      <c r="G42" s="881" t="s">
        <v>14</v>
      </c>
      <c r="H42" s="882" t="s">
        <v>14</v>
      </c>
      <c r="I42" s="883" t="s">
        <v>14</v>
      </c>
      <c r="J42" s="881" t="s">
        <v>14</v>
      </c>
      <c r="K42" s="881" t="s">
        <v>14</v>
      </c>
      <c r="L42" s="881" t="s">
        <v>14</v>
      </c>
      <c r="M42" s="882" t="s">
        <v>14</v>
      </c>
      <c r="N42" s="877"/>
      <c r="O42" s="884"/>
      <c r="P42" s="885"/>
      <c r="Q42" s="886"/>
      <c r="R42" s="1439"/>
      <c r="S42" s="887"/>
      <c r="T42" s="888"/>
    </row>
    <row r="43" spans="1:20" s="1442" customFormat="1" ht="15" customHeight="1">
      <c r="A43" s="1440"/>
      <c r="B43" s="1949" t="s">
        <v>103</v>
      </c>
      <c r="C43" s="1446" t="s">
        <v>104</v>
      </c>
      <c r="D43" s="1101">
        <v>1.3</v>
      </c>
      <c r="E43" s="1101">
        <v>1.2</v>
      </c>
      <c r="F43" s="1101">
        <v>1.7</v>
      </c>
      <c r="G43" s="1101">
        <v>1.3897827259207831</v>
      </c>
      <c r="H43" s="1102">
        <v>0.94341663521222741</v>
      </c>
      <c r="I43" s="1103">
        <v>0.87</v>
      </c>
      <c r="J43" s="1104">
        <v>1.23</v>
      </c>
      <c r="K43" s="1104">
        <v>1.64</v>
      </c>
      <c r="L43" s="1104">
        <v>1.64</v>
      </c>
      <c r="M43" s="1105">
        <v>1.64</v>
      </c>
      <c r="N43" s="877"/>
      <c r="O43" s="889">
        <v>5.5897827259207835</v>
      </c>
      <c r="P43" s="890">
        <v>0.94341663521222741</v>
      </c>
      <c r="Q43" s="891">
        <v>6.5331993611330113</v>
      </c>
      <c r="R43" s="1439"/>
      <c r="S43" s="889">
        <v>7.02</v>
      </c>
      <c r="T43" s="680">
        <v>7.4511829803180163E-2</v>
      </c>
    </row>
    <row r="44" spans="1:20" s="1442" customFormat="1" ht="15" customHeight="1">
      <c r="A44" s="1440"/>
      <c r="B44" s="1950"/>
      <c r="C44" s="893" t="s">
        <v>105</v>
      </c>
      <c r="D44" s="1106">
        <v>1.7</v>
      </c>
      <c r="E44" s="1106">
        <v>1.5</v>
      </c>
      <c r="F44" s="1106">
        <v>1.1000000000000001</v>
      </c>
      <c r="G44" s="1106">
        <v>1.7696706246476237</v>
      </c>
      <c r="H44" s="1107">
        <v>1.8857826951068464</v>
      </c>
      <c r="I44" s="1108">
        <v>2.1800000000000002</v>
      </c>
      <c r="J44" s="1109">
        <v>2.27</v>
      </c>
      <c r="K44" s="1109">
        <v>2.35</v>
      </c>
      <c r="L44" s="1109">
        <v>2.42</v>
      </c>
      <c r="M44" s="1110">
        <v>2.48</v>
      </c>
      <c r="N44" s="877"/>
      <c r="O44" s="889">
        <v>6.0696706246476246</v>
      </c>
      <c r="P44" s="890">
        <v>1.8857826951068464</v>
      </c>
      <c r="Q44" s="891">
        <v>7.9554533197544712</v>
      </c>
      <c r="R44" s="1439"/>
      <c r="S44" s="889">
        <v>11.700000000000001</v>
      </c>
      <c r="T44" s="680">
        <v>0.4706892906966485</v>
      </c>
    </row>
    <row r="45" spans="1:20" s="1442" customFormat="1" ht="15" customHeight="1">
      <c r="A45" s="1440"/>
      <c r="B45" s="1950" t="s">
        <v>106</v>
      </c>
      <c r="C45" s="893" t="s">
        <v>104</v>
      </c>
      <c r="D45" s="1106">
        <v>0</v>
      </c>
      <c r="E45" s="1106">
        <v>0</v>
      </c>
      <c r="F45" s="1106">
        <v>0</v>
      </c>
      <c r="G45" s="1106">
        <v>4.2907448616530203E-2</v>
      </c>
      <c r="H45" s="1107">
        <v>0</v>
      </c>
      <c r="I45" s="1108">
        <v>0</v>
      </c>
      <c r="J45" s="1109">
        <v>0</v>
      </c>
      <c r="K45" s="1109">
        <v>0</v>
      </c>
      <c r="L45" s="1109">
        <v>0</v>
      </c>
      <c r="M45" s="1110">
        <v>0</v>
      </c>
      <c r="N45" s="877"/>
      <c r="O45" s="889">
        <v>4.2907448616530203E-2</v>
      </c>
      <c r="P45" s="890">
        <v>0</v>
      </c>
      <c r="Q45" s="891">
        <v>4.2907448616530203E-2</v>
      </c>
      <c r="R45" s="1439"/>
      <c r="S45" s="889">
        <v>0</v>
      </c>
      <c r="T45" s="680">
        <v>-1</v>
      </c>
    </row>
    <row r="46" spans="1:20" s="1442" customFormat="1" ht="15" customHeight="1">
      <c r="A46" s="1440"/>
      <c r="B46" s="1950"/>
      <c r="C46" s="893" t="s">
        <v>105</v>
      </c>
      <c r="D46" s="1106">
        <v>-0.43207195133507958</v>
      </c>
      <c r="E46" s="1109">
        <v>-0.31239287588104236</v>
      </c>
      <c r="F46" s="1109">
        <v>-0.29999999999999993</v>
      </c>
      <c r="G46" s="1109">
        <v>-0.38543281432700627</v>
      </c>
      <c r="H46" s="1110">
        <v>-0.20109607440707422</v>
      </c>
      <c r="I46" s="1108">
        <v>-0.3</v>
      </c>
      <c r="J46" s="1109">
        <v>-0.3</v>
      </c>
      <c r="K46" s="1109">
        <v>-0.3</v>
      </c>
      <c r="L46" s="1109">
        <v>-0.3</v>
      </c>
      <c r="M46" s="1110">
        <v>-0.3</v>
      </c>
      <c r="N46" s="877"/>
      <c r="O46" s="889">
        <v>-1.4298976415431282</v>
      </c>
      <c r="P46" s="890">
        <v>-0.20109607440707422</v>
      </c>
      <c r="Q46" s="891">
        <v>-1.6309937159502024</v>
      </c>
      <c r="R46" s="1439"/>
      <c r="S46" s="889">
        <v>-1.5</v>
      </c>
      <c r="T46" s="680">
        <v>-8.0315279371807144E-2</v>
      </c>
    </row>
    <row r="47" spans="1:20" s="1442" customFormat="1" ht="15" customHeight="1">
      <c r="A47" s="1440"/>
      <c r="B47" s="1948" t="s">
        <v>848</v>
      </c>
      <c r="C47" s="893" t="s">
        <v>129</v>
      </c>
      <c r="D47" s="1111">
        <v>3.3</v>
      </c>
      <c r="E47" s="1112">
        <v>3.6</v>
      </c>
      <c r="F47" s="1112">
        <v>5.3</v>
      </c>
      <c r="G47" s="1112">
        <v>4.7585407038868981</v>
      </c>
      <c r="H47" s="1113">
        <v>4.400833796743651</v>
      </c>
      <c r="I47" s="1114">
        <v>4.99</v>
      </c>
      <c r="J47" s="1112">
        <v>5.6199999999999992</v>
      </c>
      <c r="K47" s="1112">
        <v>6.42</v>
      </c>
      <c r="L47" s="1112">
        <v>7.0299999999999994</v>
      </c>
      <c r="M47" s="1113">
        <v>6.79</v>
      </c>
      <c r="N47" s="877"/>
      <c r="O47" s="889">
        <v>16.958540703886896</v>
      </c>
      <c r="P47" s="890">
        <v>4.400833796743651</v>
      </c>
      <c r="Q47" s="891">
        <v>21.359374500630548</v>
      </c>
      <c r="R47" s="1439"/>
      <c r="S47" s="889">
        <v>30.85</v>
      </c>
      <c r="T47" s="680">
        <v>0.44433068482830723</v>
      </c>
    </row>
    <row r="48" spans="1:20" s="1442" customFormat="1" ht="15" customHeight="1">
      <c r="A48" s="1440"/>
      <c r="B48" s="1948"/>
      <c r="C48" s="893" t="s">
        <v>130</v>
      </c>
      <c r="D48" s="1106">
        <v>0.9</v>
      </c>
      <c r="E48" s="1109">
        <v>1.1000000000000001</v>
      </c>
      <c r="F48" s="1109">
        <v>0.8</v>
      </c>
      <c r="G48" s="1109">
        <v>0.68514031003207476</v>
      </c>
      <c r="H48" s="1110">
        <v>0.50158468058576222</v>
      </c>
      <c r="I48" s="1108">
        <v>0.27</v>
      </c>
      <c r="J48" s="1109">
        <v>0.45999999999999996</v>
      </c>
      <c r="K48" s="1109">
        <v>0.66999999999999993</v>
      </c>
      <c r="L48" s="1109">
        <v>0.87999999999999989</v>
      </c>
      <c r="M48" s="1110">
        <v>1.1099999999999999</v>
      </c>
      <c r="N48" s="904"/>
      <c r="O48" s="889">
        <v>3.4851403100320746</v>
      </c>
      <c r="P48" s="890">
        <v>0.50158468058576222</v>
      </c>
      <c r="Q48" s="891">
        <v>3.9867249906178368</v>
      </c>
      <c r="R48" s="1439"/>
      <c r="S48" s="889">
        <v>3.3899999999999997</v>
      </c>
      <c r="T48" s="680">
        <v>-0.14967799184095729</v>
      </c>
    </row>
    <row r="49" spans="1:20" s="1442" customFormat="1" ht="15" customHeight="1">
      <c r="A49" s="1440"/>
      <c r="B49" s="1948"/>
      <c r="C49" s="892" t="s">
        <v>224</v>
      </c>
      <c r="D49" s="1106">
        <v>0.2</v>
      </c>
      <c r="E49" s="1109">
        <v>0.2</v>
      </c>
      <c r="F49" s="1109">
        <v>0</v>
      </c>
      <c r="G49" s="1109">
        <v>0.18000197956202912</v>
      </c>
      <c r="H49" s="1110">
        <v>9.3501203267136124E-2</v>
      </c>
      <c r="I49" s="1108">
        <v>0.53</v>
      </c>
      <c r="J49" s="1109">
        <v>0.57999999999999996</v>
      </c>
      <c r="K49" s="1109">
        <v>0.64</v>
      </c>
      <c r="L49" s="1109">
        <v>0.7</v>
      </c>
      <c r="M49" s="1110">
        <v>0.76</v>
      </c>
      <c r="N49" s="904"/>
      <c r="O49" s="889">
        <v>0.58000197956202915</v>
      </c>
      <c r="P49" s="890">
        <v>9.3501203267136124E-2</v>
      </c>
      <c r="Q49" s="891">
        <v>0.67350318282916533</v>
      </c>
      <c r="R49" s="1439"/>
      <c r="S49" s="889">
        <v>3.21</v>
      </c>
      <c r="T49" s="680">
        <v>3.7661244695471905</v>
      </c>
    </row>
    <row r="50" spans="1:20" s="1442" customFormat="1" ht="15" customHeight="1">
      <c r="A50" s="1440"/>
      <c r="B50" s="1948" t="s">
        <v>239</v>
      </c>
      <c r="C50" s="893" t="s">
        <v>225</v>
      </c>
      <c r="D50" s="1111">
        <v>2.5</v>
      </c>
      <c r="E50" s="1112">
        <v>6.1999999999999993</v>
      </c>
      <c r="F50" s="1112">
        <v>7.1</v>
      </c>
      <c r="G50" s="1112">
        <v>7.4481051659474495</v>
      </c>
      <c r="H50" s="1113">
        <v>7.3895728729761077</v>
      </c>
      <c r="I50" s="1114">
        <v>4.78</v>
      </c>
      <c r="J50" s="1112">
        <v>6.78</v>
      </c>
      <c r="K50" s="1112">
        <v>8.91</v>
      </c>
      <c r="L50" s="1112">
        <v>10.14</v>
      </c>
      <c r="M50" s="1113">
        <v>9.65</v>
      </c>
      <c r="N50" s="877"/>
      <c r="O50" s="889">
        <v>23.24810516594745</v>
      </c>
      <c r="P50" s="890">
        <v>7.3895728729761077</v>
      </c>
      <c r="Q50" s="891">
        <v>30.637678038923557</v>
      </c>
      <c r="R50" s="1439"/>
      <c r="S50" s="889">
        <v>40.26</v>
      </c>
      <c r="T50" s="680">
        <v>0.31406825115309939</v>
      </c>
    </row>
    <row r="51" spans="1:20" s="1442" customFormat="1" ht="15" customHeight="1">
      <c r="A51" s="1440"/>
      <c r="B51" s="1948"/>
      <c r="C51" s="893" t="s">
        <v>878</v>
      </c>
      <c r="D51" s="1106">
        <v>0.8</v>
      </c>
      <c r="E51" s="1109">
        <v>1.1000000000000001</v>
      </c>
      <c r="F51" s="1109">
        <v>0.6</v>
      </c>
      <c r="G51" s="1109">
        <v>0.64745557929034148</v>
      </c>
      <c r="H51" s="1110">
        <v>0.33396145735375304</v>
      </c>
      <c r="I51" s="1108">
        <v>0.43000000000000005</v>
      </c>
      <c r="J51" s="1109">
        <v>0.53999999999999992</v>
      </c>
      <c r="K51" s="1109">
        <v>0.66</v>
      </c>
      <c r="L51" s="1109">
        <v>0.78999999999999992</v>
      </c>
      <c r="M51" s="1110">
        <v>0.93</v>
      </c>
      <c r="N51" s="877"/>
      <c r="O51" s="889">
        <v>3.1474555792903414</v>
      </c>
      <c r="P51" s="890">
        <v>0.33396145735375304</v>
      </c>
      <c r="Q51" s="891">
        <v>3.4814170366440944</v>
      </c>
      <c r="R51" s="1439"/>
      <c r="S51" s="889">
        <v>3.35</v>
      </c>
      <c r="T51" s="680">
        <v>-3.774814544217131E-2</v>
      </c>
    </row>
    <row r="52" spans="1:20" s="1442" customFormat="1" ht="15" customHeight="1">
      <c r="A52" s="1440"/>
      <c r="B52" s="1948"/>
      <c r="C52" s="892" t="s">
        <v>120</v>
      </c>
      <c r="D52" s="1106">
        <v>0</v>
      </c>
      <c r="E52" s="1109">
        <v>0.1</v>
      </c>
      <c r="F52" s="1109">
        <v>0</v>
      </c>
      <c r="G52" s="1109">
        <v>0</v>
      </c>
      <c r="H52" s="1110">
        <v>0</v>
      </c>
      <c r="I52" s="1108">
        <v>0.05</v>
      </c>
      <c r="J52" s="1109">
        <v>0.05</v>
      </c>
      <c r="K52" s="1109">
        <v>0.05</v>
      </c>
      <c r="L52" s="1109">
        <v>0.05</v>
      </c>
      <c r="M52" s="1110">
        <v>0.05</v>
      </c>
      <c r="N52" s="877"/>
      <c r="O52" s="889">
        <v>0.1</v>
      </c>
      <c r="P52" s="890">
        <v>0</v>
      </c>
      <c r="Q52" s="891">
        <v>0.1</v>
      </c>
      <c r="R52" s="1439"/>
      <c r="S52" s="889">
        <v>0.25</v>
      </c>
      <c r="T52" s="680">
        <v>1.4999999999999998</v>
      </c>
    </row>
    <row r="53" spans="1:20" s="1442" customFormat="1" ht="15" customHeight="1">
      <c r="A53" s="1440"/>
      <c r="B53" s="1948"/>
      <c r="C53" s="892" t="s">
        <v>224</v>
      </c>
      <c r="D53" s="1106">
        <v>1.7</v>
      </c>
      <c r="E53" s="1109">
        <v>2.5</v>
      </c>
      <c r="F53" s="1109">
        <v>2.5</v>
      </c>
      <c r="G53" s="1109">
        <v>2.3645619876080151</v>
      </c>
      <c r="H53" s="1110">
        <v>3.9735188384858353</v>
      </c>
      <c r="I53" s="1108">
        <v>3.88</v>
      </c>
      <c r="J53" s="1109">
        <v>4.0100000000000007</v>
      </c>
      <c r="K53" s="1109">
        <v>4.1400000000000006</v>
      </c>
      <c r="L53" s="1109">
        <v>4.25</v>
      </c>
      <c r="M53" s="1110">
        <v>4.3600000000000003</v>
      </c>
      <c r="N53" s="877"/>
      <c r="O53" s="889">
        <v>9.0645619876080161</v>
      </c>
      <c r="P53" s="890">
        <v>3.9735188384858353</v>
      </c>
      <c r="Q53" s="891">
        <v>13.038080826093852</v>
      </c>
      <c r="R53" s="1439"/>
      <c r="S53" s="889">
        <v>20.64</v>
      </c>
      <c r="T53" s="680">
        <v>0.58305507346541341</v>
      </c>
    </row>
    <row r="54" spans="1:20" s="1442" customFormat="1" ht="15" customHeight="1">
      <c r="A54" s="1440"/>
      <c r="B54" s="1948"/>
      <c r="C54" s="893" t="s">
        <v>868</v>
      </c>
      <c r="D54" s="1106">
        <v>1.1000000000000001</v>
      </c>
      <c r="E54" s="1109">
        <v>1.3</v>
      </c>
      <c r="F54" s="1109">
        <v>1</v>
      </c>
      <c r="G54" s="1109">
        <v>0.66175476289246959</v>
      </c>
      <c r="H54" s="1110">
        <v>0.448009626137089</v>
      </c>
      <c r="I54" s="1108">
        <v>2.08</v>
      </c>
      <c r="J54" s="1109">
        <v>2.23</v>
      </c>
      <c r="K54" s="1109">
        <v>2.37</v>
      </c>
      <c r="L54" s="1109">
        <v>2.5100000000000002</v>
      </c>
      <c r="M54" s="1110">
        <v>2.6500000000000004</v>
      </c>
      <c r="N54" s="877"/>
      <c r="O54" s="889">
        <v>4.0617547628924697</v>
      </c>
      <c r="P54" s="890">
        <v>0.448009626137089</v>
      </c>
      <c r="Q54" s="891">
        <v>4.5097643890295585</v>
      </c>
      <c r="R54" s="1439"/>
      <c r="S54" s="889">
        <v>11.840000000000002</v>
      </c>
      <c r="T54" s="680">
        <v>1.6254143184956527</v>
      </c>
    </row>
    <row r="55" spans="1:20" s="1442" customFormat="1" ht="15" customHeight="1">
      <c r="A55" s="1440"/>
      <c r="B55" s="1948"/>
      <c r="C55" s="893" t="s">
        <v>869</v>
      </c>
      <c r="D55" s="1106">
        <v>1.2</v>
      </c>
      <c r="E55" s="1109">
        <v>1.5</v>
      </c>
      <c r="F55" s="1109">
        <v>1.1000000000000001</v>
      </c>
      <c r="G55" s="1109">
        <v>1.0978027707009799</v>
      </c>
      <c r="H55" s="1110">
        <v>0.6040808076247558</v>
      </c>
      <c r="I55" s="1108">
        <v>1.1599999999999999</v>
      </c>
      <c r="J55" s="1109">
        <v>1.1599999999999999</v>
      </c>
      <c r="K55" s="1109">
        <v>1.1599999999999999</v>
      </c>
      <c r="L55" s="1109">
        <v>1.1599999999999999</v>
      </c>
      <c r="M55" s="1110">
        <v>1.1599999999999999</v>
      </c>
      <c r="N55" s="877"/>
      <c r="O55" s="889">
        <v>4.8978027707009799</v>
      </c>
      <c r="P55" s="890">
        <v>0.6040808076247558</v>
      </c>
      <c r="Q55" s="891">
        <v>5.501883578325736</v>
      </c>
      <c r="R55" s="1439"/>
      <c r="S55" s="889">
        <v>5.8</v>
      </c>
      <c r="T55" s="680">
        <v>5.4184429283213369E-2</v>
      </c>
    </row>
    <row r="56" spans="1:20" s="1442" customFormat="1" ht="15" customHeight="1">
      <c r="A56" s="1440"/>
      <c r="B56" s="1948" t="s">
        <v>245</v>
      </c>
      <c r="C56" s="893" t="s">
        <v>225</v>
      </c>
      <c r="D56" s="1111">
        <v>0.4</v>
      </c>
      <c r="E56" s="1112">
        <v>0.5</v>
      </c>
      <c r="F56" s="1112">
        <v>0.60000000000000009</v>
      </c>
      <c r="G56" s="1112">
        <v>0.41756273165842805</v>
      </c>
      <c r="H56" s="1113">
        <v>0.31307144464726483</v>
      </c>
      <c r="I56" s="1114">
        <v>1.1300000000000001</v>
      </c>
      <c r="J56" s="1112">
        <v>1.5499999999999998</v>
      </c>
      <c r="K56" s="1112">
        <v>1.98</v>
      </c>
      <c r="L56" s="1112">
        <v>1.98</v>
      </c>
      <c r="M56" s="1113">
        <v>1.98</v>
      </c>
      <c r="N56" s="877"/>
      <c r="O56" s="889">
        <v>1.9175627316584281</v>
      </c>
      <c r="P56" s="890">
        <v>0.31307144464726483</v>
      </c>
      <c r="Q56" s="891">
        <v>2.2306341763056929</v>
      </c>
      <c r="R56" s="1439"/>
      <c r="S56" s="889">
        <v>8.620000000000001</v>
      </c>
      <c r="T56" s="680">
        <v>2.8643718865081578</v>
      </c>
    </row>
    <row r="57" spans="1:20" s="1442" customFormat="1" ht="15" customHeight="1">
      <c r="A57" s="1440"/>
      <c r="B57" s="1948"/>
      <c r="C57" s="893" t="s">
        <v>878</v>
      </c>
      <c r="D57" s="1106">
        <v>0.4</v>
      </c>
      <c r="E57" s="1109">
        <v>0.5</v>
      </c>
      <c r="F57" s="1109">
        <v>0.6</v>
      </c>
      <c r="G57" s="1109">
        <v>0.47396090022062071</v>
      </c>
      <c r="H57" s="1110">
        <v>0.71715225227202062</v>
      </c>
      <c r="I57" s="1108">
        <v>0.24</v>
      </c>
      <c r="J57" s="1109">
        <v>0.24</v>
      </c>
      <c r="K57" s="1109">
        <v>0.26999999999999996</v>
      </c>
      <c r="L57" s="1109">
        <v>0.28999999999999998</v>
      </c>
      <c r="M57" s="1110">
        <v>0.32</v>
      </c>
      <c r="N57" s="877"/>
      <c r="O57" s="889">
        <v>1.9739609002206207</v>
      </c>
      <c r="P57" s="890">
        <v>0.71715225227202062</v>
      </c>
      <c r="Q57" s="891">
        <v>2.6911131524926413</v>
      </c>
      <c r="R57" s="1439"/>
      <c r="S57" s="889">
        <v>1.36</v>
      </c>
      <c r="T57" s="680">
        <v>-0.49463291844852336</v>
      </c>
    </row>
    <row r="58" spans="1:20" s="1442" customFormat="1" ht="15" customHeight="1">
      <c r="A58" s="1440"/>
      <c r="B58" s="1948"/>
      <c r="C58" s="893" t="s">
        <v>120</v>
      </c>
      <c r="D58" s="1106">
        <v>0</v>
      </c>
      <c r="E58" s="1109">
        <v>0.1</v>
      </c>
      <c r="F58" s="1109">
        <v>0</v>
      </c>
      <c r="G58" s="1109">
        <v>0</v>
      </c>
      <c r="H58" s="1110">
        <v>0</v>
      </c>
      <c r="I58" s="1108">
        <v>1.0000000000000009E-2</v>
      </c>
      <c r="J58" s="1109">
        <v>1.0000000000000009E-2</v>
      </c>
      <c r="K58" s="1109">
        <v>1.0000000000000009E-2</v>
      </c>
      <c r="L58" s="1109">
        <v>1.0000000000000009E-2</v>
      </c>
      <c r="M58" s="1110">
        <v>1.9999999999999907E-2</v>
      </c>
      <c r="N58" s="877"/>
      <c r="O58" s="889">
        <v>0.1</v>
      </c>
      <c r="P58" s="890">
        <v>0</v>
      </c>
      <c r="Q58" s="891">
        <v>0.1</v>
      </c>
      <c r="R58" s="1439"/>
      <c r="S58" s="889">
        <v>5.9999999999999942E-2</v>
      </c>
      <c r="T58" s="680">
        <v>-0.40000000000000063</v>
      </c>
    </row>
    <row r="59" spans="1:20" s="1442" customFormat="1" ht="15" customHeight="1">
      <c r="A59" s="1440"/>
      <c r="B59" s="1948"/>
      <c r="C59" s="893" t="s">
        <v>224</v>
      </c>
      <c r="D59" s="1106">
        <v>1.4</v>
      </c>
      <c r="E59" s="1109">
        <v>2.5</v>
      </c>
      <c r="F59" s="1109">
        <v>0.7</v>
      </c>
      <c r="G59" s="1109">
        <v>1.5509472890170184</v>
      </c>
      <c r="H59" s="1110">
        <v>1.7859780399340608</v>
      </c>
      <c r="I59" s="1108">
        <v>0.96</v>
      </c>
      <c r="J59" s="1109">
        <v>0.97</v>
      </c>
      <c r="K59" s="1109">
        <v>0.98</v>
      </c>
      <c r="L59" s="1109">
        <v>0.98</v>
      </c>
      <c r="M59" s="1110">
        <v>0.99</v>
      </c>
      <c r="N59" s="877"/>
      <c r="O59" s="889">
        <v>6.1509472890170178</v>
      </c>
      <c r="P59" s="890">
        <v>1.7859780399340608</v>
      </c>
      <c r="Q59" s="891">
        <v>7.9369253289510784</v>
      </c>
      <c r="R59" s="1439"/>
      <c r="S59" s="889">
        <v>4.88</v>
      </c>
      <c r="T59" s="680">
        <v>-0.38515233572886254</v>
      </c>
    </row>
    <row r="60" spans="1:20" s="1442" customFormat="1" ht="15" customHeight="1">
      <c r="A60" s="1440"/>
      <c r="B60" s="1948"/>
      <c r="C60" s="893" t="s">
        <v>868</v>
      </c>
      <c r="D60" s="1106">
        <v>1.3</v>
      </c>
      <c r="E60" s="1109">
        <v>1.2</v>
      </c>
      <c r="F60" s="1109">
        <v>1.4</v>
      </c>
      <c r="G60" s="1109">
        <v>1.0967562475639916</v>
      </c>
      <c r="H60" s="1110">
        <v>0.62929461524735431</v>
      </c>
      <c r="I60" s="1108">
        <v>1.75</v>
      </c>
      <c r="J60" s="1109">
        <v>1.88</v>
      </c>
      <c r="K60" s="1109">
        <v>2.0099999999999998</v>
      </c>
      <c r="L60" s="1109">
        <v>2.15</v>
      </c>
      <c r="M60" s="1110">
        <v>2.2799999999999998</v>
      </c>
      <c r="N60" s="877"/>
      <c r="O60" s="889">
        <v>4.9967562475639919</v>
      </c>
      <c r="P60" s="890">
        <v>0.62929461524735431</v>
      </c>
      <c r="Q60" s="891">
        <v>5.6260508628113461</v>
      </c>
      <c r="R60" s="1439"/>
      <c r="S60" s="889">
        <v>10.069999999999999</v>
      </c>
      <c r="T60" s="680">
        <v>0.78988783527776429</v>
      </c>
    </row>
    <row r="61" spans="1:20" s="1442" customFormat="1" ht="15" customHeight="1">
      <c r="A61" s="1440"/>
      <c r="B61" s="1948"/>
      <c r="C61" s="892" t="s">
        <v>869</v>
      </c>
      <c r="D61" s="1106">
        <v>0.7</v>
      </c>
      <c r="E61" s="1109">
        <v>0.6</v>
      </c>
      <c r="F61" s="1109">
        <v>0.7</v>
      </c>
      <c r="G61" s="1109">
        <v>0.92826602250883627</v>
      </c>
      <c r="H61" s="1110">
        <v>0.16283917422928201</v>
      </c>
      <c r="I61" s="1108">
        <v>0.75</v>
      </c>
      <c r="J61" s="1109">
        <v>0.75</v>
      </c>
      <c r="K61" s="1109">
        <v>0.75</v>
      </c>
      <c r="L61" s="1109">
        <v>0.75</v>
      </c>
      <c r="M61" s="1110">
        <v>0.75</v>
      </c>
      <c r="N61" s="877"/>
      <c r="O61" s="889">
        <v>2.9282660225088359</v>
      </c>
      <c r="P61" s="890">
        <v>0.16283917422928201</v>
      </c>
      <c r="Q61" s="891">
        <v>3.091105196738118</v>
      </c>
      <c r="R61" s="1439"/>
      <c r="S61" s="889">
        <v>3.75</v>
      </c>
      <c r="T61" s="680">
        <v>0.21315832407036139</v>
      </c>
    </row>
    <row r="62" spans="1:20" s="1442" customFormat="1" ht="15" customHeight="1">
      <c r="A62" s="1440"/>
      <c r="B62" s="1948" t="s">
        <v>243</v>
      </c>
      <c r="C62" s="893" t="s">
        <v>225</v>
      </c>
      <c r="D62" s="1111">
        <v>1.5</v>
      </c>
      <c r="E62" s="1112">
        <v>3.9000000000000004</v>
      </c>
      <c r="F62" s="1112">
        <v>2.9</v>
      </c>
      <c r="G62" s="1112">
        <v>3.0443358054996672</v>
      </c>
      <c r="H62" s="1113">
        <v>0.98018677132851695</v>
      </c>
      <c r="I62" s="1114">
        <v>0.62</v>
      </c>
      <c r="J62" s="1112">
        <v>0.87</v>
      </c>
      <c r="K62" s="1112">
        <v>1.1200000000000001</v>
      </c>
      <c r="L62" s="1112">
        <v>1.26</v>
      </c>
      <c r="M62" s="1113">
        <v>1.25</v>
      </c>
      <c r="N62" s="877"/>
      <c r="O62" s="889">
        <v>11.344335805499668</v>
      </c>
      <c r="P62" s="890">
        <v>0.98018677132851695</v>
      </c>
      <c r="Q62" s="891">
        <v>12.324522576828185</v>
      </c>
      <c r="R62" s="1439"/>
      <c r="S62" s="889">
        <v>5.12</v>
      </c>
      <c r="T62" s="680">
        <v>-0.58456808626191237</v>
      </c>
    </row>
    <row r="63" spans="1:20" s="1442" customFormat="1" ht="15" customHeight="1">
      <c r="A63" s="1440"/>
      <c r="B63" s="1948"/>
      <c r="C63" s="893" t="s">
        <v>878</v>
      </c>
      <c r="D63" s="1106">
        <v>0.1</v>
      </c>
      <c r="E63" s="1109">
        <v>0</v>
      </c>
      <c r="F63" s="1109">
        <v>0.8</v>
      </c>
      <c r="G63" s="1109">
        <v>0.716868348837151</v>
      </c>
      <c r="H63" s="1110">
        <v>0.55785549364999187</v>
      </c>
      <c r="I63" s="1108">
        <v>1.19</v>
      </c>
      <c r="J63" s="1109">
        <v>1.31</v>
      </c>
      <c r="K63" s="1109">
        <v>1.55</v>
      </c>
      <c r="L63" s="1109">
        <v>1.67</v>
      </c>
      <c r="M63" s="1110">
        <v>1.91</v>
      </c>
      <c r="N63" s="877"/>
      <c r="O63" s="889">
        <v>1.6168683488371509</v>
      </c>
      <c r="P63" s="890">
        <v>0.55785549364999187</v>
      </c>
      <c r="Q63" s="891">
        <v>2.1747238424871429</v>
      </c>
      <c r="R63" s="1439"/>
      <c r="S63" s="889">
        <v>7.63</v>
      </c>
      <c r="T63" s="680">
        <v>2.5084914465617301</v>
      </c>
    </row>
    <row r="64" spans="1:20" s="1442" customFormat="1" ht="15" customHeight="1">
      <c r="A64" s="1440"/>
      <c r="B64" s="1948"/>
      <c r="C64" s="892" t="s">
        <v>879</v>
      </c>
      <c r="D64" s="1106">
        <v>0</v>
      </c>
      <c r="E64" s="1109">
        <v>0</v>
      </c>
      <c r="F64" s="1109">
        <v>0</v>
      </c>
      <c r="G64" s="1109">
        <v>0</v>
      </c>
      <c r="H64" s="1110">
        <v>0</v>
      </c>
      <c r="I64" s="1108">
        <v>0</v>
      </c>
      <c r="J64" s="1109">
        <v>0</v>
      </c>
      <c r="K64" s="1109">
        <v>0</v>
      </c>
      <c r="L64" s="1109">
        <v>0</v>
      </c>
      <c r="M64" s="1110">
        <v>0</v>
      </c>
      <c r="N64" s="877"/>
      <c r="O64" s="889">
        <v>0</v>
      </c>
      <c r="P64" s="890">
        <v>0</v>
      </c>
      <c r="Q64" s="891">
        <v>0</v>
      </c>
      <c r="R64" s="1439"/>
      <c r="S64" s="889">
        <v>0</v>
      </c>
      <c r="T64" s="680" t="s">
        <v>1020</v>
      </c>
    </row>
    <row r="65" spans="1:20" s="1442" customFormat="1" ht="15" customHeight="1">
      <c r="A65" s="1440"/>
      <c r="B65" s="1948"/>
      <c r="C65" s="892" t="s">
        <v>224</v>
      </c>
      <c r="D65" s="1106">
        <v>0.8</v>
      </c>
      <c r="E65" s="1109">
        <v>0.4</v>
      </c>
      <c r="F65" s="1109">
        <v>0.3</v>
      </c>
      <c r="G65" s="1109">
        <v>0.76291536686464678</v>
      </c>
      <c r="H65" s="1110">
        <v>1.3415846805857621</v>
      </c>
      <c r="I65" s="1108">
        <v>0.16</v>
      </c>
      <c r="J65" s="1109">
        <v>0.16</v>
      </c>
      <c r="K65" s="1109">
        <v>0.16</v>
      </c>
      <c r="L65" s="1109">
        <v>0.14000000000000001</v>
      </c>
      <c r="M65" s="1110">
        <v>0.14000000000000001</v>
      </c>
      <c r="N65" s="877"/>
      <c r="O65" s="889">
        <v>2.2629153668646471</v>
      </c>
      <c r="P65" s="890">
        <v>1.3415846805857621</v>
      </c>
      <c r="Q65" s="891">
        <v>3.6045000474504092</v>
      </c>
      <c r="R65" s="1439"/>
      <c r="S65" s="889">
        <v>0.76</v>
      </c>
      <c r="T65" s="680">
        <v>-0.78915245110412047</v>
      </c>
    </row>
    <row r="66" spans="1:20" s="1442" customFormat="1" ht="15" customHeight="1">
      <c r="A66" s="1440"/>
      <c r="B66" s="1948"/>
      <c r="C66" s="892" t="s">
        <v>868</v>
      </c>
      <c r="D66" s="1106">
        <v>1.8</v>
      </c>
      <c r="E66" s="1109">
        <v>1.9</v>
      </c>
      <c r="F66" s="1109">
        <v>1</v>
      </c>
      <c r="G66" s="1109">
        <v>1.6336226168391133</v>
      </c>
      <c r="H66" s="1110">
        <v>0.58411987659019871</v>
      </c>
      <c r="I66" s="1108">
        <v>2.81</v>
      </c>
      <c r="J66" s="1109">
        <v>2.81</v>
      </c>
      <c r="K66" s="1109">
        <v>2.92</v>
      </c>
      <c r="L66" s="1109">
        <v>2.04</v>
      </c>
      <c r="M66" s="1110">
        <v>2.04</v>
      </c>
      <c r="N66" s="877"/>
      <c r="O66" s="889">
        <v>6.3336226168391132</v>
      </c>
      <c r="P66" s="890">
        <v>0.58411987659019871</v>
      </c>
      <c r="Q66" s="891">
        <v>6.9177424934293121</v>
      </c>
      <c r="R66" s="1439"/>
      <c r="S66" s="889">
        <v>12.619999999999997</v>
      </c>
      <c r="T66" s="680">
        <v>0.82429456025384984</v>
      </c>
    </row>
    <row r="67" spans="1:20" s="1442" customFormat="1" ht="15" customHeight="1" thickBot="1">
      <c r="A67" s="1440"/>
      <c r="B67" s="1951"/>
      <c r="C67" s="905" t="s">
        <v>869</v>
      </c>
      <c r="D67" s="1115">
        <v>0.2</v>
      </c>
      <c r="E67" s="1116">
        <v>0.3</v>
      </c>
      <c r="F67" s="1116">
        <v>0.8</v>
      </c>
      <c r="G67" s="1116">
        <v>1.1197797565777394</v>
      </c>
      <c r="H67" s="1117">
        <v>0.33513352631703847</v>
      </c>
      <c r="I67" s="1118">
        <v>0.15</v>
      </c>
      <c r="J67" s="1116">
        <v>0.15</v>
      </c>
      <c r="K67" s="1116">
        <v>0.15</v>
      </c>
      <c r="L67" s="1116">
        <v>0.15</v>
      </c>
      <c r="M67" s="1117">
        <v>0.15</v>
      </c>
      <c r="N67" s="877"/>
      <c r="O67" s="889">
        <v>2.4197797565777392</v>
      </c>
      <c r="P67" s="890">
        <v>0.33513352631703847</v>
      </c>
      <c r="Q67" s="891">
        <v>2.7549132828947775</v>
      </c>
      <c r="R67" s="1439"/>
      <c r="S67" s="889">
        <v>0.75</v>
      </c>
      <c r="T67" s="680">
        <v>-0.7277591259744034</v>
      </c>
    </row>
    <row r="68" spans="1:20" s="1442" customFormat="1" ht="15" customHeight="1" thickBot="1">
      <c r="A68" s="1440"/>
      <c r="B68" s="1450" t="s">
        <v>620</v>
      </c>
      <c r="C68" s="1451"/>
      <c r="D68" s="906">
        <v>22.867928048664922</v>
      </c>
      <c r="E68" s="907">
        <v>31.887607124118954</v>
      </c>
      <c r="F68" s="907">
        <v>30.700000000000003</v>
      </c>
      <c r="G68" s="907">
        <v>32.405306330365406</v>
      </c>
      <c r="H68" s="908">
        <v>27.780382413887573</v>
      </c>
      <c r="I68" s="909">
        <v>30.689999999999998</v>
      </c>
      <c r="J68" s="907">
        <v>35.33</v>
      </c>
      <c r="K68" s="907">
        <v>40.609999999999992</v>
      </c>
      <c r="L68" s="907">
        <v>42.689999999999991</v>
      </c>
      <c r="M68" s="908">
        <v>43.11</v>
      </c>
      <c r="N68" s="877"/>
      <c r="O68" s="897">
        <v>117.86084150314929</v>
      </c>
      <c r="P68" s="898">
        <v>27.780382413887573</v>
      </c>
      <c r="Q68" s="899">
        <v>145.64122391703685</v>
      </c>
      <c r="R68" s="1439"/>
      <c r="S68" s="897">
        <v>192.43</v>
      </c>
      <c r="T68" s="712">
        <v>0.3212605251766899</v>
      </c>
    </row>
    <row r="69" spans="1:20" s="1442" customFormat="1" ht="12.75">
      <c r="A69" s="1440"/>
      <c r="B69" s="1449"/>
      <c r="C69" s="1449"/>
      <c r="D69" s="1439"/>
      <c r="E69" s="1439"/>
      <c r="F69" s="1439"/>
      <c r="G69" s="1439"/>
      <c r="H69" s="1439"/>
      <c r="I69" s="1439"/>
      <c r="J69" s="1439"/>
      <c r="K69" s="1439"/>
      <c r="L69" s="1439"/>
      <c r="M69" s="1439"/>
      <c r="N69" s="877"/>
      <c r="O69" s="877"/>
      <c r="P69" s="877"/>
      <c r="Q69" s="877"/>
    </row>
    <row r="70" spans="1:20" s="1442" customFormat="1" ht="12.75">
      <c r="A70" s="1440"/>
      <c r="B70" s="877"/>
      <c r="C70" s="877"/>
      <c r="D70" s="877"/>
      <c r="E70" s="877"/>
      <c r="F70" s="877"/>
      <c r="G70" s="877"/>
      <c r="H70" s="877"/>
      <c r="I70" s="877"/>
      <c r="J70" s="877"/>
      <c r="K70" s="877"/>
      <c r="L70" s="877"/>
      <c r="M70" s="877"/>
      <c r="N70" s="877"/>
      <c r="O70" s="877"/>
      <c r="P70" s="877"/>
      <c r="Q70" s="877"/>
    </row>
    <row r="71" spans="1:20" s="1442" customFormat="1" ht="12.75">
      <c r="A71" s="1440"/>
      <c r="B71" s="875" t="s">
        <v>621</v>
      </c>
      <c r="C71" s="877"/>
      <c r="D71" s="877"/>
      <c r="E71" s="877"/>
      <c r="F71" s="877"/>
      <c r="G71" s="877"/>
      <c r="H71" s="877"/>
      <c r="I71" s="877"/>
      <c r="J71" s="877"/>
      <c r="K71" s="877"/>
      <c r="L71" s="877"/>
      <c r="M71" s="877"/>
      <c r="N71" s="1439"/>
      <c r="O71" s="877"/>
      <c r="P71" s="877"/>
      <c r="Q71" s="877"/>
    </row>
    <row r="72" spans="1:20" s="1442" customFormat="1" ht="13.5" thickBot="1">
      <c r="A72" s="1440"/>
      <c r="B72" s="877"/>
      <c r="C72" s="877"/>
      <c r="D72" s="877"/>
      <c r="E72" s="877"/>
      <c r="F72" s="877"/>
      <c r="G72" s="877"/>
      <c r="H72" s="877"/>
      <c r="I72" s="877"/>
      <c r="J72" s="877"/>
      <c r="K72" s="877"/>
      <c r="L72" s="877"/>
      <c r="M72" s="877"/>
      <c r="N72" s="1439"/>
      <c r="O72" s="877"/>
      <c r="P72" s="877"/>
      <c r="Q72" s="877"/>
    </row>
    <row r="73" spans="1:20" s="1442" customFormat="1" ht="12.75">
      <c r="A73" s="1440"/>
      <c r="B73" s="1952" t="s">
        <v>113</v>
      </c>
      <c r="C73" s="1953"/>
      <c r="D73" s="1444" t="s">
        <v>114</v>
      </c>
      <c r="E73" s="1444"/>
      <c r="F73" s="1444"/>
      <c r="G73" s="1444"/>
      <c r="H73" s="1445"/>
      <c r="I73" s="1443" t="s">
        <v>115</v>
      </c>
      <c r="J73" s="1444"/>
      <c r="K73" s="1444"/>
      <c r="L73" s="1444"/>
      <c r="M73" s="1445"/>
      <c r="N73" s="1439"/>
      <c r="O73" s="535" t="s">
        <v>116</v>
      </c>
      <c r="P73" s="536"/>
      <c r="Q73" s="537"/>
      <c r="R73" s="1439"/>
      <c r="S73" s="535" t="s">
        <v>117</v>
      </c>
      <c r="T73" s="537"/>
    </row>
    <row r="74" spans="1:20" s="1442" customFormat="1" ht="12.75">
      <c r="A74" s="1440"/>
      <c r="B74" s="1954"/>
      <c r="C74" s="1955"/>
      <c r="D74" s="883" t="s">
        <v>32</v>
      </c>
      <c r="E74" s="881" t="s">
        <v>33</v>
      </c>
      <c r="F74" s="881" t="s">
        <v>29</v>
      </c>
      <c r="G74" s="881" t="s">
        <v>34</v>
      </c>
      <c r="H74" s="882" t="s">
        <v>35</v>
      </c>
      <c r="I74" s="880" t="s">
        <v>118</v>
      </c>
      <c r="J74" s="881" t="s">
        <v>136</v>
      </c>
      <c r="K74" s="881" t="s">
        <v>137</v>
      </c>
      <c r="L74" s="881" t="s">
        <v>138</v>
      </c>
      <c r="M74" s="882" t="s">
        <v>139</v>
      </c>
      <c r="N74" s="1439"/>
      <c r="O74" s="542" t="s">
        <v>126</v>
      </c>
      <c r="P74" s="543" t="s">
        <v>127</v>
      </c>
      <c r="Q74" s="544" t="s">
        <v>246</v>
      </c>
      <c r="R74" s="1439"/>
      <c r="S74" s="542" t="s">
        <v>127</v>
      </c>
      <c r="T74" s="544" t="s">
        <v>128</v>
      </c>
    </row>
    <row r="75" spans="1:20" s="1442" customFormat="1" ht="12.75">
      <c r="A75" s="1440"/>
      <c r="B75" s="1956"/>
      <c r="C75" s="1957"/>
      <c r="D75" s="883" t="s">
        <v>14</v>
      </c>
      <c r="E75" s="881" t="s">
        <v>14</v>
      </c>
      <c r="F75" s="881" t="s">
        <v>14</v>
      </c>
      <c r="G75" s="881" t="s">
        <v>14</v>
      </c>
      <c r="H75" s="882" t="s">
        <v>14</v>
      </c>
      <c r="I75" s="880" t="s">
        <v>14</v>
      </c>
      <c r="J75" s="881" t="s">
        <v>14</v>
      </c>
      <c r="K75" s="881" t="s">
        <v>14</v>
      </c>
      <c r="L75" s="881" t="s">
        <v>14</v>
      </c>
      <c r="M75" s="882" t="s">
        <v>14</v>
      </c>
      <c r="N75" s="877"/>
      <c r="O75" s="884"/>
      <c r="P75" s="885"/>
      <c r="Q75" s="886"/>
      <c r="R75" s="1439"/>
      <c r="S75" s="887"/>
      <c r="T75" s="888"/>
    </row>
    <row r="76" spans="1:20" s="1442" customFormat="1" ht="14.25" customHeight="1">
      <c r="A76" s="1440"/>
      <c r="B76" s="1949" t="s">
        <v>103</v>
      </c>
      <c r="C76" s="1446" t="s">
        <v>104</v>
      </c>
      <c r="D76" s="1101">
        <v>0</v>
      </c>
      <c r="E76" s="1101">
        <v>0</v>
      </c>
      <c r="F76" s="1101">
        <v>0</v>
      </c>
      <c r="G76" s="1101">
        <v>0</v>
      </c>
      <c r="H76" s="1102">
        <v>0</v>
      </c>
      <c r="I76" s="1103">
        <v>0</v>
      </c>
      <c r="J76" s="1104">
        <v>0</v>
      </c>
      <c r="K76" s="1104">
        <v>0</v>
      </c>
      <c r="L76" s="1104">
        <v>0</v>
      </c>
      <c r="M76" s="1105">
        <v>0</v>
      </c>
      <c r="N76" s="877"/>
      <c r="O76" s="889">
        <v>0</v>
      </c>
      <c r="P76" s="890">
        <v>0</v>
      </c>
      <c r="Q76" s="891">
        <v>0</v>
      </c>
      <c r="R76" s="1439"/>
      <c r="S76" s="889">
        <v>0</v>
      </c>
      <c r="T76" s="680" t="s">
        <v>1020</v>
      </c>
    </row>
    <row r="77" spans="1:20" s="1442" customFormat="1" ht="15" customHeight="1">
      <c r="A77" s="1440"/>
      <c r="B77" s="1950"/>
      <c r="C77" s="893" t="s">
        <v>105</v>
      </c>
      <c r="D77" s="1106">
        <v>0</v>
      </c>
      <c r="E77" s="1106">
        <v>0</v>
      </c>
      <c r="F77" s="1106">
        <v>0</v>
      </c>
      <c r="G77" s="1106">
        <v>0</v>
      </c>
      <c r="H77" s="1107">
        <v>0</v>
      </c>
      <c r="I77" s="1108">
        <v>0</v>
      </c>
      <c r="J77" s="1109">
        <v>0</v>
      </c>
      <c r="K77" s="1109">
        <v>0</v>
      </c>
      <c r="L77" s="1109">
        <v>0</v>
      </c>
      <c r="M77" s="1110">
        <v>0</v>
      </c>
      <c r="N77" s="877"/>
      <c r="O77" s="889">
        <v>0</v>
      </c>
      <c r="P77" s="890">
        <v>0</v>
      </c>
      <c r="Q77" s="891">
        <v>0</v>
      </c>
      <c r="R77" s="1439"/>
      <c r="S77" s="889">
        <v>0</v>
      </c>
      <c r="T77" s="680" t="s">
        <v>1020</v>
      </c>
    </row>
    <row r="78" spans="1:20" s="1442" customFormat="1" ht="14.25" customHeight="1">
      <c r="A78" s="1440"/>
      <c r="B78" s="1950" t="s">
        <v>106</v>
      </c>
      <c r="C78" s="893" t="s">
        <v>104</v>
      </c>
      <c r="D78" s="1106">
        <v>0</v>
      </c>
      <c r="E78" s="1106">
        <v>0</v>
      </c>
      <c r="F78" s="1106">
        <v>0</v>
      </c>
      <c r="G78" s="1106">
        <v>0</v>
      </c>
      <c r="H78" s="1107">
        <v>0</v>
      </c>
      <c r="I78" s="1108">
        <v>0</v>
      </c>
      <c r="J78" s="1109">
        <v>0</v>
      </c>
      <c r="K78" s="1109">
        <v>0</v>
      </c>
      <c r="L78" s="1109">
        <v>0</v>
      </c>
      <c r="M78" s="1110">
        <v>0</v>
      </c>
      <c r="N78" s="877"/>
      <c r="O78" s="889">
        <v>0</v>
      </c>
      <c r="P78" s="890">
        <v>0</v>
      </c>
      <c r="Q78" s="891">
        <v>0</v>
      </c>
      <c r="R78" s="1439"/>
      <c r="S78" s="889">
        <v>0</v>
      </c>
      <c r="T78" s="680" t="s">
        <v>1020</v>
      </c>
    </row>
    <row r="79" spans="1:20" s="1442" customFormat="1" ht="15" customHeight="1">
      <c r="A79" s="1440"/>
      <c r="B79" s="1950"/>
      <c r="C79" s="893" t="s">
        <v>105</v>
      </c>
      <c r="D79" s="1106">
        <v>0</v>
      </c>
      <c r="E79" s="1106">
        <v>0</v>
      </c>
      <c r="F79" s="1106">
        <v>0</v>
      </c>
      <c r="G79" s="1106">
        <v>0</v>
      </c>
      <c r="H79" s="1107">
        <v>0</v>
      </c>
      <c r="I79" s="1108">
        <v>0</v>
      </c>
      <c r="J79" s="1109">
        <v>0</v>
      </c>
      <c r="K79" s="1109">
        <v>0</v>
      </c>
      <c r="L79" s="1109">
        <v>0</v>
      </c>
      <c r="M79" s="1110">
        <v>0</v>
      </c>
      <c r="N79" s="877"/>
      <c r="O79" s="889">
        <v>0</v>
      </c>
      <c r="P79" s="890">
        <v>0</v>
      </c>
      <c r="Q79" s="891">
        <v>0</v>
      </c>
      <c r="R79" s="1439"/>
      <c r="S79" s="889">
        <v>0</v>
      </c>
      <c r="T79" s="680" t="s">
        <v>1020</v>
      </c>
    </row>
    <row r="80" spans="1:20" s="1442" customFormat="1" ht="14.25" customHeight="1">
      <c r="A80" s="1440"/>
      <c r="B80" s="1948" t="s">
        <v>848</v>
      </c>
      <c r="C80" s="893" t="s">
        <v>129</v>
      </c>
      <c r="D80" s="1106">
        <v>0</v>
      </c>
      <c r="E80" s="1106">
        <v>0</v>
      </c>
      <c r="F80" s="1106">
        <v>0</v>
      </c>
      <c r="G80" s="1106">
        <v>0</v>
      </c>
      <c r="H80" s="1107">
        <v>0</v>
      </c>
      <c r="I80" s="1108">
        <v>0</v>
      </c>
      <c r="J80" s="1109">
        <v>0</v>
      </c>
      <c r="K80" s="1109">
        <v>0</v>
      </c>
      <c r="L80" s="1109">
        <v>0</v>
      </c>
      <c r="M80" s="1110">
        <v>0</v>
      </c>
      <c r="N80" s="877"/>
      <c r="O80" s="889">
        <v>0</v>
      </c>
      <c r="P80" s="890">
        <v>0</v>
      </c>
      <c r="Q80" s="891">
        <v>0</v>
      </c>
      <c r="R80" s="1439"/>
      <c r="S80" s="889">
        <v>0</v>
      </c>
      <c r="T80" s="680" t="s">
        <v>1020</v>
      </c>
    </row>
    <row r="81" spans="1:20" s="1442" customFormat="1" ht="14.25" customHeight="1">
      <c r="A81" s="1440"/>
      <c r="B81" s="1948"/>
      <c r="C81" s="893" t="s">
        <v>130</v>
      </c>
      <c r="D81" s="1106">
        <v>1.3</v>
      </c>
      <c r="E81" s="1106">
        <v>1.9</v>
      </c>
      <c r="F81" s="1106">
        <v>1.3</v>
      </c>
      <c r="G81" s="1106">
        <v>1.5</v>
      </c>
      <c r="H81" s="1107">
        <v>1.5</v>
      </c>
      <c r="I81" s="1108">
        <v>1.5</v>
      </c>
      <c r="J81" s="1109">
        <v>1.5</v>
      </c>
      <c r="K81" s="1109">
        <v>1.5</v>
      </c>
      <c r="L81" s="1109">
        <v>1.5</v>
      </c>
      <c r="M81" s="1110">
        <v>1.5</v>
      </c>
      <c r="N81" s="877"/>
      <c r="O81" s="889">
        <v>6</v>
      </c>
      <c r="P81" s="890">
        <v>1.5</v>
      </c>
      <c r="Q81" s="891">
        <v>7.5</v>
      </c>
      <c r="R81" s="1439"/>
      <c r="S81" s="889">
        <v>7.5</v>
      </c>
      <c r="T81" s="680">
        <v>0</v>
      </c>
    </row>
    <row r="82" spans="1:20" s="1442" customFormat="1" ht="15" customHeight="1">
      <c r="A82" s="1440"/>
      <c r="B82" s="1948"/>
      <c r="C82" s="892" t="s">
        <v>224</v>
      </c>
      <c r="D82" s="1106">
        <v>0</v>
      </c>
      <c r="E82" s="1106">
        <v>0</v>
      </c>
      <c r="F82" s="1106">
        <v>0</v>
      </c>
      <c r="G82" s="1106">
        <v>0</v>
      </c>
      <c r="H82" s="1107">
        <v>0</v>
      </c>
      <c r="I82" s="1108">
        <v>0</v>
      </c>
      <c r="J82" s="1109">
        <v>0</v>
      </c>
      <c r="K82" s="1109">
        <v>0</v>
      </c>
      <c r="L82" s="1109">
        <v>0</v>
      </c>
      <c r="M82" s="1110">
        <v>0</v>
      </c>
      <c r="N82" s="877"/>
      <c r="O82" s="889">
        <v>0</v>
      </c>
      <c r="P82" s="890">
        <v>0</v>
      </c>
      <c r="Q82" s="891">
        <v>0</v>
      </c>
      <c r="R82" s="1439"/>
      <c r="S82" s="889">
        <v>0</v>
      </c>
      <c r="T82" s="680" t="s">
        <v>1020</v>
      </c>
    </row>
    <row r="83" spans="1:20" s="1442" customFormat="1" ht="14.25" customHeight="1">
      <c r="A83" s="1440"/>
      <c r="B83" s="1948" t="s">
        <v>239</v>
      </c>
      <c r="C83" s="893" t="s">
        <v>225</v>
      </c>
      <c r="D83" s="1106">
        <v>0</v>
      </c>
      <c r="E83" s="1106">
        <v>0</v>
      </c>
      <c r="F83" s="1106">
        <v>0</v>
      </c>
      <c r="G83" s="1106">
        <v>0</v>
      </c>
      <c r="H83" s="1107">
        <v>0</v>
      </c>
      <c r="I83" s="1108">
        <v>0</v>
      </c>
      <c r="J83" s="1109">
        <v>0</v>
      </c>
      <c r="K83" s="1109">
        <v>0</v>
      </c>
      <c r="L83" s="1109">
        <v>0</v>
      </c>
      <c r="M83" s="1110">
        <v>0</v>
      </c>
      <c r="N83" s="877"/>
      <c r="O83" s="889">
        <v>0</v>
      </c>
      <c r="P83" s="890">
        <v>0</v>
      </c>
      <c r="Q83" s="891">
        <v>0</v>
      </c>
      <c r="R83" s="1439"/>
      <c r="S83" s="889">
        <v>0</v>
      </c>
      <c r="T83" s="680" t="s">
        <v>1020</v>
      </c>
    </row>
    <row r="84" spans="1:20" s="1442" customFormat="1" ht="14.25" customHeight="1">
      <c r="A84" s="1440"/>
      <c r="B84" s="1948"/>
      <c r="C84" s="893" t="s">
        <v>878</v>
      </c>
      <c r="D84" s="1106">
        <v>0</v>
      </c>
      <c r="E84" s="1106">
        <v>0</v>
      </c>
      <c r="F84" s="1106">
        <v>0.6</v>
      </c>
      <c r="G84" s="1106">
        <v>0.6</v>
      </c>
      <c r="H84" s="1107">
        <v>0.6</v>
      </c>
      <c r="I84" s="1108">
        <v>0.6</v>
      </c>
      <c r="J84" s="1109">
        <v>0.6</v>
      </c>
      <c r="K84" s="1109">
        <v>0.6</v>
      </c>
      <c r="L84" s="1109">
        <v>0.6</v>
      </c>
      <c r="M84" s="1110">
        <v>0.6</v>
      </c>
      <c r="N84" s="877"/>
      <c r="O84" s="889">
        <v>1.2</v>
      </c>
      <c r="P84" s="890">
        <v>0.6</v>
      </c>
      <c r="Q84" s="891">
        <v>1.7999999999999998</v>
      </c>
      <c r="R84" s="1439"/>
      <c r="S84" s="889">
        <v>3</v>
      </c>
      <c r="T84" s="680">
        <v>0.66666666666666685</v>
      </c>
    </row>
    <row r="85" spans="1:20" s="1442" customFormat="1" ht="14.25" customHeight="1">
      <c r="A85" s="1440"/>
      <c r="B85" s="1948"/>
      <c r="C85" s="892" t="s">
        <v>120</v>
      </c>
      <c r="D85" s="1106">
        <v>0</v>
      </c>
      <c r="E85" s="1106">
        <v>0</v>
      </c>
      <c r="F85" s="1106">
        <v>0</v>
      </c>
      <c r="G85" s="1106">
        <v>0</v>
      </c>
      <c r="H85" s="1107">
        <v>0</v>
      </c>
      <c r="I85" s="1108">
        <v>0</v>
      </c>
      <c r="J85" s="1109">
        <v>0</v>
      </c>
      <c r="K85" s="1109">
        <v>0</v>
      </c>
      <c r="L85" s="1109">
        <v>0</v>
      </c>
      <c r="M85" s="1110">
        <v>0</v>
      </c>
      <c r="N85" s="877"/>
      <c r="O85" s="889">
        <v>0</v>
      </c>
      <c r="P85" s="890">
        <v>0</v>
      </c>
      <c r="Q85" s="891">
        <v>0</v>
      </c>
      <c r="R85" s="1439"/>
      <c r="S85" s="889">
        <v>0</v>
      </c>
      <c r="T85" s="680" t="s">
        <v>1020</v>
      </c>
    </row>
    <row r="86" spans="1:20" s="1442" customFormat="1" ht="14.25" customHeight="1">
      <c r="A86" s="1440"/>
      <c r="B86" s="1948"/>
      <c r="C86" s="892" t="s">
        <v>224</v>
      </c>
      <c r="D86" s="1106">
        <v>0</v>
      </c>
      <c r="E86" s="1106">
        <v>0</v>
      </c>
      <c r="F86" s="1106">
        <v>0.1</v>
      </c>
      <c r="G86" s="1106">
        <v>0.1</v>
      </c>
      <c r="H86" s="1107">
        <v>0.1</v>
      </c>
      <c r="I86" s="1108">
        <v>0.1</v>
      </c>
      <c r="J86" s="1109">
        <v>0.1</v>
      </c>
      <c r="K86" s="1109">
        <v>0.1</v>
      </c>
      <c r="L86" s="1109">
        <v>0.1</v>
      </c>
      <c r="M86" s="1110">
        <v>0.1</v>
      </c>
      <c r="N86" s="877"/>
      <c r="O86" s="889">
        <v>0.2</v>
      </c>
      <c r="P86" s="890">
        <v>0.1</v>
      </c>
      <c r="Q86" s="891">
        <v>0.30000000000000004</v>
      </c>
      <c r="R86" s="1439"/>
      <c r="S86" s="889">
        <v>0.5</v>
      </c>
      <c r="T86" s="680">
        <v>0.66666666666666641</v>
      </c>
    </row>
    <row r="87" spans="1:20" s="1442" customFormat="1" ht="14.25" customHeight="1">
      <c r="A87" s="1440"/>
      <c r="B87" s="1948"/>
      <c r="C87" s="893" t="s">
        <v>868</v>
      </c>
      <c r="D87" s="1106">
        <v>0</v>
      </c>
      <c r="E87" s="1106">
        <v>0</v>
      </c>
      <c r="F87" s="1106">
        <v>0.3</v>
      </c>
      <c r="G87" s="1106">
        <v>0.3</v>
      </c>
      <c r="H87" s="1107">
        <v>0.3</v>
      </c>
      <c r="I87" s="1108">
        <v>0.3</v>
      </c>
      <c r="J87" s="1109">
        <v>0.3</v>
      </c>
      <c r="K87" s="1109">
        <v>0.3</v>
      </c>
      <c r="L87" s="1109">
        <v>0.3</v>
      </c>
      <c r="M87" s="1110">
        <v>0.3</v>
      </c>
      <c r="N87" s="877"/>
      <c r="O87" s="889">
        <v>0.6</v>
      </c>
      <c r="P87" s="890">
        <v>0.3</v>
      </c>
      <c r="Q87" s="891">
        <v>0.89999999999999991</v>
      </c>
      <c r="R87" s="1439"/>
      <c r="S87" s="889">
        <v>1.5</v>
      </c>
      <c r="T87" s="680">
        <v>0.66666666666666685</v>
      </c>
    </row>
    <row r="88" spans="1:20" s="1442" customFormat="1" ht="15" customHeight="1">
      <c r="A88" s="1440"/>
      <c r="B88" s="1948"/>
      <c r="C88" s="893" t="s">
        <v>869</v>
      </c>
      <c r="D88" s="1106">
        <v>0</v>
      </c>
      <c r="E88" s="1106">
        <v>0</v>
      </c>
      <c r="F88" s="1106">
        <v>0</v>
      </c>
      <c r="G88" s="1106">
        <v>0</v>
      </c>
      <c r="H88" s="1107">
        <v>0</v>
      </c>
      <c r="I88" s="1108">
        <v>0</v>
      </c>
      <c r="J88" s="1109">
        <v>0</v>
      </c>
      <c r="K88" s="1109">
        <v>0</v>
      </c>
      <c r="L88" s="1109">
        <v>0</v>
      </c>
      <c r="M88" s="1110">
        <v>0</v>
      </c>
      <c r="N88" s="877"/>
      <c r="O88" s="889">
        <v>0</v>
      </c>
      <c r="P88" s="890">
        <v>0</v>
      </c>
      <c r="Q88" s="891">
        <v>0</v>
      </c>
      <c r="R88" s="1439"/>
      <c r="S88" s="889">
        <v>0</v>
      </c>
      <c r="T88" s="680" t="s">
        <v>1020</v>
      </c>
    </row>
    <row r="89" spans="1:20" s="1442" customFormat="1" ht="14.25" customHeight="1">
      <c r="A89" s="1440"/>
      <c r="B89" s="1948" t="s">
        <v>245</v>
      </c>
      <c r="C89" s="893" t="s">
        <v>225</v>
      </c>
      <c r="D89" s="1106">
        <v>0</v>
      </c>
      <c r="E89" s="1106">
        <v>0</v>
      </c>
      <c r="F89" s="1106">
        <v>0</v>
      </c>
      <c r="G89" s="1106">
        <v>0</v>
      </c>
      <c r="H89" s="1107">
        <v>0</v>
      </c>
      <c r="I89" s="1108">
        <v>0</v>
      </c>
      <c r="J89" s="1109">
        <v>0</v>
      </c>
      <c r="K89" s="1109">
        <v>0</v>
      </c>
      <c r="L89" s="1109">
        <v>0</v>
      </c>
      <c r="M89" s="1110">
        <v>0</v>
      </c>
      <c r="N89" s="877"/>
      <c r="O89" s="889">
        <v>0</v>
      </c>
      <c r="P89" s="890">
        <v>0</v>
      </c>
      <c r="Q89" s="891">
        <v>0</v>
      </c>
      <c r="R89" s="1439"/>
      <c r="S89" s="889">
        <v>0</v>
      </c>
      <c r="T89" s="680" t="s">
        <v>1020</v>
      </c>
    </row>
    <row r="90" spans="1:20" s="1442" customFormat="1" ht="14.25" customHeight="1">
      <c r="A90" s="1440"/>
      <c r="B90" s="1948"/>
      <c r="C90" s="893" t="s">
        <v>878</v>
      </c>
      <c r="D90" s="1106">
        <v>0</v>
      </c>
      <c r="E90" s="1106">
        <v>0</v>
      </c>
      <c r="F90" s="1106">
        <v>0.2</v>
      </c>
      <c r="G90" s="1106">
        <v>0.2</v>
      </c>
      <c r="H90" s="1107">
        <v>0.2</v>
      </c>
      <c r="I90" s="1108">
        <v>0.2</v>
      </c>
      <c r="J90" s="1109">
        <v>0.2</v>
      </c>
      <c r="K90" s="1109">
        <v>0.2</v>
      </c>
      <c r="L90" s="1109">
        <v>0.2</v>
      </c>
      <c r="M90" s="1110">
        <v>0.2</v>
      </c>
      <c r="N90" s="877"/>
      <c r="O90" s="889">
        <v>0.4</v>
      </c>
      <c r="P90" s="890">
        <v>0.2</v>
      </c>
      <c r="Q90" s="891">
        <v>0.60000000000000009</v>
      </c>
      <c r="R90" s="1439"/>
      <c r="S90" s="889">
        <v>1</v>
      </c>
      <c r="T90" s="680">
        <v>0.66666666666666641</v>
      </c>
    </row>
    <row r="91" spans="1:20" s="1442" customFormat="1" ht="14.25" customHeight="1">
      <c r="A91" s="1440"/>
      <c r="B91" s="1948"/>
      <c r="C91" s="893" t="s">
        <v>120</v>
      </c>
      <c r="D91" s="1106">
        <v>0</v>
      </c>
      <c r="E91" s="1106">
        <v>0</v>
      </c>
      <c r="F91" s="1106">
        <v>0</v>
      </c>
      <c r="G91" s="1106">
        <v>0</v>
      </c>
      <c r="H91" s="1107">
        <v>0</v>
      </c>
      <c r="I91" s="1108">
        <v>0.6</v>
      </c>
      <c r="J91" s="1109">
        <v>0.6</v>
      </c>
      <c r="K91" s="1109">
        <v>0.7</v>
      </c>
      <c r="L91" s="1109">
        <v>0.7</v>
      </c>
      <c r="M91" s="1110">
        <v>0.8</v>
      </c>
      <c r="N91" s="877"/>
      <c r="O91" s="889">
        <v>0</v>
      </c>
      <c r="P91" s="890">
        <v>0</v>
      </c>
      <c r="Q91" s="891">
        <v>0</v>
      </c>
      <c r="R91" s="1439"/>
      <c r="S91" s="889">
        <v>3.3999999999999995</v>
      </c>
      <c r="T91" s="680" t="s">
        <v>1020</v>
      </c>
    </row>
    <row r="92" spans="1:20" s="1442" customFormat="1" ht="14.25" customHeight="1">
      <c r="A92" s="1440"/>
      <c r="B92" s="1948"/>
      <c r="C92" s="893" t="s">
        <v>224</v>
      </c>
      <c r="D92" s="1106">
        <v>0</v>
      </c>
      <c r="E92" s="1106">
        <v>0</v>
      </c>
      <c r="F92" s="1106">
        <v>0</v>
      </c>
      <c r="G92" s="1106">
        <v>0</v>
      </c>
      <c r="H92" s="1107">
        <v>0</v>
      </c>
      <c r="I92" s="1108">
        <v>0</v>
      </c>
      <c r="J92" s="1109">
        <v>0</v>
      </c>
      <c r="K92" s="1109">
        <v>0</v>
      </c>
      <c r="L92" s="1109">
        <v>0</v>
      </c>
      <c r="M92" s="1110">
        <v>0</v>
      </c>
      <c r="N92" s="877"/>
      <c r="O92" s="889">
        <v>0</v>
      </c>
      <c r="P92" s="890">
        <v>0</v>
      </c>
      <c r="Q92" s="891">
        <v>0</v>
      </c>
      <c r="R92" s="1439"/>
      <c r="S92" s="889">
        <v>0</v>
      </c>
      <c r="T92" s="680" t="s">
        <v>1020</v>
      </c>
    </row>
    <row r="93" spans="1:20" s="1442" customFormat="1" ht="14.25" customHeight="1">
      <c r="A93" s="1440"/>
      <c r="B93" s="1948"/>
      <c r="C93" s="893" t="s">
        <v>868</v>
      </c>
      <c r="D93" s="1106">
        <v>0</v>
      </c>
      <c r="E93" s="1106">
        <v>0</v>
      </c>
      <c r="F93" s="1106">
        <v>0</v>
      </c>
      <c r="G93" s="1106">
        <v>0</v>
      </c>
      <c r="H93" s="1107">
        <v>0</v>
      </c>
      <c r="I93" s="1108">
        <v>0</v>
      </c>
      <c r="J93" s="1109">
        <v>0</v>
      </c>
      <c r="K93" s="1109">
        <v>0</v>
      </c>
      <c r="L93" s="1109">
        <v>0</v>
      </c>
      <c r="M93" s="1110">
        <v>0</v>
      </c>
      <c r="N93" s="877"/>
      <c r="O93" s="889">
        <v>0</v>
      </c>
      <c r="P93" s="890">
        <v>0</v>
      </c>
      <c r="Q93" s="891">
        <v>0</v>
      </c>
      <c r="R93" s="1439"/>
      <c r="S93" s="889">
        <v>0</v>
      </c>
      <c r="T93" s="680" t="s">
        <v>1020</v>
      </c>
    </row>
    <row r="94" spans="1:20" s="1442" customFormat="1" ht="15" customHeight="1">
      <c r="A94" s="1440"/>
      <c r="B94" s="1948"/>
      <c r="C94" s="892" t="s">
        <v>869</v>
      </c>
      <c r="D94" s="1106">
        <v>0</v>
      </c>
      <c r="E94" s="1106">
        <v>0</v>
      </c>
      <c r="F94" s="1106">
        <v>0</v>
      </c>
      <c r="G94" s="1106">
        <v>0</v>
      </c>
      <c r="H94" s="1107">
        <v>0</v>
      </c>
      <c r="I94" s="1108">
        <v>0</v>
      </c>
      <c r="J94" s="1109">
        <v>0</v>
      </c>
      <c r="K94" s="1109">
        <v>0</v>
      </c>
      <c r="L94" s="1109">
        <v>0</v>
      </c>
      <c r="M94" s="1110">
        <v>0</v>
      </c>
      <c r="N94" s="877"/>
      <c r="O94" s="889">
        <v>0</v>
      </c>
      <c r="P94" s="890">
        <v>0</v>
      </c>
      <c r="Q94" s="891">
        <v>0</v>
      </c>
      <c r="R94" s="1439"/>
      <c r="S94" s="889">
        <v>0</v>
      </c>
      <c r="T94" s="680" t="s">
        <v>1020</v>
      </c>
    </row>
    <row r="95" spans="1:20" s="1442" customFormat="1" ht="14.25" customHeight="1">
      <c r="A95" s="1440"/>
      <c r="B95" s="1948" t="s">
        <v>243</v>
      </c>
      <c r="C95" s="893" t="s">
        <v>225</v>
      </c>
      <c r="D95" s="1106">
        <v>0</v>
      </c>
      <c r="E95" s="1106">
        <v>0</v>
      </c>
      <c r="F95" s="1106">
        <v>0</v>
      </c>
      <c r="G95" s="1106">
        <v>0</v>
      </c>
      <c r="H95" s="1107">
        <v>0</v>
      </c>
      <c r="I95" s="1108">
        <v>0</v>
      </c>
      <c r="J95" s="1109">
        <v>0</v>
      </c>
      <c r="K95" s="1109">
        <v>0</v>
      </c>
      <c r="L95" s="1109">
        <v>0</v>
      </c>
      <c r="M95" s="1110">
        <v>0</v>
      </c>
      <c r="N95" s="877"/>
      <c r="O95" s="889">
        <v>0</v>
      </c>
      <c r="P95" s="890">
        <v>0</v>
      </c>
      <c r="Q95" s="891">
        <v>0</v>
      </c>
      <c r="R95" s="1439"/>
      <c r="S95" s="889">
        <v>0</v>
      </c>
      <c r="T95" s="680" t="s">
        <v>1020</v>
      </c>
    </row>
    <row r="96" spans="1:20" s="1442" customFormat="1" ht="14.25" customHeight="1">
      <c r="A96" s="1440"/>
      <c r="B96" s="1948"/>
      <c r="C96" s="893" t="s">
        <v>878</v>
      </c>
      <c r="D96" s="1106">
        <v>0</v>
      </c>
      <c r="E96" s="1106">
        <v>0</v>
      </c>
      <c r="F96" s="1106">
        <v>0</v>
      </c>
      <c r="G96" s="1106">
        <v>0</v>
      </c>
      <c r="H96" s="1107">
        <v>0</v>
      </c>
      <c r="I96" s="1108">
        <v>0</v>
      </c>
      <c r="J96" s="1109">
        <v>0</v>
      </c>
      <c r="K96" s="1109">
        <v>0</v>
      </c>
      <c r="L96" s="1109">
        <v>0</v>
      </c>
      <c r="M96" s="1110">
        <v>0</v>
      </c>
      <c r="N96" s="877"/>
      <c r="O96" s="889">
        <v>0</v>
      </c>
      <c r="P96" s="890">
        <v>0</v>
      </c>
      <c r="Q96" s="891">
        <v>0</v>
      </c>
      <c r="R96" s="1439"/>
      <c r="S96" s="889">
        <v>0</v>
      </c>
      <c r="T96" s="680" t="s">
        <v>1020</v>
      </c>
    </row>
    <row r="97" spans="1:20" s="1442" customFormat="1" ht="14.25" customHeight="1">
      <c r="A97" s="1440"/>
      <c r="B97" s="1948"/>
      <c r="C97" s="892" t="s">
        <v>879</v>
      </c>
      <c r="D97" s="1106">
        <v>0</v>
      </c>
      <c r="E97" s="1106">
        <v>0</v>
      </c>
      <c r="F97" s="1106">
        <v>0</v>
      </c>
      <c r="G97" s="1106">
        <v>0</v>
      </c>
      <c r="H97" s="1107">
        <v>0</v>
      </c>
      <c r="I97" s="1108">
        <v>0</v>
      </c>
      <c r="J97" s="1109">
        <v>0</v>
      </c>
      <c r="K97" s="1109">
        <v>0</v>
      </c>
      <c r="L97" s="1109">
        <v>0</v>
      </c>
      <c r="M97" s="1110">
        <v>0</v>
      </c>
      <c r="N97" s="877"/>
      <c r="O97" s="889">
        <v>0</v>
      </c>
      <c r="P97" s="890">
        <v>0</v>
      </c>
      <c r="Q97" s="891">
        <v>0</v>
      </c>
      <c r="R97" s="1439"/>
      <c r="S97" s="889">
        <v>0</v>
      </c>
      <c r="T97" s="680" t="s">
        <v>1020</v>
      </c>
    </row>
    <row r="98" spans="1:20" s="1442" customFormat="1" ht="14.25" customHeight="1">
      <c r="A98" s="1440"/>
      <c r="B98" s="1948"/>
      <c r="C98" s="892" t="s">
        <v>224</v>
      </c>
      <c r="D98" s="1106">
        <v>0</v>
      </c>
      <c r="E98" s="1106">
        <v>0</v>
      </c>
      <c r="F98" s="1106">
        <v>0</v>
      </c>
      <c r="G98" s="1106">
        <v>0</v>
      </c>
      <c r="H98" s="1107">
        <v>0</v>
      </c>
      <c r="I98" s="1108">
        <v>0</v>
      </c>
      <c r="J98" s="1109">
        <v>0</v>
      </c>
      <c r="K98" s="1109">
        <v>0</v>
      </c>
      <c r="L98" s="1109">
        <v>0</v>
      </c>
      <c r="M98" s="1110">
        <v>0</v>
      </c>
      <c r="N98" s="877"/>
      <c r="O98" s="889">
        <v>0</v>
      </c>
      <c r="P98" s="890">
        <v>0</v>
      </c>
      <c r="Q98" s="891">
        <v>0</v>
      </c>
      <c r="R98" s="1439"/>
      <c r="S98" s="889">
        <v>0</v>
      </c>
      <c r="T98" s="680" t="s">
        <v>1020</v>
      </c>
    </row>
    <row r="99" spans="1:20" s="1442" customFormat="1" ht="14.25" customHeight="1">
      <c r="A99" s="1440"/>
      <c r="B99" s="1948"/>
      <c r="C99" s="892" t="s">
        <v>868</v>
      </c>
      <c r="D99" s="1106">
        <v>0</v>
      </c>
      <c r="E99" s="1106">
        <v>0</v>
      </c>
      <c r="F99" s="1106">
        <v>0</v>
      </c>
      <c r="G99" s="1106">
        <v>0</v>
      </c>
      <c r="H99" s="1107">
        <v>0</v>
      </c>
      <c r="I99" s="1108">
        <v>0</v>
      </c>
      <c r="J99" s="1109">
        <v>0</v>
      </c>
      <c r="K99" s="1109">
        <v>0</v>
      </c>
      <c r="L99" s="1109">
        <v>0</v>
      </c>
      <c r="M99" s="1110">
        <v>0</v>
      </c>
      <c r="N99" s="877"/>
      <c r="O99" s="889">
        <v>0</v>
      </c>
      <c r="P99" s="890">
        <v>0</v>
      </c>
      <c r="Q99" s="891">
        <v>0</v>
      </c>
      <c r="R99" s="1439"/>
      <c r="S99" s="889">
        <v>0</v>
      </c>
      <c r="T99" s="680" t="s">
        <v>1020</v>
      </c>
    </row>
    <row r="100" spans="1:20" s="1442" customFormat="1" ht="15" customHeight="1">
      <c r="A100" s="1440"/>
      <c r="B100" s="1948"/>
      <c r="C100" s="892" t="s">
        <v>869</v>
      </c>
      <c r="D100" s="1106">
        <v>0</v>
      </c>
      <c r="E100" s="1106">
        <v>0</v>
      </c>
      <c r="F100" s="1106">
        <v>0</v>
      </c>
      <c r="G100" s="1106">
        <v>0</v>
      </c>
      <c r="H100" s="1107">
        <v>0</v>
      </c>
      <c r="I100" s="1108">
        <v>0</v>
      </c>
      <c r="J100" s="1109">
        <v>0</v>
      </c>
      <c r="K100" s="1109">
        <v>0</v>
      </c>
      <c r="L100" s="1109">
        <v>0</v>
      </c>
      <c r="M100" s="1110">
        <v>0</v>
      </c>
      <c r="N100" s="877"/>
      <c r="O100" s="889">
        <v>0</v>
      </c>
      <c r="P100" s="890">
        <v>0</v>
      </c>
      <c r="Q100" s="891">
        <v>0</v>
      </c>
      <c r="R100" s="1439"/>
      <c r="S100" s="889">
        <v>0</v>
      </c>
      <c r="T100" s="680" t="s">
        <v>1020</v>
      </c>
    </row>
    <row r="101" spans="1:20" s="1442" customFormat="1" ht="15" customHeight="1" thickBot="1">
      <c r="A101" s="1440"/>
      <c r="B101" s="1447" t="s">
        <v>622</v>
      </c>
      <c r="C101" s="1448"/>
      <c r="D101" s="910">
        <v>1.3</v>
      </c>
      <c r="E101" s="911">
        <v>1.9</v>
      </c>
      <c r="F101" s="911">
        <v>2.5</v>
      </c>
      <c r="G101" s="911">
        <v>2.7</v>
      </c>
      <c r="H101" s="912">
        <v>2.7</v>
      </c>
      <c r="I101" s="913">
        <v>3.3000000000000003</v>
      </c>
      <c r="J101" s="911">
        <v>3.3000000000000003</v>
      </c>
      <c r="K101" s="911">
        <v>3.4000000000000004</v>
      </c>
      <c r="L101" s="911">
        <v>3.4000000000000004</v>
      </c>
      <c r="M101" s="912">
        <v>3.5</v>
      </c>
      <c r="N101" s="877"/>
      <c r="O101" s="897">
        <v>8.4</v>
      </c>
      <c r="P101" s="898">
        <v>2.7</v>
      </c>
      <c r="Q101" s="899">
        <v>11.100000000000001</v>
      </c>
      <c r="R101" s="1439"/>
      <c r="S101" s="897">
        <v>16.899999999999999</v>
      </c>
      <c r="T101" s="712">
        <v>0.52252252252252218</v>
      </c>
    </row>
    <row r="102" spans="1:20" s="1442" customFormat="1" ht="15" customHeight="1">
      <c r="A102" s="1440"/>
      <c r="B102" s="877"/>
      <c r="C102" s="877"/>
      <c r="D102" s="877"/>
      <c r="E102" s="877"/>
      <c r="F102" s="877"/>
      <c r="G102" s="877"/>
      <c r="H102" s="877"/>
      <c r="I102" s="877"/>
      <c r="J102" s="877"/>
      <c r="K102" s="877"/>
      <c r="L102" s="877"/>
      <c r="M102" s="877"/>
      <c r="N102" s="877"/>
      <c r="O102" s="877"/>
      <c r="P102" s="877"/>
      <c r="Q102" s="877"/>
    </row>
    <row r="103" spans="1:20" s="1442" customFormat="1" ht="15" customHeight="1">
      <c r="A103" s="1440"/>
      <c r="B103" s="877"/>
      <c r="C103" s="877"/>
      <c r="D103" s="877"/>
      <c r="E103" s="877"/>
      <c r="F103" s="877"/>
      <c r="G103" s="877"/>
      <c r="H103" s="877"/>
      <c r="I103" s="877"/>
      <c r="J103" s="877"/>
      <c r="K103" s="877"/>
      <c r="L103" s="877"/>
      <c r="M103" s="877"/>
      <c r="N103" s="877"/>
      <c r="O103" s="877"/>
      <c r="P103" s="877"/>
      <c r="Q103" s="877"/>
    </row>
    <row r="104" spans="1:20" s="1442" customFormat="1" ht="15" customHeight="1">
      <c r="A104" s="1440"/>
      <c r="B104" s="875" t="s">
        <v>623</v>
      </c>
      <c r="C104" s="877"/>
      <c r="D104" s="877"/>
      <c r="E104" s="877"/>
      <c r="F104" s="877"/>
      <c r="G104" s="877"/>
      <c r="H104" s="877"/>
      <c r="I104" s="877"/>
      <c r="J104" s="877"/>
      <c r="K104" s="877"/>
      <c r="L104" s="877"/>
      <c r="M104" s="877"/>
      <c r="N104" s="877"/>
      <c r="O104" s="877"/>
      <c r="P104" s="877"/>
      <c r="Q104" s="877"/>
    </row>
    <row r="105" spans="1:20" s="1442" customFormat="1" ht="15" customHeight="1" thickBot="1">
      <c r="A105" s="1440"/>
      <c r="B105" s="877"/>
      <c r="C105" s="877"/>
      <c r="D105" s="877"/>
      <c r="E105" s="877"/>
      <c r="F105" s="877"/>
      <c r="G105" s="877"/>
      <c r="H105" s="877"/>
      <c r="I105" s="877"/>
      <c r="J105" s="877"/>
      <c r="K105" s="877"/>
      <c r="L105" s="877"/>
      <c r="M105" s="877"/>
      <c r="N105" s="877"/>
      <c r="O105" s="877"/>
      <c r="P105" s="877"/>
      <c r="Q105" s="877"/>
    </row>
    <row r="106" spans="1:20" s="1442" customFormat="1" ht="15" customHeight="1">
      <c r="A106" s="1440"/>
      <c r="B106" s="1952" t="s">
        <v>113</v>
      </c>
      <c r="C106" s="1953"/>
      <c r="D106" s="1444" t="s">
        <v>114</v>
      </c>
      <c r="E106" s="1444"/>
      <c r="F106" s="1444"/>
      <c r="G106" s="1444"/>
      <c r="H106" s="1445"/>
      <c r="I106" s="1443" t="s">
        <v>115</v>
      </c>
      <c r="J106" s="1444"/>
      <c r="K106" s="1444"/>
      <c r="L106" s="1444"/>
      <c r="M106" s="1445"/>
      <c r="N106" s="877"/>
      <c r="O106" s="535" t="s">
        <v>116</v>
      </c>
      <c r="P106" s="536"/>
      <c r="Q106" s="537"/>
      <c r="R106" s="1439"/>
      <c r="S106" s="535" t="s">
        <v>117</v>
      </c>
      <c r="T106" s="537"/>
    </row>
    <row r="107" spans="1:20" s="1442" customFormat="1" ht="15" customHeight="1">
      <c r="A107" s="1440"/>
      <c r="B107" s="1954"/>
      <c r="C107" s="1955"/>
      <c r="D107" s="883" t="s">
        <v>32</v>
      </c>
      <c r="E107" s="881" t="s">
        <v>33</v>
      </c>
      <c r="F107" s="881" t="s">
        <v>29</v>
      </c>
      <c r="G107" s="881" t="s">
        <v>34</v>
      </c>
      <c r="H107" s="882" t="s">
        <v>35</v>
      </c>
      <c r="I107" s="880" t="s">
        <v>118</v>
      </c>
      <c r="J107" s="881" t="s">
        <v>136</v>
      </c>
      <c r="K107" s="881" t="s">
        <v>137</v>
      </c>
      <c r="L107" s="881" t="s">
        <v>138</v>
      </c>
      <c r="M107" s="882" t="s">
        <v>624</v>
      </c>
      <c r="N107" s="877"/>
      <c r="O107" s="542" t="s">
        <v>126</v>
      </c>
      <c r="P107" s="543" t="s">
        <v>127</v>
      </c>
      <c r="Q107" s="544" t="s">
        <v>246</v>
      </c>
      <c r="R107" s="1439"/>
      <c r="S107" s="542" t="s">
        <v>127</v>
      </c>
      <c r="T107" s="544" t="s">
        <v>128</v>
      </c>
    </row>
    <row r="108" spans="1:20" s="1442" customFormat="1" ht="15" customHeight="1">
      <c r="A108" s="1440"/>
      <c r="B108" s="1956"/>
      <c r="C108" s="1957"/>
      <c r="D108" s="883" t="s">
        <v>14</v>
      </c>
      <c r="E108" s="881" t="s">
        <v>14</v>
      </c>
      <c r="F108" s="881" t="s">
        <v>14</v>
      </c>
      <c r="G108" s="881" t="s">
        <v>14</v>
      </c>
      <c r="H108" s="882" t="s">
        <v>14</v>
      </c>
      <c r="I108" s="880" t="s">
        <v>14</v>
      </c>
      <c r="J108" s="881" t="s">
        <v>14</v>
      </c>
      <c r="K108" s="881" t="s">
        <v>14</v>
      </c>
      <c r="L108" s="881" t="s">
        <v>14</v>
      </c>
      <c r="M108" s="882" t="s">
        <v>14</v>
      </c>
      <c r="N108" s="877"/>
      <c r="O108" s="884"/>
      <c r="P108" s="885"/>
      <c r="Q108" s="886"/>
      <c r="R108" s="1439"/>
      <c r="S108" s="887"/>
      <c r="T108" s="888"/>
    </row>
    <row r="109" spans="1:20" s="1442" customFormat="1" ht="15" customHeight="1">
      <c r="A109" s="1440"/>
      <c r="B109" s="1959" t="s">
        <v>625</v>
      </c>
      <c r="C109" s="914" t="s">
        <v>626</v>
      </c>
      <c r="D109" s="1101">
        <v>1.2</v>
      </c>
      <c r="E109" s="1104">
        <v>1</v>
      </c>
      <c r="F109" s="1104">
        <v>2</v>
      </c>
      <c r="G109" s="1104">
        <v>1.1626872051942696</v>
      </c>
      <c r="H109" s="1105">
        <v>1.1983633902007491</v>
      </c>
      <c r="I109" s="1103">
        <v>1.84</v>
      </c>
      <c r="J109" s="1104">
        <v>2.09</v>
      </c>
      <c r="K109" s="1104">
        <v>2.46</v>
      </c>
      <c r="L109" s="1104">
        <v>3.07</v>
      </c>
      <c r="M109" s="1105">
        <v>2.83</v>
      </c>
      <c r="N109" s="877"/>
      <c r="O109" s="889">
        <v>5.3626872051942698</v>
      </c>
      <c r="P109" s="890">
        <v>1.1983633902007491</v>
      </c>
      <c r="Q109" s="891">
        <v>6.5610505953950184</v>
      </c>
      <c r="R109" s="1439"/>
      <c r="S109" s="889">
        <v>12.29</v>
      </c>
      <c r="T109" s="915">
        <v>0.8731756174271752</v>
      </c>
    </row>
    <row r="110" spans="1:20" s="1442" customFormat="1" ht="15" customHeight="1">
      <c r="A110" s="1440"/>
      <c r="B110" s="1960"/>
      <c r="C110" s="914" t="s">
        <v>627</v>
      </c>
      <c r="D110" s="1106">
        <v>0</v>
      </c>
      <c r="E110" s="1109">
        <v>0</v>
      </c>
      <c r="F110" s="1109">
        <v>0</v>
      </c>
      <c r="G110" s="1109">
        <v>0</v>
      </c>
      <c r="H110" s="1110">
        <v>0</v>
      </c>
      <c r="I110" s="1108">
        <v>0</v>
      </c>
      <c r="J110" s="1109">
        <v>0</v>
      </c>
      <c r="K110" s="1109">
        <v>0</v>
      </c>
      <c r="L110" s="1109">
        <v>0</v>
      </c>
      <c r="M110" s="1110">
        <v>0</v>
      </c>
      <c r="N110" s="877"/>
      <c r="O110" s="889">
        <v>0</v>
      </c>
      <c r="P110" s="890">
        <v>0</v>
      </c>
      <c r="Q110" s="891">
        <v>0</v>
      </c>
      <c r="R110" s="1439"/>
      <c r="S110" s="889">
        <v>0</v>
      </c>
      <c r="T110" s="915" t="s">
        <v>1020</v>
      </c>
    </row>
    <row r="111" spans="1:20" s="1442" customFormat="1" ht="15" customHeight="1">
      <c r="A111" s="1440"/>
      <c r="B111" s="1960"/>
      <c r="C111" s="914" t="s">
        <v>628</v>
      </c>
      <c r="D111" s="1106">
        <v>0</v>
      </c>
      <c r="E111" s="1109">
        <v>0</v>
      </c>
      <c r="F111" s="1109">
        <v>0</v>
      </c>
      <c r="G111" s="1109">
        <v>0</v>
      </c>
      <c r="H111" s="1110">
        <v>0</v>
      </c>
      <c r="I111" s="1108">
        <v>0</v>
      </c>
      <c r="J111" s="1109">
        <v>0</v>
      </c>
      <c r="K111" s="1109">
        <v>0</v>
      </c>
      <c r="L111" s="1109">
        <v>0</v>
      </c>
      <c r="M111" s="1110">
        <v>0</v>
      </c>
      <c r="N111" s="877"/>
      <c r="O111" s="889">
        <v>0</v>
      </c>
      <c r="P111" s="890">
        <v>0</v>
      </c>
      <c r="Q111" s="891">
        <v>0</v>
      </c>
      <c r="R111" s="1439"/>
      <c r="S111" s="889">
        <v>0</v>
      </c>
      <c r="T111" s="915" t="s">
        <v>1020</v>
      </c>
    </row>
    <row r="112" spans="1:20" s="1442" customFormat="1" ht="15" customHeight="1">
      <c r="A112" s="1440"/>
      <c r="B112" s="1960"/>
      <c r="C112" s="914" t="s">
        <v>629</v>
      </c>
      <c r="D112" s="1106">
        <v>0</v>
      </c>
      <c r="E112" s="1109">
        <v>0</v>
      </c>
      <c r="F112" s="1109">
        <v>0</v>
      </c>
      <c r="G112" s="1109">
        <v>0</v>
      </c>
      <c r="H112" s="1110">
        <v>0</v>
      </c>
      <c r="I112" s="1108">
        <v>0</v>
      </c>
      <c r="J112" s="1109">
        <v>0</v>
      </c>
      <c r="K112" s="1109">
        <v>0</v>
      </c>
      <c r="L112" s="1109">
        <v>0</v>
      </c>
      <c r="M112" s="1110">
        <v>0</v>
      </c>
      <c r="N112" s="877"/>
      <c r="O112" s="889">
        <v>0</v>
      </c>
      <c r="P112" s="890">
        <v>0</v>
      </c>
      <c r="Q112" s="891">
        <v>0</v>
      </c>
      <c r="R112" s="1439"/>
      <c r="S112" s="889">
        <v>0</v>
      </c>
      <c r="T112" s="915" t="s">
        <v>1020</v>
      </c>
    </row>
    <row r="113" spans="1:20" s="1442" customFormat="1" ht="15" customHeight="1">
      <c r="A113" s="1440"/>
      <c r="B113" s="1960"/>
      <c r="C113" s="914" t="s">
        <v>630</v>
      </c>
      <c r="D113" s="1106">
        <v>2.1</v>
      </c>
      <c r="E113" s="1109">
        <v>2.6</v>
      </c>
      <c r="F113" s="1109">
        <v>3.3</v>
      </c>
      <c r="G113" s="1109">
        <v>3.5958534986926285</v>
      </c>
      <c r="H113" s="1110">
        <v>3.2024704065429015</v>
      </c>
      <c r="I113" s="1108">
        <v>3.15</v>
      </c>
      <c r="J113" s="1109">
        <v>3.53</v>
      </c>
      <c r="K113" s="1109">
        <v>3.96</v>
      </c>
      <c r="L113" s="1109">
        <v>3.96</v>
      </c>
      <c r="M113" s="1110">
        <v>3.96</v>
      </c>
      <c r="N113" s="877"/>
      <c r="O113" s="889">
        <v>11.595853498692628</v>
      </c>
      <c r="P113" s="890">
        <v>3.2024704065429015</v>
      </c>
      <c r="Q113" s="891">
        <v>14.798323905235531</v>
      </c>
      <c r="R113" s="1439"/>
      <c r="S113" s="889">
        <v>18.560000000000002</v>
      </c>
      <c r="T113" s="915">
        <v>0.25419609131772147</v>
      </c>
    </row>
    <row r="114" spans="1:20" s="1442" customFormat="1" ht="15" customHeight="1">
      <c r="A114" s="1440"/>
      <c r="B114" s="1961"/>
      <c r="C114" s="1452" t="s">
        <v>717</v>
      </c>
      <c r="D114" s="1119">
        <v>3.3</v>
      </c>
      <c r="E114" s="1119">
        <v>3.6</v>
      </c>
      <c r="F114" s="1119">
        <v>5.3</v>
      </c>
      <c r="G114" s="1119">
        <v>4.7585407038868981</v>
      </c>
      <c r="H114" s="1120">
        <v>4.400833796743651</v>
      </c>
      <c r="I114" s="1121">
        <v>4.99</v>
      </c>
      <c r="J114" s="1119">
        <v>5.6199999999999992</v>
      </c>
      <c r="K114" s="1119">
        <v>6.42</v>
      </c>
      <c r="L114" s="1119">
        <v>7.0299999999999994</v>
      </c>
      <c r="M114" s="1120">
        <v>6.79</v>
      </c>
      <c r="N114" s="877"/>
      <c r="O114" s="889">
        <v>16.958540703886896</v>
      </c>
      <c r="P114" s="890">
        <v>4.400833796743651</v>
      </c>
      <c r="Q114" s="891">
        <v>21.359374500630548</v>
      </c>
      <c r="R114" s="1439"/>
      <c r="S114" s="889">
        <v>30.85</v>
      </c>
      <c r="T114" s="915">
        <v>0.44433068482830723</v>
      </c>
    </row>
    <row r="115" spans="1:20" s="1442" customFormat="1" ht="15" customHeight="1">
      <c r="A115" s="1440"/>
      <c r="B115" s="1959" t="s">
        <v>239</v>
      </c>
      <c r="C115" s="914" t="s">
        <v>626</v>
      </c>
      <c r="D115" s="1106">
        <v>0.7</v>
      </c>
      <c r="E115" s="1109">
        <v>3.9</v>
      </c>
      <c r="F115" s="1109">
        <v>2.4</v>
      </c>
      <c r="G115" s="1109">
        <v>3.3614323160071953</v>
      </c>
      <c r="H115" s="1110">
        <v>3.3984634500996829</v>
      </c>
      <c r="I115" s="1108">
        <v>3.7</v>
      </c>
      <c r="J115" s="1109">
        <v>4.1900000000000004</v>
      </c>
      <c r="K115" s="1109">
        <v>4.93</v>
      </c>
      <c r="L115" s="1109">
        <v>6.16</v>
      </c>
      <c r="M115" s="1110">
        <v>5.67</v>
      </c>
      <c r="N115" s="877"/>
      <c r="O115" s="889">
        <v>10.361432316007196</v>
      </c>
      <c r="P115" s="890">
        <v>3.3984634500996829</v>
      </c>
      <c r="Q115" s="891">
        <v>13.759895766106879</v>
      </c>
      <c r="R115" s="1439"/>
      <c r="S115" s="889">
        <v>24.65</v>
      </c>
      <c r="T115" s="915">
        <v>0.79143798899388629</v>
      </c>
    </row>
    <row r="116" spans="1:20" s="1442" customFormat="1" ht="15" customHeight="1">
      <c r="A116" s="1440"/>
      <c r="B116" s="1960"/>
      <c r="C116" s="914" t="s">
        <v>627</v>
      </c>
      <c r="D116" s="1106">
        <v>0</v>
      </c>
      <c r="E116" s="1109">
        <v>0</v>
      </c>
      <c r="F116" s="1109">
        <v>0</v>
      </c>
      <c r="G116" s="1109">
        <v>0</v>
      </c>
      <c r="H116" s="1110">
        <v>0</v>
      </c>
      <c r="I116" s="1108">
        <v>0</v>
      </c>
      <c r="J116" s="1109">
        <v>0</v>
      </c>
      <c r="K116" s="1109">
        <v>0</v>
      </c>
      <c r="L116" s="1109">
        <v>0</v>
      </c>
      <c r="M116" s="1110">
        <v>0</v>
      </c>
      <c r="N116" s="877"/>
      <c r="O116" s="889">
        <v>0</v>
      </c>
      <c r="P116" s="890">
        <v>0</v>
      </c>
      <c r="Q116" s="891">
        <v>0</v>
      </c>
      <c r="R116" s="1439"/>
      <c r="S116" s="889">
        <v>0</v>
      </c>
      <c r="T116" s="915" t="s">
        <v>1020</v>
      </c>
    </row>
    <row r="117" spans="1:20" s="1442" customFormat="1" ht="15" customHeight="1">
      <c r="A117" s="1440"/>
      <c r="B117" s="1960"/>
      <c r="C117" s="914" t="s">
        <v>628</v>
      </c>
      <c r="D117" s="1106">
        <v>0</v>
      </c>
      <c r="E117" s="1109">
        <v>0</v>
      </c>
      <c r="F117" s="1109">
        <v>0</v>
      </c>
      <c r="G117" s="1109">
        <v>0</v>
      </c>
      <c r="H117" s="1110">
        <v>0</v>
      </c>
      <c r="I117" s="1108">
        <v>0</v>
      </c>
      <c r="J117" s="1109">
        <v>0</v>
      </c>
      <c r="K117" s="1109">
        <v>0</v>
      </c>
      <c r="L117" s="1109">
        <v>0</v>
      </c>
      <c r="M117" s="1110">
        <v>0</v>
      </c>
      <c r="N117" s="877"/>
      <c r="O117" s="889">
        <v>0</v>
      </c>
      <c r="P117" s="890">
        <v>0</v>
      </c>
      <c r="Q117" s="891">
        <v>0</v>
      </c>
      <c r="R117" s="1439"/>
      <c r="S117" s="889">
        <v>0</v>
      </c>
      <c r="T117" s="915" t="s">
        <v>1020</v>
      </c>
    </row>
    <row r="118" spans="1:20" s="1442" customFormat="1" ht="15" customHeight="1">
      <c r="A118" s="1440"/>
      <c r="B118" s="1960"/>
      <c r="C118" s="914" t="s">
        <v>629</v>
      </c>
      <c r="D118" s="1106">
        <v>0</v>
      </c>
      <c r="E118" s="1109">
        <v>0</v>
      </c>
      <c r="F118" s="1109">
        <v>0</v>
      </c>
      <c r="G118" s="1109">
        <v>0</v>
      </c>
      <c r="H118" s="1110">
        <v>0</v>
      </c>
      <c r="I118" s="1108">
        <v>0</v>
      </c>
      <c r="J118" s="1109">
        <v>0</v>
      </c>
      <c r="K118" s="1109">
        <v>0</v>
      </c>
      <c r="L118" s="1109">
        <v>0</v>
      </c>
      <c r="M118" s="1110">
        <v>0</v>
      </c>
      <c r="N118" s="877"/>
      <c r="O118" s="889">
        <v>0</v>
      </c>
      <c r="P118" s="890">
        <v>0</v>
      </c>
      <c r="Q118" s="891">
        <v>0</v>
      </c>
      <c r="R118" s="1439"/>
      <c r="S118" s="889">
        <v>0</v>
      </c>
      <c r="T118" s="915" t="s">
        <v>1020</v>
      </c>
    </row>
    <row r="119" spans="1:20" s="1442" customFormat="1" ht="15" customHeight="1">
      <c r="A119" s="1440"/>
      <c r="B119" s="1960"/>
      <c r="C119" s="914" t="s">
        <v>630</v>
      </c>
      <c r="D119" s="1106">
        <v>1.8</v>
      </c>
      <c r="E119" s="1109">
        <v>2.2999999999999998</v>
      </c>
      <c r="F119" s="1109">
        <v>4.7</v>
      </c>
      <c r="G119" s="1109">
        <v>4.0866728499402543</v>
      </c>
      <c r="H119" s="1110">
        <v>3.9911094228764248</v>
      </c>
      <c r="I119" s="1108">
        <v>1.08</v>
      </c>
      <c r="J119" s="1109">
        <v>2.59</v>
      </c>
      <c r="K119" s="1109">
        <v>3.98</v>
      </c>
      <c r="L119" s="1109">
        <v>3.98</v>
      </c>
      <c r="M119" s="1110">
        <v>3.98</v>
      </c>
      <c r="N119" s="877"/>
      <c r="O119" s="889">
        <v>12.886672849940254</v>
      </c>
      <c r="P119" s="890">
        <v>3.9911094228764248</v>
      </c>
      <c r="Q119" s="891">
        <v>16.877782272816678</v>
      </c>
      <c r="R119" s="1439"/>
      <c r="S119" s="889">
        <v>15.610000000000001</v>
      </c>
      <c r="T119" s="915">
        <v>-7.5115453696695922E-2</v>
      </c>
    </row>
    <row r="120" spans="1:20" s="1442" customFormat="1" ht="15" customHeight="1">
      <c r="A120" s="1440"/>
      <c r="B120" s="1961"/>
      <c r="C120" s="1452" t="s">
        <v>717</v>
      </c>
      <c r="D120" s="1119">
        <v>2.5</v>
      </c>
      <c r="E120" s="1119">
        <v>6.1999999999999993</v>
      </c>
      <c r="F120" s="1119">
        <v>7.1</v>
      </c>
      <c r="G120" s="1119">
        <v>7.4481051659474495</v>
      </c>
      <c r="H120" s="1120">
        <v>7.3895728729761077</v>
      </c>
      <c r="I120" s="1121">
        <v>4.78</v>
      </c>
      <c r="J120" s="1119">
        <v>6.78</v>
      </c>
      <c r="K120" s="1119">
        <v>8.91</v>
      </c>
      <c r="L120" s="1119">
        <v>10.14</v>
      </c>
      <c r="M120" s="1120">
        <v>9.65</v>
      </c>
      <c r="N120" s="877"/>
      <c r="O120" s="889">
        <v>23.24810516594745</v>
      </c>
      <c r="P120" s="890">
        <v>7.3895728729761077</v>
      </c>
      <c r="Q120" s="891">
        <v>30.637678038923557</v>
      </c>
      <c r="R120" s="1439"/>
      <c r="S120" s="889">
        <v>40.26</v>
      </c>
      <c r="T120" s="915">
        <v>0.31406825115309939</v>
      </c>
    </row>
    <row r="121" spans="1:20" s="1442" customFormat="1" ht="15" customHeight="1">
      <c r="A121" s="1440"/>
      <c r="B121" s="1958" t="s">
        <v>718</v>
      </c>
      <c r="C121" s="914" t="s">
        <v>626</v>
      </c>
      <c r="D121" s="1106">
        <v>0.2</v>
      </c>
      <c r="E121" s="1109">
        <v>0</v>
      </c>
      <c r="F121" s="1109">
        <v>0.2</v>
      </c>
      <c r="G121" s="1109">
        <v>2.825612469869062E-2</v>
      </c>
      <c r="H121" s="1110">
        <v>1.7859780399340608E-2</v>
      </c>
      <c r="I121" s="1108">
        <v>0.75</v>
      </c>
      <c r="J121" s="1109">
        <v>0.87</v>
      </c>
      <c r="K121" s="1109">
        <v>1</v>
      </c>
      <c r="L121" s="1109">
        <v>1</v>
      </c>
      <c r="M121" s="1110">
        <v>1</v>
      </c>
      <c r="N121" s="877"/>
      <c r="O121" s="889">
        <v>0.42825612469869062</v>
      </c>
      <c r="P121" s="890">
        <v>1.7859780399340608E-2</v>
      </c>
      <c r="Q121" s="891">
        <v>0.44611590509803123</v>
      </c>
      <c r="R121" s="1439"/>
      <c r="S121" s="889">
        <v>4.62</v>
      </c>
      <c r="T121" s="915">
        <v>9.3560530956294503</v>
      </c>
    </row>
    <row r="122" spans="1:20" s="1442" customFormat="1" ht="15" customHeight="1">
      <c r="A122" s="1440"/>
      <c r="B122" s="1959"/>
      <c r="C122" s="914" t="s">
        <v>627</v>
      </c>
      <c r="D122" s="1106">
        <v>0</v>
      </c>
      <c r="E122" s="1109">
        <v>0</v>
      </c>
      <c r="F122" s="1109">
        <v>0</v>
      </c>
      <c r="G122" s="1109">
        <v>0</v>
      </c>
      <c r="H122" s="1110">
        <v>0</v>
      </c>
      <c r="I122" s="1108">
        <v>0</v>
      </c>
      <c r="J122" s="1109">
        <v>0</v>
      </c>
      <c r="K122" s="1109">
        <v>0</v>
      </c>
      <c r="L122" s="1109">
        <v>0</v>
      </c>
      <c r="M122" s="1110">
        <v>0</v>
      </c>
      <c r="N122" s="877"/>
      <c r="O122" s="889">
        <v>0</v>
      </c>
      <c r="P122" s="890">
        <v>0</v>
      </c>
      <c r="Q122" s="891">
        <v>0</v>
      </c>
      <c r="R122" s="1439"/>
      <c r="S122" s="889">
        <v>0</v>
      </c>
      <c r="T122" s="915" t="s">
        <v>1020</v>
      </c>
    </row>
    <row r="123" spans="1:20" s="1442" customFormat="1" ht="15" customHeight="1">
      <c r="A123" s="1440"/>
      <c r="B123" s="1959"/>
      <c r="C123" s="914" t="s">
        <v>628</v>
      </c>
      <c r="D123" s="1106">
        <v>0</v>
      </c>
      <c r="E123" s="1109">
        <v>0</v>
      </c>
      <c r="F123" s="1109">
        <v>0</v>
      </c>
      <c r="G123" s="1109">
        <v>0</v>
      </c>
      <c r="H123" s="1110">
        <v>0</v>
      </c>
      <c r="I123" s="1108">
        <v>0</v>
      </c>
      <c r="J123" s="1109">
        <v>0</v>
      </c>
      <c r="K123" s="1109">
        <v>0</v>
      </c>
      <c r="L123" s="1109">
        <v>0</v>
      </c>
      <c r="M123" s="1110">
        <v>0</v>
      </c>
      <c r="N123" s="877"/>
      <c r="O123" s="889">
        <v>0</v>
      </c>
      <c r="P123" s="890">
        <v>0</v>
      </c>
      <c r="Q123" s="891">
        <v>0</v>
      </c>
      <c r="R123" s="1439"/>
      <c r="S123" s="889">
        <v>0</v>
      </c>
      <c r="T123" s="915" t="s">
        <v>1020</v>
      </c>
    </row>
    <row r="124" spans="1:20" s="1442" customFormat="1" ht="15" customHeight="1">
      <c r="A124" s="1440"/>
      <c r="B124" s="1959"/>
      <c r="C124" s="914" t="s">
        <v>630</v>
      </c>
      <c r="D124" s="1106">
        <v>0.2</v>
      </c>
      <c r="E124" s="1109">
        <v>0.5</v>
      </c>
      <c r="F124" s="1109">
        <v>0.4</v>
      </c>
      <c r="G124" s="1109">
        <v>0.38930660695973746</v>
      </c>
      <c r="H124" s="1110">
        <v>0.29521166424792422</v>
      </c>
      <c r="I124" s="1108">
        <v>0.33</v>
      </c>
      <c r="J124" s="1109">
        <v>0.55000000000000004</v>
      </c>
      <c r="K124" s="1109">
        <v>0.77</v>
      </c>
      <c r="L124" s="1109">
        <v>0.77</v>
      </c>
      <c r="M124" s="1110">
        <v>0.77</v>
      </c>
      <c r="N124" s="877"/>
      <c r="O124" s="889">
        <v>1.4893066069597376</v>
      </c>
      <c r="P124" s="890">
        <v>0.29521166424792422</v>
      </c>
      <c r="Q124" s="891">
        <v>1.7845182712076619</v>
      </c>
      <c r="R124" s="1439"/>
      <c r="S124" s="889">
        <v>3.19</v>
      </c>
      <c r="T124" s="915">
        <v>0.78759727567327553</v>
      </c>
    </row>
    <row r="125" spans="1:20" s="1442" customFormat="1" ht="15" customHeight="1">
      <c r="A125" s="1440"/>
      <c r="B125" s="1958" t="s">
        <v>719</v>
      </c>
      <c r="C125" s="914" t="s">
        <v>720</v>
      </c>
      <c r="D125" s="1106">
        <v>0</v>
      </c>
      <c r="E125" s="1109">
        <v>0</v>
      </c>
      <c r="F125" s="1109">
        <v>0</v>
      </c>
      <c r="G125" s="1109">
        <v>0</v>
      </c>
      <c r="H125" s="1110">
        <v>0</v>
      </c>
      <c r="I125" s="1108">
        <v>0</v>
      </c>
      <c r="J125" s="1109">
        <v>0</v>
      </c>
      <c r="K125" s="1109">
        <v>0</v>
      </c>
      <c r="L125" s="1109">
        <v>0</v>
      </c>
      <c r="M125" s="1110">
        <v>0</v>
      </c>
      <c r="N125" s="877"/>
      <c r="O125" s="889">
        <v>0</v>
      </c>
      <c r="P125" s="890">
        <v>0</v>
      </c>
      <c r="Q125" s="891">
        <v>0</v>
      </c>
      <c r="R125" s="1439"/>
      <c r="S125" s="889">
        <v>0</v>
      </c>
      <c r="T125" s="915" t="s">
        <v>1020</v>
      </c>
    </row>
    <row r="126" spans="1:20" s="1442" customFormat="1" ht="15" customHeight="1">
      <c r="A126" s="1440"/>
      <c r="B126" s="1959"/>
      <c r="C126" s="1452" t="s">
        <v>721</v>
      </c>
      <c r="D126" s="1106">
        <v>0</v>
      </c>
      <c r="E126" s="1109">
        <v>0</v>
      </c>
      <c r="F126" s="1109">
        <v>0</v>
      </c>
      <c r="G126" s="1109">
        <v>0</v>
      </c>
      <c r="H126" s="1110">
        <v>0</v>
      </c>
      <c r="I126" s="1108">
        <v>0</v>
      </c>
      <c r="J126" s="1109">
        <v>0</v>
      </c>
      <c r="K126" s="1109">
        <v>0</v>
      </c>
      <c r="L126" s="1109">
        <v>0</v>
      </c>
      <c r="M126" s="1110">
        <v>0</v>
      </c>
      <c r="N126" s="877"/>
      <c r="O126" s="889">
        <v>0</v>
      </c>
      <c r="P126" s="890">
        <v>0</v>
      </c>
      <c r="Q126" s="891">
        <v>0</v>
      </c>
      <c r="R126" s="1439"/>
      <c r="S126" s="889">
        <v>0</v>
      </c>
      <c r="T126" s="915" t="s">
        <v>1020</v>
      </c>
    </row>
    <row r="127" spans="1:20" s="1442" customFormat="1" ht="15" customHeight="1">
      <c r="A127" s="1440"/>
      <c r="B127" s="1959"/>
      <c r="C127" s="914" t="s">
        <v>628</v>
      </c>
      <c r="D127" s="1106">
        <v>0</v>
      </c>
      <c r="E127" s="1106">
        <v>0</v>
      </c>
      <c r="F127" s="1106">
        <v>0</v>
      </c>
      <c r="G127" s="1106">
        <v>0</v>
      </c>
      <c r="H127" s="1107">
        <v>0</v>
      </c>
      <c r="I127" s="1108">
        <v>0</v>
      </c>
      <c r="J127" s="1106">
        <v>0</v>
      </c>
      <c r="K127" s="1106">
        <v>0</v>
      </c>
      <c r="L127" s="1106">
        <v>0</v>
      </c>
      <c r="M127" s="1107">
        <v>0</v>
      </c>
      <c r="N127" s="877"/>
      <c r="O127" s="889">
        <v>0</v>
      </c>
      <c r="P127" s="890">
        <v>0</v>
      </c>
      <c r="Q127" s="891">
        <v>0</v>
      </c>
      <c r="R127" s="1439"/>
      <c r="S127" s="889">
        <v>0</v>
      </c>
      <c r="T127" s="915" t="s">
        <v>1020</v>
      </c>
    </row>
    <row r="128" spans="1:20" s="1442" customFormat="1" ht="15" customHeight="1">
      <c r="A128" s="1440"/>
      <c r="B128" s="1959"/>
      <c r="C128" s="914" t="s">
        <v>722</v>
      </c>
      <c r="D128" s="1106">
        <v>0</v>
      </c>
      <c r="E128" s="1106">
        <v>0</v>
      </c>
      <c r="F128" s="1106">
        <v>0</v>
      </c>
      <c r="G128" s="1106">
        <v>0</v>
      </c>
      <c r="H128" s="1107">
        <v>0</v>
      </c>
      <c r="I128" s="1108">
        <v>0.05</v>
      </c>
      <c r="J128" s="1106">
        <v>0.13</v>
      </c>
      <c r="K128" s="1106">
        <v>0.21</v>
      </c>
      <c r="L128" s="1106">
        <v>0.21</v>
      </c>
      <c r="M128" s="1107">
        <v>0.21</v>
      </c>
      <c r="N128" s="877"/>
      <c r="O128" s="889">
        <v>0</v>
      </c>
      <c r="P128" s="890">
        <v>0</v>
      </c>
      <c r="Q128" s="891">
        <v>0</v>
      </c>
      <c r="R128" s="1439"/>
      <c r="S128" s="889">
        <v>0.80999999999999994</v>
      </c>
      <c r="T128" s="915" t="s">
        <v>1020</v>
      </c>
    </row>
    <row r="129" spans="1:20" s="1442" customFormat="1" ht="15" customHeight="1">
      <c r="A129" s="1440"/>
      <c r="B129" s="917" t="s">
        <v>723</v>
      </c>
      <c r="C129" s="1452" t="s">
        <v>717</v>
      </c>
      <c r="D129" s="1119">
        <v>0.4</v>
      </c>
      <c r="E129" s="1119">
        <v>0.5</v>
      </c>
      <c r="F129" s="1119">
        <v>0.60000000000000009</v>
      </c>
      <c r="G129" s="1119">
        <v>0.41756273165842805</v>
      </c>
      <c r="H129" s="1120">
        <v>0.31307144464726483</v>
      </c>
      <c r="I129" s="1121">
        <v>1.1300000000000001</v>
      </c>
      <c r="J129" s="1119">
        <v>1.5499999999999998</v>
      </c>
      <c r="K129" s="1119">
        <v>1.98</v>
      </c>
      <c r="L129" s="1119">
        <v>1.98</v>
      </c>
      <c r="M129" s="1120">
        <v>1.98</v>
      </c>
      <c r="N129" s="877"/>
      <c r="O129" s="889">
        <v>1.9175627316584281</v>
      </c>
      <c r="P129" s="890">
        <v>0.31307144464726483</v>
      </c>
      <c r="Q129" s="891">
        <v>2.2306341763056929</v>
      </c>
      <c r="R129" s="1439"/>
      <c r="S129" s="889">
        <v>8.620000000000001</v>
      </c>
      <c r="T129" s="915">
        <v>2.8643718865081578</v>
      </c>
    </row>
    <row r="130" spans="1:20" s="1442" customFormat="1" ht="15" customHeight="1">
      <c r="A130" s="1440"/>
      <c r="B130" s="1958" t="s">
        <v>724</v>
      </c>
      <c r="C130" s="914" t="s">
        <v>626</v>
      </c>
      <c r="D130" s="1106">
        <v>0</v>
      </c>
      <c r="E130" s="1109">
        <v>0</v>
      </c>
      <c r="F130" s="1109">
        <v>0</v>
      </c>
      <c r="G130" s="1109">
        <v>0</v>
      </c>
      <c r="H130" s="1110">
        <v>0</v>
      </c>
      <c r="I130" s="1108">
        <v>0.02</v>
      </c>
      <c r="J130" s="1109">
        <v>0.02</v>
      </c>
      <c r="K130" s="1109">
        <v>0.02</v>
      </c>
      <c r="L130" s="1109">
        <v>0.02</v>
      </c>
      <c r="M130" s="1110">
        <v>0.02</v>
      </c>
      <c r="N130" s="877"/>
      <c r="O130" s="889">
        <v>0</v>
      </c>
      <c r="P130" s="890">
        <v>0</v>
      </c>
      <c r="Q130" s="891">
        <v>0</v>
      </c>
      <c r="R130" s="1439"/>
      <c r="S130" s="889">
        <v>0.1</v>
      </c>
      <c r="T130" s="915" t="s">
        <v>1020</v>
      </c>
    </row>
    <row r="131" spans="1:20" s="1442" customFormat="1" ht="15" customHeight="1">
      <c r="A131" s="1440"/>
      <c r="B131" s="1959"/>
      <c r="C131" s="914" t="s">
        <v>627</v>
      </c>
      <c r="D131" s="1106">
        <v>0</v>
      </c>
      <c r="E131" s="1109">
        <v>0</v>
      </c>
      <c r="F131" s="1109">
        <v>0</v>
      </c>
      <c r="G131" s="1109">
        <v>0</v>
      </c>
      <c r="H131" s="1110">
        <v>0</v>
      </c>
      <c r="I131" s="1108">
        <v>0</v>
      </c>
      <c r="J131" s="1109">
        <v>0</v>
      </c>
      <c r="K131" s="1109">
        <v>0</v>
      </c>
      <c r="L131" s="1109">
        <v>0</v>
      </c>
      <c r="M131" s="1110">
        <v>0</v>
      </c>
      <c r="N131" s="877"/>
      <c r="O131" s="889">
        <v>0</v>
      </c>
      <c r="P131" s="890">
        <v>0</v>
      </c>
      <c r="Q131" s="891">
        <v>0</v>
      </c>
      <c r="R131" s="1439"/>
      <c r="S131" s="889">
        <v>0</v>
      </c>
      <c r="T131" s="915" t="s">
        <v>1020</v>
      </c>
    </row>
    <row r="132" spans="1:20" s="1442" customFormat="1" ht="15" customHeight="1">
      <c r="A132" s="1440"/>
      <c r="B132" s="1959"/>
      <c r="C132" s="914" t="s">
        <v>628</v>
      </c>
      <c r="D132" s="1106">
        <v>0</v>
      </c>
      <c r="E132" s="1109">
        <v>0</v>
      </c>
      <c r="F132" s="1109">
        <v>0</v>
      </c>
      <c r="G132" s="1109">
        <v>0</v>
      </c>
      <c r="H132" s="1110">
        <v>0</v>
      </c>
      <c r="I132" s="1108">
        <v>0</v>
      </c>
      <c r="J132" s="1109">
        <v>0</v>
      </c>
      <c r="K132" s="1109">
        <v>0</v>
      </c>
      <c r="L132" s="1109">
        <v>0</v>
      </c>
      <c r="M132" s="1110">
        <v>0</v>
      </c>
      <c r="N132" s="877"/>
      <c r="O132" s="889">
        <v>0</v>
      </c>
      <c r="P132" s="890">
        <v>0</v>
      </c>
      <c r="Q132" s="891">
        <v>0</v>
      </c>
      <c r="R132" s="1439"/>
      <c r="S132" s="889">
        <v>0</v>
      </c>
      <c r="T132" s="915" t="s">
        <v>1020</v>
      </c>
    </row>
    <row r="133" spans="1:20" s="1442" customFormat="1" ht="15" customHeight="1">
      <c r="A133" s="1440"/>
      <c r="B133" s="1959"/>
      <c r="C133" s="914" t="s">
        <v>630</v>
      </c>
      <c r="D133" s="1106">
        <v>0</v>
      </c>
      <c r="E133" s="1109">
        <v>0</v>
      </c>
      <c r="F133" s="1109">
        <v>0</v>
      </c>
      <c r="G133" s="1109">
        <v>0</v>
      </c>
      <c r="H133" s="1110">
        <v>0</v>
      </c>
      <c r="I133" s="1108">
        <v>0</v>
      </c>
      <c r="J133" s="1109">
        <v>0</v>
      </c>
      <c r="K133" s="1109">
        <v>0</v>
      </c>
      <c r="L133" s="1109">
        <v>0</v>
      </c>
      <c r="M133" s="1110">
        <v>0</v>
      </c>
      <c r="N133" s="877"/>
      <c r="O133" s="889">
        <v>0</v>
      </c>
      <c r="P133" s="890">
        <v>0</v>
      </c>
      <c r="Q133" s="891">
        <v>0</v>
      </c>
      <c r="R133" s="1439"/>
      <c r="S133" s="889">
        <v>0</v>
      </c>
      <c r="T133" s="915" t="s">
        <v>1020</v>
      </c>
    </row>
    <row r="134" spans="1:20" s="1442" customFormat="1" ht="15" customHeight="1">
      <c r="A134" s="1440"/>
      <c r="B134" s="1958" t="s">
        <v>725</v>
      </c>
      <c r="C134" s="914" t="s">
        <v>720</v>
      </c>
      <c r="D134" s="1106">
        <v>0</v>
      </c>
      <c r="E134" s="1109">
        <v>0</v>
      </c>
      <c r="F134" s="1109">
        <v>0</v>
      </c>
      <c r="G134" s="1109">
        <v>0</v>
      </c>
      <c r="H134" s="1110">
        <v>0</v>
      </c>
      <c r="I134" s="1108">
        <v>0.34</v>
      </c>
      <c r="J134" s="1109">
        <v>0.39</v>
      </c>
      <c r="K134" s="1109">
        <v>0.45</v>
      </c>
      <c r="L134" s="1109">
        <v>0.56999999999999995</v>
      </c>
      <c r="M134" s="1110">
        <v>0.52</v>
      </c>
      <c r="N134" s="877"/>
      <c r="O134" s="889">
        <v>0</v>
      </c>
      <c r="P134" s="890">
        <v>0</v>
      </c>
      <c r="Q134" s="891">
        <v>0</v>
      </c>
      <c r="R134" s="1439"/>
      <c r="S134" s="889">
        <v>2.27</v>
      </c>
      <c r="T134" s="915" t="s">
        <v>1020</v>
      </c>
    </row>
    <row r="135" spans="1:20" s="1442" customFormat="1" ht="15" customHeight="1">
      <c r="A135" s="1440"/>
      <c r="B135" s="1959"/>
      <c r="C135" s="1452" t="s">
        <v>721</v>
      </c>
      <c r="D135" s="1106">
        <v>1.5</v>
      </c>
      <c r="E135" s="1109">
        <v>1.7</v>
      </c>
      <c r="F135" s="1109">
        <v>2.9</v>
      </c>
      <c r="G135" s="1109">
        <v>3.0443358054996672</v>
      </c>
      <c r="H135" s="1110">
        <v>0.98018677132851695</v>
      </c>
      <c r="I135" s="1108">
        <v>0.11</v>
      </c>
      <c r="J135" s="1109">
        <v>0.28999999999999998</v>
      </c>
      <c r="K135" s="1109">
        <v>0.45</v>
      </c>
      <c r="L135" s="1109">
        <v>0.45</v>
      </c>
      <c r="M135" s="1110">
        <v>0.45</v>
      </c>
      <c r="N135" s="877"/>
      <c r="O135" s="889">
        <v>9.1443358054996668</v>
      </c>
      <c r="P135" s="890">
        <v>0.98018677132851695</v>
      </c>
      <c r="Q135" s="891">
        <v>10.124522576828184</v>
      </c>
      <c r="R135" s="1439"/>
      <c r="S135" s="889">
        <v>1.75</v>
      </c>
      <c r="T135" s="915">
        <v>-0.82715234355788847</v>
      </c>
    </row>
    <row r="136" spans="1:20" s="1442" customFormat="1" ht="15" customHeight="1">
      <c r="A136" s="1440"/>
      <c r="B136" s="1959"/>
      <c r="C136" s="914" t="s">
        <v>628</v>
      </c>
      <c r="D136" s="1106">
        <v>0</v>
      </c>
      <c r="E136" s="1109">
        <v>2.2000000000000002</v>
      </c>
      <c r="F136" s="1109">
        <v>0</v>
      </c>
      <c r="G136" s="1109">
        <v>0</v>
      </c>
      <c r="H136" s="1110">
        <v>0</v>
      </c>
      <c r="I136" s="1108">
        <v>0</v>
      </c>
      <c r="J136" s="1109">
        <v>0</v>
      </c>
      <c r="K136" s="1109">
        <v>0</v>
      </c>
      <c r="L136" s="1109">
        <v>0</v>
      </c>
      <c r="M136" s="1110">
        <v>0</v>
      </c>
      <c r="N136" s="877"/>
      <c r="O136" s="889">
        <v>2.2000000000000002</v>
      </c>
      <c r="P136" s="890">
        <v>0</v>
      </c>
      <c r="Q136" s="891">
        <v>2.2000000000000002</v>
      </c>
      <c r="R136" s="1439"/>
      <c r="S136" s="889">
        <v>0</v>
      </c>
      <c r="T136" s="915">
        <v>-1</v>
      </c>
    </row>
    <row r="137" spans="1:20" s="1442" customFormat="1" ht="15" customHeight="1">
      <c r="A137" s="1440"/>
      <c r="B137" s="1959"/>
      <c r="C137" s="914" t="s">
        <v>722</v>
      </c>
      <c r="D137" s="1106">
        <v>0</v>
      </c>
      <c r="E137" s="1109">
        <v>0</v>
      </c>
      <c r="F137" s="1109">
        <v>0</v>
      </c>
      <c r="G137" s="1109">
        <v>0</v>
      </c>
      <c r="H137" s="1110">
        <v>0</v>
      </c>
      <c r="I137" s="1108">
        <v>0.15</v>
      </c>
      <c r="J137" s="1109">
        <v>0.17</v>
      </c>
      <c r="K137" s="1109">
        <v>0.2</v>
      </c>
      <c r="L137" s="1109">
        <v>0.22</v>
      </c>
      <c r="M137" s="1110">
        <v>0.26</v>
      </c>
      <c r="N137" s="877"/>
      <c r="O137" s="889">
        <v>0</v>
      </c>
      <c r="P137" s="890">
        <v>0</v>
      </c>
      <c r="Q137" s="891">
        <v>0</v>
      </c>
      <c r="R137" s="1439"/>
      <c r="S137" s="889">
        <v>1</v>
      </c>
      <c r="T137" s="915" t="s">
        <v>1020</v>
      </c>
    </row>
    <row r="138" spans="1:20" s="1442" customFormat="1" ht="15" customHeight="1" thickBot="1">
      <c r="A138" s="1440"/>
      <c r="B138" s="918" t="s">
        <v>632</v>
      </c>
      <c r="C138" s="1453" t="s">
        <v>717</v>
      </c>
      <c r="D138" s="919">
        <v>1.5</v>
      </c>
      <c r="E138" s="919">
        <v>3.9000000000000004</v>
      </c>
      <c r="F138" s="919">
        <v>2.9</v>
      </c>
      <c r="G138" s="919">
        <v>3.0443358054996672</v>
      </c>
      <c r="H138" s="920">
        <v>0.98018677132851695</v>
      </c>
      <c r="I138" s="921">
        <v>0.62</v>
      </c>
      <c r="J138" s="919">
        <v>0.87</v>
      </c>
      <c r="K138" s="919">
        <v>1.1200000000000001</v>
      </c>
      <c r="L138" s="919">
        <v>1.26</v>
      </c>
      <c r="M138" s="920">
        <v>1.25</v>
      </c>
      <c r="N138" s="877"/>
      <c r="O138" s="897">
        <v>11.344335805499668</v>
      </c>
      <c r="P138" s="898">
        <v>0.98018677132851695</v>
      </c>
      <c r="Q138" s="899">
        <v>12.324522576828185</v>
      </c>
      <c r="R138" s="1439"/>
      <c r="S138" s="897">
        <v>5.12</v>
      </c>
      <c r="T138" s="922">
        <v>-0.58456808626191237</v>
      </c>
    </row>
    <row r="139" spans="1:20" s="1442" customFormat="1" ht="15" customHeight="1">
      <c r="A139" s="1440"/>
      <c r="B139" s="877"/>
      <c r="C139" s="877"/>
      <c r="D139" s="877"/>
      <c r="E139" s="877"/>
      <c r="F139" s="877"/>
      <c r="G139" s="877"/>
      <c r="H139" s="877"/>
      <c r="I139" s="877"/>
      <c r="J139" s="877"/>
      <c r="K139" s="877"/>
      <c r="L139" s="877"/>
      <c r="M139" s="877"/>
      <c r="N139" s="877"/>
      <c r="O139" s="877"/>
      <c r="P139" s="877"/>
      <c r="Q139" s="877"/>
    </row>
    <row r="140" spans="1:20" s="1442" customFormat="1" ht="15" customHeight="1">
      <c r="A140" s="1440"/>
      <c r="B140" s="1462" t="s">
        <v>249</v>
      </c>
      <c r="C140" s="877"/>
      <c r="D140" s="877"/>
      <c r="E140" s="877"/>
      <c r="F140" s="877"/>
      <c r="G140" s="877"/>
      <c r="H140" s="877"/>
      <c r="I140" s="877"/>
      <c r="J140" s="877"/>
      <c r="K140" s="877"/>
      <c r="L140" s="877"/>
      <c r="M140" s="877"/>
      <c r="N140" s="877"/>
      <c r="O140" s="877"/>
      <c r="P140" s="877"/>
      <c r="Q140" s="877"/>
    </row>
    <row r="141" spans="1:20" s="1442" customFormat="1" ht="15" customHeight="1" thickBot="1">
      <c r="A141" s="1440"/>
      <c r="B141" s="877"/>
      <c r="C141" s="877"/>
      <c r="E141" s="877"/>
      <c r="F141" s="877"/>
      <c r="G141" s="877"/>
      <c r="H141" s="877"/>
      <c r="I141" s="877"/>
      <c r="J141" s="877"/>
      <c r="K141" s="877"/>
      <c r="L141" s="877"/>
      <c r="M141" s="877"/>
      <c r="N141" s="877"/>
      <c r="O141" s="877"/>
      <c r="P141" s="877"/>
      <c r="Q141" s="877"/>
    </row>
    <row r="142" spans="1:20" s="1442" customFormat="1" ht="15" customHeight="1">
      <c r="A142" s="1440"/>
      <c r="B142" s="1952" t="s">
        <v>113</v>
      </c>
      <c r="C142" s="1953"/>
      <c r="D142" s="1443" t="s">
        <v>114</v>
      </c>
      <c r="E142" s="1444"/>
      <c r="F142" s="1444"/>
      <c r="G142" s="1444"/>
      <c r="H142" s="1445"/>
      <c r="I142" s="1443" t="s">
        <v>115</v>
      </c>
      <c r="J142" s="1444"/>
      <c r="K142" s="1444"/>
      <c r="L142" s="1444"/>
      <c r="M142" s="1445"/>
      <c r="N142" s="877"/>
      <c r="O142" s="535" t="s">
        <v>116</v>
      </c>
      <c r="P142" s="536"/>
      <c r="Q142" s="537"/>
      <c r="R142" s="1439"/>
      <c r="S142" s="535" t="s">
        <v>117</v>
      </c>
      <c r="T142" s="537"/>
    </row>
    <row r="143" spans="1:20" s="1442" customFormat="1" ht="15" customHeight="1">
      <c r="A143" s="1440"/>
      <c r="B143" s="1954"/>
      <c r="C143" s="1955"/>
      <c r="D143" s="880" t="s">
        <v>32</v>
      </c>
      <c r="E143" s="881" t="s">
        <v>33</v>
      </c>
      <c r="F143" s="881" t="s">
        <v>29</v>
      </c>
      <c r="G143" s="881" t="s">
        <v>34</v>
      </c>
      <c r="H143" s="882" t="s">
        <v>35</v>
      </c>
      <c r="I143" s="880" t="s">
        <v>118</v>
      </c>
      <c r="J143" s="881" t="s">
        <v>136</v>
      </c>
      <c r="K143" s="881" t="s">
        <v>137</v>
      </c>
      <c r="L143" s="881" t="s">
        <v>138</v>
      </c>
      <c r="M143" s="882" t="s">
        <v>624</v>
      </c>
      <c r="N143" s="877"/>
      <c r="O143" s="542" t="s">
        <v>126</v>
      </c>
      <c r="P143" s="543" t="s">
        <v>127</v>
      </c>
      <c r="Q143" s="544" t="s">
        <v>246</v>
      </c>
      <c r="R143" s="1439"/>
      <c r="S143" s="542" t="s">
        <v>127</v>
      </c>
      <c r="T143" s="544" t="s">
        <v>128</v>
      </c>
    </row>
    <row r="144" spans="1:20" s="1442" customFormat="1" ht="15" customHeight="1">
      <c r="A144" s="1440"/>
      <c r="B144" s="1956"/>
      <c r="C144" s="1957"/>
      <c r="D144" s="880" t="s">
        <v>14</v>
      </c>
      <c r="E144" s="881" t="s">
        <v>14</v>
      </c>
      <c r="F144" s="881" t="s">
        <v>14</v>
      </c>
      <c r="G144" s="881" t="s">
        <v>14</v>
      </c>
      <c r="H144" s="882" t="s">
        <v>14</v>
      </c>
      <c r="I144" s="880" t="s">
        <v>14</v>
      </c>
      <c r="J144" s="881" t="s">
        <v>14</v>
      </c>
      <c r="K144" s="881" t="s">
        <v>14</v>
      </c>
      <c r="L144" s="881" t="s">
        <v>14</v>
      </c>
      <c r="M144" s="882" t="s">
        <v>14</v>
      </c>
      <c r="N144" s="877"/>
      <c r="O144" s="884"/>
      <c r="P144" s="885"/>
      <c r="Q144" s="886"/>
      <c r="R144" s="1439"/>
      <c r="S144" s="887"/>
      <c r="T144" s="888"/>
    </row>
    <row r="145" spans="1:20" s="1442" customFormat="1" ht="15" customHeight="1">
      <c r="A145" s="1440"/>
      <c r="B145" s="1454" t="s">
        <v>250</v>
      </c>
      <c r="C145" s="1455" t="s">
        <v>251</v>
      </c>
      <c r="D145" s="1456"/>
      <c r="E145" s="877"/>
      <c r="F145" s="877"/>
      <c r="G145" s="877"/>
      <c r="H145" s="923"/>
      <c r="I145" s="924"/>
      <c r="J145" s="877"/>
      <c r="K145" s="877"/>
      <c r="L145" s="877"/>
      <c r="M145" s="923"/>
      <c r="N145" s="877"/>
      <c r="O145" s="924"/>
      <c r="P145" s="877"/>
      <c r="Q145" s="923"/>
      <c r="S145" s="1456"/>
      <c r="T145" s="1457"/>
    </row>
    <row r="146" spans="1:20" s="1442" customFormat="1" ht="15" customHeight="1">
      <c r="A146" s="1440"/>
      <c r="B146" s="924"/>
      <c r="C146" s="1458" t="s">
        <v>252</v>
      </c>
      <c r="D146" s="925"/>
      <c r="E146" s="926"/>
      <c r="F146" s="926"/>
      <c r="G146" s="926"/>
      <c r="H146" s="927"/>
      <c r="I146" s="925"/>
      <c r="J146" s="926"/>
      <c r="K146" s="926"/>
      <c r="L146" s="926"/>
      <c r="M146" s="927"/>
      <c r="N146" s="877"/>
      <c r="O146" s="889">
        <f t="shared" ref="O146:O153" si="0">SUM(D146:G146)</f>
        <v>0</v>
      </c>
      <c r="P146" s="890">
        <f t="shared" ref="P146:P153" si="1">H146</f>
        <v>0</v>
      </c>
      <c r="Q146" s="891">
        <f t="shared" ref="Q146:Q153" si="2">SUM(D146:H146)</f>
        <v>0</v>
      </c>
      <c r="R146" s="1439"/>
      <c r="S146" s="889">
        <f t="shared" ref="S146:S153" si="3">SUM(I146:M146)</f>
        <v>0</v>
      </c>
      <c r="T146" s="915" t="str">
        <f t="shared" ref="T146:T153" si="4">IF(Q146&lt;&gt;0,(S146-Q146)/Q146,"0")</f>
        <v>0</v>
      </c>
    </row>
    <row r="147" spans="1:20" s="1442" customFormat="1" ht="15" customHeight="1">
      <c r="A147" s="1440"/>
      <c r="B147" s="924"/>
      <c r="C147" s="1458" t="s">
        <v>253</v>
      </c>
      <c r="D147" s="901"/>
      <c r="E147" s="902"/>
      <c r="F147" s="902"/>
      <c r="G147" s="902"/>
      <c r="H147" s="903"/>
      <c r="I147" s="901"/>
      <c r="J147" s="902"/>
      <c r="K147" s="902"/>
      <c r="L147" s="902"/>
      <c r="M147" s="903"/>
      <c r="N147" s="877"/>
      <c r="O147" s="889">
        <f t="shared" si="0"/>
        <v>0</v>
      </c>
      <c r="P147" s="890">
        <f t="shared" si="1"/>
        <v>0</v>
      </c>
      <c r="Q147" s="891">
        <f t="shared" si="2"/>
        <v>0</v>
      </c>
      <c r="R147" s="1439"/>
      <c r="S147" s="889">
        <f t="shared" si="3"/>
        <v>0</v>
      </c>
      <c r="T147" s="915" t="str">
        <f t="shared" si="4"/>
        <v>0</v>
      </c>
    </row>
    <row r="148" spans="1:20" s="1442" customFormat="1" ht="15" customHeight="1">
      <c r="A148" s="1440"/>
      <c r="B148" s="924"/>
      <c r="C148" s="1459"/>
      <c r="D148" s="901"/>
      <c r="E148" s="902"/>
      <c r="F148" s="902"/>
      <c r="G148" s="902"/>
      <c r="H148" s="903"/>
      <c r="I148" s="901"/>
      <c r="J148" s="902"/>
      <c r="K148" s="902"/>
      <c r="L148" s="902"/>
      <c r="M148" s="903"/>
      <c r="N148" s="877"/>
      <c r="O148" s="889">
        <f t="shared" si="0"/>
        <v>0</v>
      </c>
      <c r="P148" s="890">
        <f t="shared" si="1"/>
        <v>0</v>
      </c>
      <c r="Q148" s="891">
        <f t="shared" si="2"/>
        <v>0</v>
      </c>
      <c r="R148" s="1439"/>
      <c r="S148" s="889">
        <f t="shared" si="3"/>
        <v>0</v>
      </c>
      <c r="T148" s="915" t="str">
        <f t="shared" si="4"/>
        <v>0</v>
      </c>
    </row>
    <row r="149" spans="1:20" s="1442" customFormat="1" ht="15" customHeight="1">
      <c r="A149" s="1440"/>
      <c r="B149" s="924"/>
      <c r="C149" s="1455"/>
      <c r="D149" s="1456"/>
      <c r="E149" s="877"/>
      <c r="F149" s="877"/>
      <c r="G149" s="877"/>
      <c r="H149" s="923"/>
      <c r="I149" s="924"/>
      <c r="J149" s="877"/>
      <c r="K149" s="877"/>
      <c r="L149" s="877"/>
      <c r="M149" s="923"/>
      <c r="N149" s="877"/>
      <c r="O149" s="928"/>
      <c r="P149" s="929"/>
      <c r="Q149" s="930"/>
      <c r="R149" s="1460"/>
      <c r="S149" s="928"/>
      <c r="T149" s="931"/>
    </row>
    <row r="150" spans="1:20" s="1442" customFormat="1" ht="15" customHeight="1">
      <c r="A150" s="1440"/>
      <c r="B150" s="924"/>
      <c r="C150" s="1455" t="s">
        <v>254</v>
      </c>
      <c r="D150" s="1456"/>
      <c r="E150" s="877"/>
      <c r="F150" s="877"/>
      <c r="G150" s="877"/>
      <c r="H150" s="923"/>
      <c r="I150" s="924"/>
      <c r="J150" s="877"/>
      <c r="K150" s="877"/>
      <c r="L150" s="877"/>
      <c r="M150" s="923"/>
      <c r="N150" s="877"/>
      <c r="O150" s="928"/>
      <c r="P150" s="929"/>
      <c r="Q150" s="930"/>
      <c r="R150" s="1460"/>
      <c r="S150" s="928"/>
      <c r="T150" s="931"/>
    </row>
    <row r="151" spans="1:20" s="1442" customFormat="1" ht="15" customHeight="1">
      <c r="A151" s="1440"/>
      <c r="B151" s="924"/>
      <c r="C151" s="1458" t="s">
        <v>252</v>
      </c>
      <c r="D151" s="925"/>
      <c r="E151" s="926"/>
      <c r="F151" s="926"/>
      <c r="G151" s="926"/>
      <c r="H151" s="927"/>
      <c r="I151" s="925"/>
      <c r="J151" s="926"/>
      <c r="K151" s="926"/>
      <c r="L151" s="926"/>
      <c r="M151" s="927"/>
      <c r="N151" s="877"/>
      <c r="O151" s="889">
        <f t="shared" si="0"/>
        <v>0</v>
      </c>
      <c r="P151" s="890">
        <f t="shared" si="1"/>
        <v>0</v>
      </c>
      <c r="Q151" s="891">
        <f t="shared" si="2"/>
        <v>0</v>
      </c>
      <c r="R151" s="1439"/>
      <c r="S151" s="889">
        <f t="shared" si="3"/>
        <v>0</v>
      </c>
      <c r="T151" s="915" t="str">
        <f t="shared" si="4"/>
        <v>0</v>
      </c>
    </row>
    <row r="152" spans="1:20" s="1442" customFormat="1" ht="15" customHeight="1">
      <c r="A152" s="1440"/>
      <c r="B152" s="924"/>
      <c r="C152" s="1458" t="s">
        <v>253</v>
      </c>
      <c r="D152" s="901"/>
      <c r="E152" s="902"/>
      <c r="F152" s="902"/>
      <c r="G152" s="902"/>
      <c r="H152" s="903"/>
      <c r="I152" s="901"/>
      <c r="J152" s="902"/>
      <c r="K152" s="902"/>
      <c r="L152" s="902"/>
      <c r="M152" s="903"/>
      <c r="N152" s="877"/>
      <c r="O152" s="889">
        <f t="shared" si="0"/>
        <v>0</v>
      </c>
      <c r="P152" s="890">
        <f t="shared" si="1"/>
        <v>0</v>
      </c>
      <c r="Q152" s="891">
        <f t="shared" si="2"/>
        <v>0</v>
      </c>
      <c r="R152" s="1439"/>
      <c r="S152" s="889">
        <f t="shared" si="3"/>
        <v>0</v>
      </c>
      <c r="T152" s="915" t="str">
        <f t="shared" si="4"/>
        <v>0</v>
      </c>
    </row>
    <row r="153" spans="1:20" s="1442" customFormat="1" ht="15" customHeight="1" thickBot="1">
      <c r="A153" s="1440"/>
      <c r="B153" s="932"/>
      <c r="C153" s="1461"/>
      <c r="D153" s="933"/>
      <c r="E153" s="934"/>
      <c r="F153" s="934"/>
      <c r="G153" s="934"/>
      <c r="H153" s="935"/>
      <c r="I153" s="933"/>
      <c r="J153" s="934"/>
      <c r="K153" s="934"/>
      <c r="L153" s="934"/>
      <c r="M153" s="935"/>
      <c r="N153" s="877"/>
      <c r="O153" s="897">
        <f t="shared" si="0"/>
        <v>0</v>
      </c>
      <c r="P153" s="898">
        <f t="shared" si="1"/>
        <v>0</v>
      </c>
      <c r="Q153" s="899">
        <f t="shared" si="2"/>
        <v>0</v>
      </c>
      <c r="R153" s="1439"/>
      <c r="S153" s="897">
        <f t="shared" si="3"/>
        <v>0</v>
      </c>
      <c r="T153" s="922" t="str">
        <f t="shared" si="4"/>
        <v>0</v>
      </c>
    </row>
    <row r="154" spans="1:20" s="879" customFormat="1" ht="15" customHeight="1">
      <c r="A154" s="876"/>
      <c r="B154" s="877"/>
      <c r="E154" s="877"/>
      <c r="F154" s="877"/>
      <c r="G154" s="877"/>
      <c r="H154" s="877"/>
      <c r="I154" s="877"/>
      <c r="J154" s="877"/>
      <c r="K154" s="877"/>
      <c r="L154" s="877"/>
      <c r="M154" s="877"/>
      <c r="N154" s="877"/>
      <c r="O154" s="877"/>
      <c r="P154" s="877"/>
      <c r="Q154" s="877"/>
    </row>
    <row r="155" spans="1:20" s="879" customFormat="1" ht="15" customHeight="1">
      <c r="A155" s="876"/>
      <c r="B155" s="877"/>
      <c r="C155" s="877"/>
      <c r="E155" s="877"/>
      <c r="F155" s="877"/>
      <c r="G155" s="877"/>
      <c r="H155" s="877"/>
      <c r="I155" s="877"/>
      <c r="J155" s="877"/>
      <c r="K155" s="877"/>
      <c r="L155" s="877"/>
      <c r="M155" s="877"/>
      <c r="N155" s="877"/>
      <c r="O155" s="877"/>
      <c r="P155" s="877"/>
      <c r="Q155" s="877"/>
    </row>
    <row r="156" spans="1:20" s="879" customFormat="1" ht="15" customHeight="1">
      <c r="A156" s="876"/>
      <c r="B156" s="877"/>
      <c r="C156" s="877"/>
      <c r="E156" s="877"/>
      <c r="F156" s="877"/>
      <c r="G156" s="877"/>
      <c r="H156" s="877"/>
      <c r="I156" s="877"/>
      <c r="J156" s="877"/>
      <c r="K156" s="877"/>
      <c r="L156" s="877"/>
      <c r="M156" s="877"/>
      <c r="N156" s="877"/>
      <c r="O156" s="877"/>
      <c r="P156" s="877"/>
      <c r="Q156" s="877"/>
    </row>
    <row r="157" spans="1:20" s="879" customFormat="1" ht="15" customHeight="1">
      <c r="A157" s="876"/>
      <c r="B157" s="877"/>
      <c r="C157" s="877"/>
      <c r="E157" s="877"/>
      <c r="F157" s="877"/>
      <c r="G157" s="877"/>
      <c r="H157" s="877"/>
      <c r="I157" s="877"/>
      <c r="J157" s="877"/>
      <c r="K157" s="877"/>
      <c r="L157" s="877"/>
      <c r="M157" s="877"/>
      <c r="N157" s="877"/>
      <c r="O157" s="877"/>
      <c r="P157" s="877"/>
      <c r="Q157" s="877"/>
    </row>
    <row r="158" spans="1:20" s="879" customFormat="1" ht="15" customHeight="1">
      <c r="A158" s="876"/>
      <c r="B158" s="877"/>
      <c r="C158" s="877"/>
      <c r="E158" s="877"/>
      <c r="F158" s="877"/>
      <c r="G158" s="877"/>
      <c r="H158" s="877"/>
      <c r="I158" s="877"/>
      <c r="J158" s="877"/>
      <c r="K158" s="877"/>
      <c r="L158" s="877"/>
      <c r="M158" s="877"/>
      <c r="N158" s="877"/>
      <c r="O158" s="877"/>
      <c r="P158" s="877"/>
      <c r="Q158" s="877"/>
    </row>
    <row r="159" spans="1:20" s="879" customFormat="1" ht="15" customHeight="1">
      <c r="A159" s="876"/>
      <c r="B159" s="877"/>
      <c r="C159" s="877"/>
      <c r="E159" s="877"/>
      <c r="F159" s="877"/>
      <c r="G159" s="877"/>
      <c r="H159" s="877"/>
      <c r="I159" s="877"/>
      <c r="J159" s="877"/>
      <c r="K159" s="877"/>
      <c r="L159" s="877"/>
      <c r="M159" s="877"/>
      <c r="N159" s="877"/>
      <c r="O159" s="877"/>
      <c r="P159" s="877"/>
      <c r="Q159" s="877"/>
    </row>
    <row r="160" spans="1:20" s="879" customFormat="1" ht="15" customHeight="1">
      <c r="A160" s="876"/>
      <c r="B160" s="877"/>
      <c r="C160" s="877"/>
      <c r="E160" s="877"/>
      <c r="F160" s="877"/>
      <c r="G160" s="877"/>
      <c r="H160" s="877"/>
      <c r="I160" s="877"/>
      <c r="J160" s="877"/>
      <c r="K160" s="877"/>
      <c r="L160" s="877"/>
      <c r="M160" s="877"/>
      <c r="N160" s="877"/>
      <c r="O160" s="877"/>
      <c r="P160" s="877"/>
      <c r="Q160" s="877"/>
    </row>
    <row r="161" spans="1:17" s="879" customFormat="1" ht="15" customHeight="1">
      <c r="A161" s="876"/>
      <c r="B161" s="877"/>
      <c r="C161" s="877"/>
      <c r="E161" s="877"/>
      <c r="F161" s="877"/>
      <c r="G161" s="877"/>
      <c r="H161" s="877"/>
      <c r="I161" s="877"/>
      <c r="J161" s="877"/>
      <c r="K161" s="877"/>
      <c r="L161" s="877"/>
      <c r="M161" s="877"/>
      <c r="N161" s="877"/>
      <c r="O161" s="877"/>
      <c r="P161" s="877"/>
      <c r="Q161" s="877"/>
    </row>
    <row r="162" spans="1:17" s="879" customFormat="1" ht="15" customHeight="1">
      <c r="A162" s="876"/>
      <c r="B162" s="877"/>
      <c r="C162" s="877"/>
      <c r="E162" s="877"/>
      <c r="F162" s="877"/>
      <c r="G162" s="877"/>
      <c r="H162" s="877"/>
      <c r="I162" s="877"/>
      <c r="J162" s="877"/>
      <c r="K162" s="877"/>
      <c r="L162" s="877"/>
      <c r="M162" s="877"/>
      <c r="N162" s="877"/>
      <c r="O162" s="877"/>
      <c r="P162" s="877"/>
      <c r="Q162" s="877"/>
    </row>
    <row r="163" spans="1:17" s="879" customFormat="1" ht="15" customHeight="1">
      <c r="A163" s="876"/>
      <c r="B163" s="877"/>
      <c r="C163" s="877"/>
      <c r="E163" s="877"/>
      <c r="F163" s="877"/>
      <c r="G163" s="877"/>
      <c r="H163" s="877"/>
      <c r="I163" s="877"/>
      <c r="J163" s="877"/>
      <c r="K163" s="877"/>
      <c r="L163" s="877"/>
      <c r="M163" s="877"/>
      <c r="N163" s="877"/>
      <c r="O163" s="877"/>
      <c r="P163" s="877"/>
      <c r="Q163" s="877"/>
    </row>
    <row r="164" spans="1:17" s="879" customFormat="1" ht="15" customHeight="1">
      <c r="A164" s="876"/>
      <c r="B164" s="877"/>
      <c r="C164" s="877"/>
      <c r="E164" s="877"/>
      <c r="F164" s="877"/>
      <c r="G164" s="877"/>
      <c r="H164" s="877"/>
      <c r="I164" s="877"/>
      <c r="J164" s="877"/>
      <c r="K164" s="877"/>
      <c r="L164" s="877"/>
      <c r="M164" s="877"/>
      <c r="N164" s="877"/>
      <c r="O164" s="877"/>
      <c r="P164" s="877"/>
      <c r="Q164" s="877"/>
    </row>
    <row r="165" spans="1:17" s="879" customFormat="1" ht="15" customHeight="1">
      <c r="A165" s="876"/>
      <c r="B165" s="877"/>
      <c r="C165" s="877"/>
      <c r="E165" s="877"/>
      <c r="F165" s="877"/>
      <c r="G165" s="877"/>
      <c r="H165" s="877"/>
      <c r="I165" s="877"/>
      <c r="J165" s="877"/>
      <c r="K165" s="877"/>
      <c r="L165" s="877"/>
      <c r="M165" s="877"/>
      <c r="N165" s="877"/>
      <c r="O165" s="877"/>
      <c r="P165" s="877"/>
      <c r="Q165" s="877"/>
    </row>
    <row r="166" spans="1:17" s="879" customFormat="1" ht="15" customHeight="1">
      <c r="A166" s="876"/>
      <c r="B166" s="877"/>
      <c r="C166" s="877"/>
      <c r="E166" s="877"/>
      <c r="F166" s="877"/>
      <c r="G166" s="877"/>
      <c r="H166" s="877"/>
      <c r="I166" s="877"/>
      <c r="J166" s="877"/>
      <c r="K166" s="877"/>
      <c r="L166" s="877"/>
      <c r="M166" s="877"/>
      <c r="N166" s="877"/>
      <c r="O166" s="877"/>
      <c r="P166" s="877"/>
      <c r="Q166" s="877"/>
    </row>
    <row r="167" spans="1:17" s="879" customFormat="1" ht="15" customHeight="1">
      <c r="A167" s="876"/>
      <c r="B167" s="877"/>
      <c r="C167" s="877"/>
      <c r="E167" s="877"/>
      <c r="F167" s="877"/>
      <c r="G167" s="877"/>
      <c r="H167" s="877"/>
      <c r="I167" s="877"/>
      <c r="J167" s="877"/>
      <c r="K167" s="877"/>
      <c r="L167" s="877"/>
      <c r="M167" s="877"/>
      <c r="N167" s="877"/>
      <c r="O167" s="877"/>
      <c r="P167" s="877"/>
      <c r="Q167" s="877"/>
    </row>
    <row r="168" spans="1:17" s="879" customFormat="1" ht="15" customHeight="1">
      <c r="A168" s="876"/>
      <c r="B168" s="877"/>
      <c r="C168" s="877"/>
      <c r="E168" s="877"/>
      <c r="F168" s="877"/>
      <c r="G168" s="877"/>
      <c r="H168" s="877"/>
      <c r="I168" s="877"/>
      <c r="J168" s="877"/>
      <c r="K168" s="877"/>
      <c r="L168" s="877"/>
      <c r="M168" s="877"/>
      <c r="N168" s="877"/>
      <c r="O168" s="877"/>
      <c r="P168" s="877"/>
      <c r="Q168" s="877"/>
    </row>
    <row r="169" spans="1:17" s="879" customFormat="1" ht="15" customHeight="1">
      <c r="A169" s="876"/>
      <c r="B169" s="877"/>
      <c r="C169" s="877"/>
      <c r="E169" s="877"/>
      <c r="F169" s="877"/>
      <c r="G169" s="877"/>
      <c r="H169" s="877"/>
      <c r="I169" s="877"/>
      <c r="J169" s="877"/>
      <c r="K169" s="877"/>
      <c r="L169" s="877"/>
      <c r="M169" s="877"/>
      <c r="N169" s="877"/>
      <c r="O169" s="877"/>
      <c r="P169" s="877"/>
      <c r="Q169" s="877"/>
    </row>
    <row r="170" spans="1:17" s="879" customFormat="1" ht="15" customHeight="1">
      <c r="A170" s="876"/>
      <c r="B170" s="877"/>
      <c r="C170" s="877"/>
      <c r="E170" s="877"/>
      <c r="F170" s="877"/>
      <c r="G170" s="877"/>
      <c r="H170" s="877"/>
      <c r="I170" s="877"/>
      <c r="J170" s="877"/>
      <c r="K170" s="877"/>
      <c r="L170" s="877"/>
      <c r="M170" s="877"/>
      <c r="N170" s="877"/>
      <c r="O170" s="877"/>
      <c r="P170" s="877"/>
      <c r="Q170" s="877"/>
    </row>
    <row r="171" spans="1:17" s="879" customFormat="1" ht="15" customHeight="1">
      <c r="A171" s="876"/>
      <c r="B171" s="877"/>
      <c r="C171" s="877"/>
      <c r="E171" s="877"/>
      <c r="F171" s="877"/>
      <c r="G171" s="877"/>
      <c r="H171" s="877"/>
      <c r="I171" s="877"/>
      <c r="J171" s="877"/>
      <c r="K171" s="877"/>
      <c r="L171" s="877"/>
      <c r="M171" s="877"/>
      <c r="N171" s="877"/>
      <c r="O171" s="877"/>
      <c r="P171" s="877"/>
      <c r="Q171" s="877"/>
    </row>
    <row r="172" spans="1:17" s="879" customFormat="1" ht="15" customHeight="1">
      <c r="A172" s="876"/>
      <c r="B172" s="877"/>
      <c r="C172" s="877"/>
      <c r="E172" s="877"/>
      <c r="F172" s="877"/>
      <c r="G172" s="877"/>
      <c r="H172" s="877"/>
      <c r="I172" s="877"/>
      <c r="J172" s="877"/>
      <c r="K172" s="877"/>
      <c r="L172" s="877"/>
      <c r="M172" s="877"/>
      <c r="N172" s="877"/>
      <c r="O172" s="877"/>
      <c r="P172" s="877"/>
      <c r="Q172" s="877"/>
    </row>
    <row r="173" spans="1:17" s="879" customFormat="1" ht="15" customHeight="1">
      <c r="A173" s="876"/>
      <c r="B173" s="877"/>
      <c r="C173" s="877"/>
      <c r="E173" s="877"/>
      <c r="F173" s="877"/>
      <c r="G173" s="877"/>
      <c r="H173" s="877"/>
      <c r="I173" s="877"/>
      <c r="J173" s="877"/>
      <c r="K173" s="877"/>
      <c r="L173" s="877"/>
      <c r="M173" s="877"/>
      <c r="N173" s="877"/>
      <c r="O173" s="877"/>
      <c r="P173" s="877"/>
      <c r="Q173" s="877"/>
    </row>
    <row r="174" spans="1:17" s="879" customFormat="1" ht="15" customHeight="1">
      <c r="A174" s="876"/>
      <c r="B174" s="877"/>
      <c r="C174" s="877"/>
      <c r="E174" s="877"/>
      <c r="F174" s="877"/>
      <c r="G174" s="877"/>
      <c r="H174" s="877"/>
      <c r="I174" s="877"/>
      <c r="J174" s="877"/>
      <c r="K174" s="877"/>
      <c r="L174" s="877"/>
      <c r="M174" s="877"/>
      <c r="N174" s="877"/>
      <c r="O174" s="877"/>
      <c r="P174" s="877"/>
      <c r="Q174" s="877"/>
    </row>
    <row r="175" spans="1:17" s="879" customFormat="1" ht="15" customHeight="1">
      <c r="A175" s="876"/>
      <c r="B175" s="877"/>
      <c r="C175" s="877"/>
      <c r="E175" s="877"/>
      <c r="F175" s="877"/>
      <c r="G175" s="877"/>
      <c r="H175" s="877"/>
      <c r="I175" s="877"/>
      <c r="J175" s="877"/>
      <c r="K175" s="877"/>
      <c r="L175" s="877"/>
      <c r="M175" s="877"/>
      <c r="N175" s="877"/>
      <c r="O175" s="877"/>
      <c r="P175" s="877"/>
      <c r="Q175" s="877"/>
    </row>
    <row r="176" spans="1:17" s="879" customFormat="1" ht="15" customHeight="1">
      <c r="A176" s="876"/>
      <c r="B176" s="877"/>
      <c r="C176" s="877"/>
      <c r="E176" s="877"/>
      <c r="F176" s="877"/>
      <c r="G176" s="877"/>
      <c r="H176" s="877"/>
      <c r="I176" s="877"/>
      <c r="J176" s="877"/>
      <c r="K176" s="877"/>
      <c r="L176" s="877"/>
      <c r="M176" s="877"/>
      <c r="N176" s="877"/>
      <c r="O176" s="877"/>
      <c r="P176" s="877"/>
      <c r="Q176" s="877"/>
    </row>
    <row r="177" spans="1:23" s="879" customFormat="1" ht="15" customHeight="1">
      <c r="A177" s="876"/>
      <c r="B177" s="877"/>
      <c r="C177" s="877"/>
      <c r="E177" s="877"/>
      <c r="F177" s="877"/>
      <c r="G177" s="877"/>
      <c r="H177" s="877"/>
      <c r="I177" s="877"/>
      <c r="J177" s="877"/>
      <c r="K177" s="877"/>
      <c r="L177" s="877"/>
      <c r="M177" s="877"/>
      <c r="N177" s="877"/>
      <c r="O177" s="877"/>
      <c r="P177" s="877"/>
      <c r="Q177" s="877"/>
    </row>
    <row r="178" spans="1:23" s="879" customFormat="1" ht="15" customHeight="1">
      <c r="A178" s="876"/>
      <c r="B178" s="877"/>
      <c r="C178" s="877"/>
      <c r="E178" s="877"/>
      <c r="F178" s="877"/>
      <c r="G178" s="877"/>
      <c r="H178" s="877"/>
      <c r="I178" s="877"/>
      <c r="J178" s="877"/>
      <c r="K178" s="877"/>
      <c r="L178" s="877"/>
      <c r="M178" s="877"/>
      <c r="N178" s="877"/>
      <c r="O178" s="877"/>
      <c r="P178" s="877"/>
      <c r="Q178" s="877"/>
    </row>
    <row r="179" spans="1:23" s="879" customFormat="1" ht="15" customHeight="1">
      <c r="A179" s="876"/>
      <c r="B179" s="877"/>
      <c r="C179" s="877"/>
      <c r="E179" s="877"/>
      <c r="F179" s="877"/>
      <c r="G179" s="877"/>
      <c r="H179" s="877"/>
      <c r="I179" s="877"/>
      <c r="J179" s="877"/>
      <c r="K179" s="877"/>
      <c r="L179" s="877"/>
      <c r="M179" s="877"/>
      <c r="N179" s="877"/>
      <c r="O179" s="877"/>
      <c r="P179" s="877"/>
      <c r="Q179" s="877"/>
    </row>
    <row r="180" spans="1:23" s="879" customFormat="1" ht="15" customHeight="1">
      <c r="A180" s="876"/>
      <c r="B180" s="877"/>
      <c r="C180" s="877"/>
      <c r="E180" s="877"/>
      <c r="F180" s="877"/>
      <c r="G180" s="877"/>
      <c r="H180" s="877"/>
      <c r="I180" s="877"/>
      <c r="J180" s="877"/>
      <c r="K180" s="877"/>
      <c r="L180" s="877"/>
      <c r="M180" s="877"/>
      <c r="N180" s="877"/>
      <c r="O180" s="877"/>
      <c r="P180" s="877"/>
      <c r="Q180" s="877"/>
    </row>
    <row r="181" spans="1:23" s="879" customFormat="1" ht="15" customHeight="1">
      <c r="A181" s="876"/>
      <c r="B181" s="877"/>
      <c r="C181" s="877"/>
      <c r="E181" s="877"/>
      <c r="F181" s="877"/>
      <c r="G181" s="877"/>
      <c r="H181" s="877"/>
      <c r="I181" s="877"/>
      <c r="J181" s="877"/>
      <c r="K181" s="877"/>
      <c r="L181" s="877"/>
      <c r="M181" s="877"/>
      <c r="N181" s="877"/>
      <c r="O181" s="877"/>
      <c r="P181" s="877"/>
      <c r="Q181" s="877"/>
    </row>
    <row r="182" spans="1:23" s="879" customFormat="1" ht="15" customHeight="1">
      <c r="A182" s="876"/>
      <c r="B182" s="877"/>
      <c r="C182" s="877"/>
      <c r="E182" s="877"/>
      <c r="F182" s="877"/>
      <c r="G182" s="877"/>
      <c r="H182" s="877"/>
      <c r="I182" s="877"/>
      <c r="J182" s="877"/>
      <c r="K182" s="877"/>
      <c r="L182" s="877"/>
      <c r="M182" s="877"/>
      <c r="N182" s="877"/>
      <c r="O182" s="877"/>
      <c r="P182" s="877"/>
      <c r="Q182" s="877"/>
    </row>
    <row r="183" spans="1:23" s="879" customFormat="1" ht="15" customHeight="1">
      <c r="A183" s="876"/>
      <c r="B183" s="877"/>
      <c r="C183" s="877"/>
      <c r="E183" s="877"/>
      <c r="F183" s="877"/>
      <c r="G183" s="877"/>
      <c r="H183" s="877"/>
      <c r="I183" s="877"/>
      <c r="J183" s="877"/>
      <c r="K183" s="877"/>
      <c r="L183" s="877"/>
      <c r="M183" s="877"/>
      <c r="N183" s="877"/>
      <c r="O183" s="877"/>
      <c r="P183" s="877"/>
      <c r="Q183" s="877"/>
    </row>
    <row r="184" spans="1:23" ht="15" customHeight="1">
      <c r="B184" s="937"/>
      <c r="C184" s="937"/>
      <c r="E184" s="937"/>
      <c r="F184" s="937"/>
      <c r="G184" s="937"/>
      <c r="H184" s="937"/>
      <c r="I184" s="937"/>
      <c r="J184" s="937"/>
      <c r="K184" s="937"/>
      <c r="L184" s="937"/>
      <c r="M184" s="937"/>
      <c r="N184" s="937"/>
      <c r="O184" s="937"/>
      <c r="P184" s="937"/>
      <c r="Q184" s="937"/>
      <c r="R184" s="938"/>
      <c r="S184" s="938"/>
      <c r="T184" s="938"/>
      <c r="U184" s="938"/>
      <c r="V184" s="938"/>
      <c r="W184" s="938"/>
    </row>
    <row r="185" spans="1:23" ht="15" customHeight="1">
      <c r="B185" s="937"/>
      <c r="C185" s="937"/>
      <c r="E185" s="937"/>
      <c r="F185" s="937"/>
      <c r="G185" s="937"/>
      <c r="H185" s="937"/>
      <c r="I185" s="937"/>
      <c r="J185" s="937"/>
      <c r="K185" s="937"/>
      <c r="L185" s="937"/>
      <c r="M185" s="937"/>
    </row>
    <row r="186" spans="1:23">
      <c r="B186" s="937"/>
      <c r="C186" s="937"/>
      <c r="E186" s="937"/>
      <c r="F186" s="937"/>
      <c r="G186" s="937"/>
      <c r="H186" s="937"/>
      <c r="I186" s="937"/>
      <c r="J186" s="937"/>
      <c r="K186" s="937"/>
      <c r="L186" s="937"/>
      <c r="M186" s="937"/>
    </row>
    <row r="187" spans="1:23">
      <c r="B187" s="937"/>
      <c r="C187" s="937"/>
      <c r="E187" s="937"/>
      <c r="F187" s="937"/>
      <c r="G187" s="937"/>
      <c r="H187" s="937"/>
      <c r="I187" s="937"/>
      <c r="J187" s="937"/>
      <c r="K187" s="937"/>
      <c r="L187" s="937"/>
      <c r="M187" s="937"/>
    </row>
  </sheetData>
  <mergeCells count="29">
    <mergeCell ref="B7:C9"/>
    <mergeCell ref="B40:C42"/>
    <mergeCell ref="B106:C108"/>
    <mergeCell ref="B73:C75"/>
    <mergeCell ref="B142:C144"/>
    <mergeCell ref="B121:B124"/>
    <mergeCell ref="B125:B128"/>
    <mergeCell ref="B130:B133"/>
    <mergeCell ref="B134:B137"/>
    <mergeCell ref="B89:B94"/>
    <mergeCell ref="B95:B100"/>
    <mergeCell ref="B109:B114"/>
    <mergeCell ref="B115:B120"/>
    <mergeCell ref="B76:B77"/>
    <mergeCell ref="B78:B79"/>
    <mergeCell ref="B80:B82"/>
    <mergeCell ref="B83:B88"/>
    <mergeCell ref="B47:B49"/>
    <mergeCell ref="B50:B55"/>
    <mergeCell ref="B56:B61"/>
    <mergeCell ref="B62:B67"/>
    <mergeCell ref="B23:B28"/>
    <mergeCell ref="B29:B34"/>
    <mergeCell ref="B43:B44"/>
    <mergeCell ref="B45:B46"/>
    <mergeCell ref="B10:B11"/>
    <mergeCell ref="B12:B13"/>
    <mergeCell ref="B14:B16"/>
    <mergeCell ref="B17:B22"/>
  </mergeCells>
  <phoneticPr fontId="0"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 right="0.7" top="0.75" bottom="0.75" header="0.3" footer="0.3"/>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C1DFFF"/>
    <pageSetUpPr fitToPage="1"/>
  </sheetPr>
  <dimension ref="A1:X137"/>
  <sheetViews>
    <sheetView view="pageBreakPreview" topLeftCell="A106" zoomScale="85" zoomScaleNormal="70" zoomScaleSheetLayoutView="85" zoomScalePageLayoutView="70" workbookViewId="0"/>
  </sheetViews>
  <sheetFormatPr defaultColWidth="10.28515625" defaultRowHeight="12.75"/>
  <cols>
    <col min="1" max="1" width="3.28515625" style="950" customWidth="1"/>
    <col min="2" max="2" width="30.85546875" style="950" customWidth="1"/>
    <col min="3" max="3" width="14.42578125" style="950" customWidth="1"/>
    <col min="4" max="25" width="15" style="950" customWidth="1"/>
    <col min="26" max="16384" width="10.28515625" style="950"/>
  </cols>
  <sheetData>
    <row r="1" spans="1:13" s="944" customFormat="1" ht="26.25">
      <c r="A1" s="940" t="s">
        <v>167</v>
      </c>
      <c r="B1" s="941"/>
      <c r="C1" s="942"/>
      <c r="D1" s="942"/>
      <c r="E1" s="942"/>
      <c r="F1" s="942"/>
      <c r="G1" s="943"/>
    </row>
    <row r="2" spans="1:13" s="944" customFormat="1" ht="18">
      <c r="A2" s="941" t="s">
        <v>168</v>
      </c>
      <c r="B2" s="945"/>
    </row>
    <row r="3" spans="1:13" s="948" customFormat="1" ht="27" thickBot="1">
      <c r="A3" s="946" t="s">
        <v>790</v>
      </c>
      <c r="B3" s="947"/>
      <c r="D3" s="949"/>
    </row>
    <row r="5" spans="1:13" s="982" customFormat="1" ht="15.75" customHeight="1">
      <c r="B5" s="1479" t="s">
        <v>791</v>
      </c>
    </row>
    <row r="6" spans="1:13" s="982" customFormat="1" ht="15.75" customHeight="1" thickBot="1"/>
    <row r="7" spans="1:13" s="982" customFormat="1" ht="15.75" customHeight="1">
      <c r="B7" s="1987"/>
      <c r="C7" s="1988"/>
      <c r="D7" s="951" t="s">
        <v>116</v>
      </c>
      <c r="E7" s="952"/>
      <c r="F7" s="952"/>
      <c r="G7" s="952"/>
      <c r="H7" s="953"/>
      <c r="I7" s="951" t="s">
        <v>117</v>
      </c>
      <c r="J7" s="954"/>
      <c r="K7" s="954"/>
      <c r="L7" s="954"/>
      <c r="M7" s="953"/>
    </row>
    <row r="8" spans="1:13" s="982" customFormat="1" ht="15.75" customHeight="1">
      <c r="B8" s="1989"/>
      <c r="C8" s="1990"/>
      <c r="D8" s="955" t="s">
        <v>32</v>
      </c>
      <c r="E8" s="956" t="s">
        <v>33</v>
      </c>
      <c r="F8" s="956" t="s">
        <v>29</v>
      </c>
      <c r="G8" s="956" t="s">
        <v>34</v>
      </c>
      <c r="H8" s="957" t="s">
        <v>35</v>
      </c>
      <c r="I8" s="955" t="s">
        <v>118</v>
      </c>
      <c r="J8" s="956" t="s">
        <v>136</v>
      </c>
      <c r="K8" s="956" t="s">
        <v>137</v>
      </c>
      <c r="L8" s="956" t="s">
        <v>138</v>
      </c>
      <c r="M8" s="957" t="s">
        <v>139</v>
      </c>
    </row>
    <row r="9" spans="1:13" s="982" customFormat="1" ht="15.75" customHeight="1">
      <c r="B9" s="1480" t="s">
        <v>123</v>
      </c>
      <c r="C9" s="1481"/>
      <c r="D9" s="958"/>
      <c r="E9" s="959"/>
      <c r="F9" s="959"/>
      <c r="G9" s="959"/>
      <c r="H9" s="960"/>
      <c r="I9" s="958"/>
      <c r="J9" s="959"/>
      <c r="K9" s="959"/>
      <c r="L9" s="959"/>
      <c r="M9" s="960"/>
    </row>
    <row r="10" spans="1:13" s="982" customFormat="1" ht="15.75" customHeight="1">
      <c r="B10" s="1482" t="s">
        <v>792</v>
      </c>
      <c r="C10" s="1481" t="s">
        <v>14</v>
      </c>
      <c r="D10" s="961">
        <f t="shared" ref="D10:M10" si="0">D37+D46</f>
        <v>0</v>
      </c>
      <c r="E10" s="962">
        <f t="shared" si="0"/>
        <v>0</v>
      </c>
      <c r="F10" s="962">
        <f t="shared" si="0"/>
        <v>0</v>
      </c>
      <c r="G10" s="962">
        <f t="shared" si="0"/>
        <v>0</v>
      </c>
      <c r="H10" s="960">
        <f t="shared" si="0"/>
        <v>0</v>
      </c>
      <c r="I10" s="961">
        <f t="shared" si="0"/>
        <v>0</v>
      </c>
      <c r="J10" s="963">
        <f t="shared" si="0"/>
        <v>0</v>
      </c>
      <c r="K10" s="963">
        <f t="shared" si="0"/>
        <v>0</v>
      </c>
      <c r="L10" s="963">
        <f t="shared" si="0"/>
        <v>0</v>
      </c>
      <c r="M10" s="964">
        <f t="shared" si="0"/>
        <v>0</v>
      </c>
    </row>
    <row r="11" spans="1:13" s="982" customFormat="1" ht="15.75" customHeight="1">
      <c r="B11" s="1482" t="s">
        <v>793</v>
      </c>
      <c r="C11" s="1481" t="s">
        <v>14</v>
      </c>
      <c r="D11" s="965"/>
      <c r="E11" s="965"/>
      <c r="F11" s="965"/>
      <c r="G11" s="965"/>
      <c r="H11" s="966"/>
      <c r="I11" s="967"/>
      <c r="J11" s="968"/>
      <c r="K11" s="968"/>
      <c r="L11" s="968"/>
      <c r="M11" s="969"/>
    </row>
    <row r="12" spans="1:13" s="982" customFormat="1" ht="15.75" customHeight="1">
      <c r="B12" s="1482" t="s">
        <v>794</v>
      </c>
      <c r="C12" s="1481" t="s">
        <v>14</v>
      </c>
      <c r="D12" s="965"/>
      <c r="E12" s="965"/>
      <c r="F12" s="965"/>
      <c r="G12" s="965"/>
      <c r="H12" s="966"/>
      <c r="I12" s="967"/>
      <c r="J12" s="968"/>
      <c r="K12" s="968"/>
      <c r="L12" s="968"/>
      <c r="M12" s="969"/>
    </row>
    <row r="13" spans="1:13" s="982" customFormat="1" ht="15.75" customHeight="1">
      <c r="B13" s="1480" t="s">
        <v>795</v>
      </c>
      <c r="C13" s="1481"/>
      <c r="D13" s="958"/>
      <c r="E13" s="959"/>
      <c r="F13" s="959"/>
      <c r="G13" s="959"/>
      <c r="H13" s="960"/>
      <c r="I13" s="958"/>
      <c r="J13" s="959"/>
      <c r="K13" s="959"/>
      <c r="L13" s="959"/>
      <c r="M13" s="960"/>
    </row>
    <row r="14" spans="1:13" s="982" customFormat="1" ht="15.75" customHeight="1">
      <c r="B14" s="1482" t="s">
        <v>796</v>
      </c>
      <c r="C14" s="1481" t="s">
        <v>14</v>
      </c>
      <c r="D14" s="965"/>
      <c r="E14" s="965"/>
      <c r="F14" s="965"/>
      <c r="G14" s="965"/>
      <c r="H14" s="966"/>
      <c r="I14" s="967"/>
      <c r="J14" s="968"/>
      <c r="K14" s="968"/>
      <c r="L14" s="968"/>
      <c r="M14" s="969"/>
    </row>
    <row r="15" spans="1:13" s="982" customFormat="1" ht="15.75" customHeight="1">
      <c r="B15" s="1482" t="s">
        <v>797</v>
      </c>
      <c r="C15" s="1481" t="s">
        <v>14</v>
      </c>
      <c r="D15" s="965"/>
      <c r="E15" s="965"/>
      <c r="F15" s="965"/>
      <c r="G15" s="965"/>
      <c r="H15" s="966"/>
      <c r="I15" s="967"/>
      <c r="J15" s="968"/>
      <c r="K15" s="968"/>
      <c r="L15" s="968"/>
      <c r="M15" s="969"/>
    </row>
    <row r="16" spans="1:13" s="982" customFormat="1" ht="15.75" customHeight="1">
      <c r="B16" s="1482" t="s">
        <v>798</v>
      </c>
      <c r="C16" s="1481" t="s">
        <v>14</v>
      </c>
      <c r="D16" s="965"/>
      <c r="E16" s="965"/>
      <c r="F16" s="965"/>
      <c r="G16" s="965"/>
      <c r="H16" s="966"/>
      <c r="I16" s="967"/>
      <c r="J16" s="968"/>
      <c r="K16" s="968"/>
      <c r="L16" s="968"/>
      <c r="M16" s="969"/>
    </row>
    <row r="17" spans="2:13" s="982" customFormat="1" ht="15.75" customHeight="1">
      <c r="B17" s="1480" t="s">
        <v>652</v>
      </c>
      <c r="C17" s="1481"/>
      <c r="D17" s="958"/>
      <c r="E17" s="959"/>
      <c r="F17" s="959"/>
      <c r="G17" s="959"/>
      <c r="H17" s="960"/>
      <c r="I17" s="958"/>
      <c r="J17" s="959"/>
      <c r="K17" s="959"/>
      <c r="L17" s="959"/>
      <c r="M17" s="960"/>
    </row>
    <row r="18" spans="2:13" s="982" customFormat="1" ht="15.75" customHeight="1">
      <c r="B18" s="1482" t="s">
        <v>799</v>
      </c>
      <c r="C18" s="1481" t="s">
        <v>14</v>
      </c>
      <c r="D18" s="965"/>
      <c r="E18" s="965"/>
      <c r="F18" s="965"/>
      <c r="G18" s="965"/>
      <c r="H18" s="966"/>
      <c r="I18" s="967"/>
      <c r="J18" s="968"/>
      <c r="K18" s="968"/>
      <c r="L18" s="968"/>
      <c r="M18" s="969"/>
    </row>
    <row r="19" spans="2:13" s="982" customFormat="1" ht="15.75" customHeight="1">
      <c r="B19" s="1482" t="s">
        <v>800</v>
      </c>
      <c r="C19" s="1481" t="s">
        <v>14</v>
      </c>
      <c r="D19" s="965"/>
      <c r="E19" s="965"/>
      <c r="F19" s="965"/>
      <c r="G19" s="965"/>
      <c r="H19" s="966"/>
      <c r="I19" s="967"/>
      <c r="J19" s="968"/>
      <c r="K19" s="968"/>
      <c r="L19" s="968"/>
      <c r="M19" s="969"/>
    </row>
    <row r="20" spans="2:13" s="982" customFormat="1" ht="15.75" customHeight="1">
      <c r="B20" s="1482" t="s">
        <v>801</v>
      </c>
      <c r="C20" s="1481" t="s">
        <v>14</v>
      </c>
      <c r="D20" s="965"/>
      <c r="E20" s="965"/>
      <c r="F20" s="965"/>
      <c r="G20" s="965"/>
      <c r="H20" s="966"/>
      <c r="I20" s="967"/>
      <c r="J20" s="968"/>
      <c r="K20" s="968"/>
      <c r="L20" s="968"/>
      <c r="M20" s="969"/>
    </row>
    <row r="21" spans="2:13" s="982" customFormat="1" ht="15.75" customHeight="1">
      <c r="B21" s="1482" t="s">
        <v>802</v>
      </c>
      <c r="C21" s="1481" t="s">
        <v>14</v>
      </c>
      <c r="D21" s="965"/>
      <c r="E21" s="965"/>
      <c r="F21" s="965"/>
      <c r="G21" s="965"/>
      <c r="H21" s="966"/>
      <c r="I21" s="967"/>
      <c r="J21" s="968"/>
      <c r="K21" s="968"/>
      <c r="L21" s="968"/>
      <c r="M21" s="969"/>
    </row>
    <row r="22" spans="2:13" s="1485" customFormat="1" ht="15.75" customHeight="1">
      <c r="B22" s="1483"/>
      <c r="C22" s="1484" t="s">
        <v>14</v>
      </c>
      <c r="D22" s="965"/>
      <c r="E22" s="965"/>
      <c r="F22" s="965"/>
      <c r="G22" s="965"/>
      <c r="H22" s="966"/>
      <c r="I22" s="967"/>
      <c r="J22" s="968"/>
      <c r="K22" s="968"/>
      <c r="L22" s="968"/>
      <c r="M22" s="969"/>
    </row>
    <row r="23" spans="2:13" s="1485" customFormat="1" ht="15.75" customHeight="1">
      <c r="B23" s="1483" t="s">
        <v>803</v>
      </c>
      <c r="C23" s="1484" t="s">
        <v>14</v>
      </c>
      <c r="D23" s="970"/>
      <c r="E23" s="970"/>
      <c r="F23" s="970"/>
      <c r="G23" s="970"/>
      <c r="H23" s="971"/>
      <c r="I23" s="972"/>
      <c r="J23" s="973"/>
      <c r="K23" s="973"/>
      <c r="L23" s="973"/>
      <c r="M23" s="974"/>
    </row>
    <row r="24" spans="2:13" s="1485" customFormat="1" ht="15.75" customHeight="1">
      <c r="B24" s="1483" t="s">
        <v>804</v>
      </c>
      <c r="C24" s="1484" t="s">
        <v>14</v>
      </c>
      <c r="D24" s="970"/>
      <c r="E24" s="970"/>
      <c r="F24" s="970"/>
      <c r="G24" s="970"/>
      <c r="H24" s="971"/>
      <c r="I24" s="972"/>
      <c r="J24" s="973"/>
      <c r="K24" s="973"/>
      <c r="L24" s="973"/>
      <c r="M24" s="974"/>
    </row>
    <row r="25" spans="2:13" s="1485" customFormat="1" ht="15.75" customHeight="1" thickBot="1">
      <c r="B25" s="1486" t="s">
        <v>246</v>
      </c>
      <c r="C25" s="1487" t="s">
        <v>14</v>
      </c>
      <c r="D25" s="1488">
        <f t="shared" ref="D25:M25" si="1">SUM(D10:D24)</f>
        <v>0</v>
      </c>
      <c r="E25" s="1489">
        <f t="shared" si="1"/>
        <v>0</v>
      </c>
      <c r="F25" s="1489">
        <f t="shared" si="1"/>
        <v>0</v>
      </c>
      <c r="G25" s="1489">
        <f t="shared" si="1"/>
        <v>0</v>
      </c>
      <c r="H25" s="1489">
        <f t="shared" si="1"/>
        <v>0</v>
      </c>
      <c r="I25" s="1488">
        <f t="shared" si="1"/>
        <v>0</v>
      </c>
      <c r="J25" s="1489">
        <f t="shared" si="1"/>
        <v>0</v>
      </c>
      <c r="K25" s="1489">
        <f t="shared" si="1"/>
        <v>0</v>
      </c>
      <c r="L25" s="1489">
        <f t="shared" si="1"/>
        <v>0</v>
      </c>
      <c r="M25" s="1490">
        <f t="shared" si="1"/>
        <v>0</v>
      </c>
    </row>
    <row r="26" spans="2:13" s="982" customFormat="1" ht="15.75" customHeight="1">
      <c r="B26" s="1491"/>
      <c r="C26" s="1492"/>
      <c r="D26" s="1493"/>
      <c r="E26" s="1493"/>
      <c r="F26" s="1493"/>
    </row>
    <row r="27" spans="2:13" s="982" customFormat="1" ht="15.75" customHeight="1"/>
    <row r="28" spans="2:13" s="982" customFormat="1" ht="15.75" customHeight="1">
      <c r="B28" s="1479" t="s">
        <v>805</v>
      </c>
      <c r="C28" s="1479"/>
      <c r="D28" s="1479"/>
      <c r="E28" s="1479"/>
      <c r="F28" s="1479"/>
      <c r="G28" s="1479"/>
      <c r="H28" s="1479"/>
      <c r="I28" s="1479"/>
      <c r="J28" s="1479"/>
      <c r="K28" s="1479"/>
    </row>
    <row r="29" spans="2:13" s="982" customFormat="1" ht="15.75" customHeight="1">
      <c r="B29" s="1479"/>
      <c r="C29" s="1479"/>
      <c r="D29" s="1479"/>
      <c r="E29" s="1479"/>
      <c r="F29" s="1479"/>
      <c r="G29" s="1479"/>
      <c r="H29" s="1479"/>
      <c r="I29" s="1479"/>
      <c r="J29" s="1479"/>
      <c r="K29" s="1479"/>
    </row>
    <row r="30" spans="2:13" s="982" customFormat="1" ht="15.75" customHeight="1" thickBot="1">
      <c r="B30" s="1494" t="s">
        <v>806</v>
      </c>
      <c r="C30" s="1479"/>
      <c r="D30" s="1479"/>
      <c r="E30" s="1479"/>
      <c r="F30" s="1479"/>
      <c r="G30" s="1479"/>
      <c r="H30" s="1479"/>
      <c r="I30" s="1479"/>
      <c r="J30" s="1479"/>
      <c r="K30" s="1479"/>
    </row>
    <row r="31" spans="2:13" s="982" customFormat="1" ht="15.75" customHeight="1">
      <c r="B31" s="1987"/>
      <c r="C31" s="1988"/>
      <c r="D31" s="952" t="s">
        <v>116</v>
      </c>
      <c r="E31" s="952"/>
      <c r="F31" s="952"/>
      <c r="G31" s="952"/>
      <c r="H31" s="953"/>
      <c r="I31" s="951" t="s">
        <v>117</v>
      </c>
      <c r="J31" s="954"/>
      <c r="K31" s="954"/>
      <c r="L31" s="954"/>
      <c r="M31" s="953"/>
    </row>
    <row r="32" spans="2:13" s="982" customFormat="1" ht="15.75" customHeight="1">
      <c r="B32" s="1989"/>
      <c r="C32" s="1990"/>
      <c r="D32" s="975" t="s">
        <v>32</v>
      </c>
      <c r="E32" s="956" t="s">
        <v>33</v>
      </c>
      <c r="F32" s="956" t="s">
        <v>29</v>
      </c>
      <c r="G32" s="956" t="s">
        <v>34</v>
      </c>
      <c r="H32" s="957" t="s">
        <v>35</v>
      </c>
      <c r="I32" s="955" t="s">
        <v>118</v>
      </c>
      <c r="J32" s="956" t="s">
        <v>136</v>
      </c>
      <c r="K32" s="956" t="s">
        <v>137</v>
      </c>
      <c r="L32" s="956" t="s">
        <v>138</v>
      </c>
      <c r="M32" s="957" t="s">
        <v>139</v>
      </c>
    </row>
    <row r="33" spans="2:13" s="982" customFormat="1" ht="15.75" customHeight="1">
      <c r="B33" s="1482" t="s">
        <v>737</v>
      </c>
      <c r="C33" s="1481" t="s">
        <v>14</v>
      </c>
      <c r="D33" s="965"/>
      <c r="E33" s="965"/>
      <c r="F33" s="965"/>
      <c r="G33" s="965"/>
      <c r="H33" s="966"/>
      <c r="I33" s="967"/>
      <c r="J33" s="968"/>
      <c r="K33" s="968"/>
      <c r="L33" s="968"/>
      <c r="M33" s="969"/>
    </row>
    <row r="34" spans="2:13" s="982" customFormat="1" ht="15.75" customHeight="1">
      <c r="B34" s="1482" t="s">
        <v>239</v>
      </c>
      <c r="C34" s="1481" t="s">
        <v>14</v>
      </c>
      <c r="D34" s="965"/>
      <c r="E34" s="965"/>
      <c r="F34" s="965"/>
      <c r="G34" s="965"/>
      <c r="H34" s="966"/>
      <c r="I34" s="967"/>
      <c r="J34" s="968"/>
      <c r="K34" s="968"/>
      <c r="L34" s="968"/>
      <c r="M34" s="969"/>
    </row>
    <row r="35" spans="2:13" s="982" customFormat="1" ht="15.75" customHeight="1">
      <c r="B35" s="1482" t="s">
        <v>245</v>
      </c>
      <c r="C35" s="1481" t="s">
        <v>14</v>
      </c>
      <c r="D35" s="965"/>
      <c r="E35" s="965"/>
      <c r="F35" s="965"/>
      <c r="G35" s="965"/>
      <c r="H35" s="966"/>
      <c r="I35" s="967"/>
      <c r="J35" s="968"/>
      <c r="K35" s="968"/>
      <c r="L35" s="968"/>
      <c r="M35" s="969"/>
    </row>
    <row r="36" spans="2:13" s="982" customFormat="1" ht="15.75" customHeight="1">
      <c r="B36" s="1482" t="s">
        <v>497</v>
      </c>
      <c r="C36" s="1495" t="s">
        <v>14</v>
      </c>
      <c r="D36" s="965"/>
      <c r="E36" s="965"/>
      <c r="F36" s="965"/>
      <c r="G36" s="965"/>
      <c r="H36" s="966"/>
      <c r="I36" s="967"/>
      <c r="J36" s="968"/>
      <c r="K36" s="968"/>
      <c r="L36" s="968"/>
      <c r="M36" s="969"/>
    </row>
    <row r="37" spans="2:13" s="982" customFormat="1" ht="15.75" customHeight="1" thickBot="1">
      <c r="B37" s="1496" t="s">
        <v>246</v>
      </c>
      <c r="C37" s="1497" t="s">
        <v>14</v>
      </c>
      <c r="D37" s="1498">
        <f t="shared" ref="D37:M37" si="2">SUM(D33:D36)</f>
        <v>0</v>
      </c>
      <c r="E37" s="1499">
        <f t="shared" si="2"/>
        <v>0</v>
      </c>
      <c r="F37" s="1499">
        <f t="shared" si="2"/>
        <v>0</v>
      </c>
      <c r="G37" s="1499">
        <f t="shared" si="2"/>
        <v>0</v>
      </c>
      <c r="H37" s="1500">
        <f t="shared" si="2"/>
        <v>0</v>
      </c>
      <c r="I37" s="1501">
        <f t="shared" si="2"/>
        <v>0</v>
      </c>
      <c r="J37" s="1499">
        <f t="shared" si="2"/>
        <v>0</v>
      </c>
      <c r="K37" s="1499">
        <f t="shared" si="2"/>
        <v>0</v>
      </c>
      <c r="L37" s="1499">
        <f t="shared" si="2"/>
        <v>0</v>
      </c>
      <c r="M37" s="1500">
        <f t="shared" si="2"/>
        <v>0</v>
      </c>
    </row>
    <row r="38" spans="2:13" s="982" customFormat="1" ht="15.75" customHeight="1"/>
    <row r="39" spans="2:13" s="982" customFormat="1" ht="15.75" customHeight="1" thickBot="1">
      <c r="B39" s="1494" t="s">
        <v>807</v>
      </c>
      <c r="C39" s="1479"/>
      <c r="D39" s="1479"/>
      <c r="E39" s="1479"/>
      <c r="F39" s="1479"/>
      <c r="G39" s="1479"/>
      <c r="H39" s="1479"/>
      <c r="I39" s="1479"/>
      <c r="J39" s="1479"/>
      <c r="K39" s="1479"/>
    </row>
    <row r="40" spans="2:13" s="982" customFormat="1" ht="15.75" customHeight="1">
      <c r="B40" s="1987"/>
      <c r="C40" s="1988"/>
      <c r="D40" s="952" t="s">
        <v>116</v>
      </c>
      <c r="E40" s="952"/>
      <c r="F40" s="952"/>
      <c r="G40" s="952"/>
      <c r="H40" s="953"/>
      <c r="I40" s="951" t="s">
        <v>117</v>
      </c>
      <c r="J40" s="954"/>
      <c r="K40" s="954"/>
      <c r="L40" s="954"/>
      <c r="M40" s="953"/>
    </row>
    <row r="41" spans="2:13" s="982" customFormat="1" ht="15.75" customHeight="1">
      <c r="B41" s="1989"/>
      <c r="C41" s="1990"/>
      <c r="D41" s="975" t="s">
        <v>32</v>
      </c>
      <c r="E41" s="956" t="s">
        <v>33</v>
      </c>
      <c r="F41" s="956" t="s">
        <v>29</v>
      </c>
      <c r="G41" s="956" t="s">
        <v>34</v>
      </c>
      <c r="H41" s="957" t="s">
        <v>35</v>
      </c>
      <c r="I41" s="955" t="s">
        <v>118</v>
      </c>
      <c r="J41" s="956" t="s">
        <v>136</v>
      </c>
      <c r="K41" s="956" t="s">
        <v>137</v>
      </c>
      <c r="L41" s="956" t="s">
        <v>138</v>
      </c>
      <c r="M41" s="957" t="s">
        <v>139</v>
      </c>
    </row>
    <row r="42" spans="2:13" s="982" customFormat="1" ht="15.75" customHeight="1">
      <c r="B42" s="1482" t="s">
        <v>737</v>
      </c>
      <c r="C42" s="1481" t="s">
        <v>14</v>
      </c>
      <c r="D42" s="976"/>
      <c r="E42" s="977"/>
      <c r="F42" s="965"/>
      <c r="G42" s="965"/>
      <c r="H42" s="966"/>
      <c r="I42" s="967"/>
      <c r="J42" s="968"/>
      <c r="K42" s="968"/>
      <c r="L42" s="968"/>
      <c r="M42" s="969"/>
    </row>
    <row r="43" spans="2:13" s="982" customFormat="1" ht="15.75" customHeight="1">
      <c r="B43" s="1482" t="s">
        <v>239</v>
      </c>
      <c r="C43" s="1481" t="s">
        <v>14</v>
      </c>
      <c r="D43" s="976"/>
      <c r="E43" s="977"/>
      <c r="F43" s="965"/>
      <c r="G43" s="965"/>
      <c r="H43" s="966"/>
      <c r="I43" s="967"/>
      <c r="J43" s="968"/>
      <c r="K43" s="968"/>
      <c r="L43" s="968"/>
      <c r="M43" s="969"/>
    </row>
    <row r="44" spans="2:13" s="982" customFormat="1" ht="15.75" customHeight="1">
      <c r="B44" s="1482" t="s">
        <v>245</v>
      </c>
      <c r="C44" s="1481" t="s">
        <v>14</v>
      </c>
      <c r="D44" s="976"/>
      <c r="E44" s="977"/>
      <c r="F44" s="965"/>
      <c r="G44" s="965"/>
      <c r="H44" s="966"/>
      <c r="I44" s="967"/>
      <c r="J44" s="968"/>
      <c r="K44" s="968"/>
      <c r="L44" s="968"/>
      <c r="M44" s="969"/>
    </row>
    <row r="45" spans="2:13" s="982" customFormat="1" ht="15.75" customHeight="1">
      <c r="B45" s="1482" t="s">
        <v>497</v>
      </c>
      <c r="C45" s="1495" t="s">
        <v>14</v>
      </c>
      <c r="D45" s="976"/>
      <c r="E45" s="977"/>
      <c r="F45" s="965"/>
      <c r="G45" s="965"/>
      <c r="H45" s="966"/>
      <c r="I45" s="967"/>
      <c r="J45" s="968"/>
      <c r="K45" s="968"/>
      <c r="L45" s="968"/>
      <c r="M45" s="969"/>
    </row>
    <row r="46" spans="2:13" s="982" customFormat="1" ht="15.75" customHeight="1" thickBot="1">
      <c r="B46" s="1496" t="s">
        <v>246</v>
      </c>
      <c r="C46" s="1497" t="s">
        <v>14</v>
      </c>
      <c r="D46" s="1498">
        <f t="shared" ref="D46:M46" si="3">SUM(D42:D45)</f>
        <v>0</v>
      </c>
      <c r="E46" s="1499">
        <f t="shared" si="3"/>
        <v>0</v>
      </c>
      <c r="F46" s="1499">
        <f t="shared" si="3"/>
        <v>0</v>
      </c>
      <c r="G46" s="1499">
        <f t="shared" si="3"/>
        <v>0</v>
      </c>
      <c r="H46" s="1500">
        <f t="shared" si="3"/>
        <v>0</v>
      </c>
      <c r="I46" s="1501">
        <f t="shared" si="3"/>
        <v>0</v>
      </c>
      <c r="J46" s="1499">
        <f t="shared" si="3"/>
        <v>0</v>
      </c>
      <c r="K46" s="1499">
        <f t="shared" si="3"/>
        <v>0</v>
      </c>
      <c r="L46" s="1499">
        <f t="shared" si="3"/>
        <v>0</v>
      </c>
      <c r="M46" s="1500">
        <f t="shared" si="3"/>
        <v>0</v>
      </c>
    </row>
    <row r="47" spans="2:13" s="982" customFormat="1" ht="15.75" customHeight="1"/>
    <row r="48" spans="2:13" s="982" customFormat="1" ht="15.75" customHeight="1">
      <c r="B48" s="1479" t="s">
        <v>808</v>
      </c>
      <c r="C48" s="1479"/>
      <c r="D48" s="1479"/>
      <c r="E48" s="1479"/>
      <c r="F48" s="1479"/>
      <c r="G48" s="1479"/>
      <c r="H48" s="1479"/>
      <c r="I48" s="1479"/>
      <c r="J48" s="1479"/>
      <c r="K48" s="1479"/>
      <c r="L48" s="1479"/>
    </row>
    <row r="49" spans="2:24" s="982" customFormat="1" ht="15.75" customHeight="1" thickBot="1">
      <c r="B49" s="1494"/>
      <c r="C49" s="1479"/>
      <c r="D49" s="1479"/>
      <c r="E49" s="1479"/>
      <c r="F49" s="1479"/>
      <c r="G49" s="1479"/>
      <c r="H49" s="1479"/>
      <c r="I49" s="1479"/>
      <c r="J49" s="1479"/>
      <c r="K49" s="1479"/>
      <c r="L49" s="1479"/>
    </row>
    <row r="50" spans="2:24" s="982" customFormat="1" ht="15.75" customHeight="1">
      <c r="B50" s="1502"/>
      <c r="C50" s="1512" t="s">
        <v>809</v>
      </c>
      <c r="D50" s="1513" t="s">
        <v>810</v>
      </c>
      <c r="E50" s="1513" t="s">
        <v>811</v>
      </c>
      <c r="F50" s="1513" t="s">
        <v>812</v>
      </c>
      <c r="G50" s="1513" t="s">
        <v>813</v>
      </c>
      <c r="H50" s="1514" t="s">
        <v>814</v>
      </c>
      <c r="I50" s="1479"/>
    </row>
    <row r="51" spans="2:24" s="982" customFormat="1" ht="15.75" customHeight="1">
      <c r="B51" s="1466" t="s">
        <v>737</v>
      </c>
      <c r="C51" s="978"/>
      <c r="D51" s="979"/>
      <c r="E51" s="980"/>
      <c r="F51" s="979"/>
      <c r="G51" s="979"/>
      <c r="H51" s="981"/>
      <c r="I51" s="1479"/>
    </row>
    <row r="52" spans="2:24" s="982" customFormat="1" ht="15.75" customHeight="1">
      <c r="B52" s="1466" t="s">
        <v>239</v>
      </c>
      <c r="C52" s="978"/>
      <c r="D52" s="979"/>
      <c r="E52" s="980"/>
      <c r="F52" s="979"/>
      <c r="G52" s="979"/>
      <c r="H52" s="981"/>
      <c r="I52" s="1479"/>
    </row>
    <row r="53" spans="2:24" s="982" customFormat="1" ht="15.75" customHeight="1">
      <c r="B53" s="1466" t="s">
        <v>245</v>
      </c>
      <c r="C53" s="978"/>
      <c r="D53" s="979"/>
      <c r="E53" s="980"/>
      <c r="F53" s="979"/>
      <c r="G53" s="979"/>
      <c r="H53" s="981"/>
      <c r="I53" s="1479"/>
    </row>
    <row r="54" spans="2:24" s="982" customFormat="1" ht="15.75" customHeight="1">
      <c r="B54" s="1466" t="s">
        <v>497</v>
      </c>
      <c r="C54" s="978"/>
      <c r="D54" s="979"/>
      <c r="E54" s="980"/>
      <c r="F54" s="979"/>
      <c r="G54" s="979"/>
      <c r="H54" s="981"/>
      <c r="I54" s="1479"/>
    </row>
    <row r="55" spans="2:24" s="982" customFormat="1" ht="15.75" customHeight="1" thickBot="1">
      <c r="B55" s="1472" t="s">
        <v>246</v>
      </c>
      <c r="C55" s="1473">
        <f t="shared" ref="C55:H55" si="4">SUM(C51:C54)</f>
        <v>0</v>
      </c>
      <c r="D55" s="1469">
        <f t="shared" si="4"/>
        <v>0</v>
      </c>
      <c r="E55" s="1469">
        <f t="shared" si="4"/>
        <v>0</v>
      </c>
      <c r="F55" s="1469">
        <f t="shared" si="4"/>
        <v>0</v>
      </c>
      <c r="G55" s="1469">
        <f t="shared" si="4"/>
        <v>0</v>
      </c>
      <c r="H55" s="1503">
        <f t="shared" si="4"/>
        <v>0</v>
      </c>
      <c r="I55" s="1479"/>
    </row>
    <row r="56" spans="2:24" s="982" customFormat="1" ht="15.75" customHeight="1">
      <c r="B56" s="1479"/>
      <c r="C56" s="1479"/>
      <c r="D56" s="1479"/>
      <c r="E56" s="1479"/>
      <c r="F56" s="1479"/>
      <c r="G56" s="1479"/>
      <c r="H56" s="1479"/>
      <c r="I56" s="1479"/>
    </row>
    <row r="57" spans="2:24" s="982" customFormat="1" ht="15.75" customHeight="1" thickBot="1"/>
    <row r="58" spans="2:24" s="982" customFormat="1" ht="15.75" customHeight="1">
      <c r="B58" s="1965" t="s">
        <v>815</v>
      </c>
      <c r="C58" s="1991"/>
      <c r="D58" s="1991"/>
      <c r="E58" s="1991"/>
      <c r="F58" s="1991"/>
      <c r="G58" s="1991"/>
      <c r="H58" s="1992"/>
      <c r="I58" s="1504"/>
      <c r="J58" s="1962" t="s">
        <v>816</v>
      </c>
      <c r="K58" s="1963"/>
      <c r="L58" s="1963"/>
      <c r="M58" s="1963"/>
      <c r="N58" s="1963"/>
      <c r="O58" s="1963"/>
      <c r="P58" s="1964"/>
      <c r="R58" s="1965" t="s">
        <v>117</v>
      </c>
      <c r="S58" s="1966"/>
      <c r="T58" s="1966"/>
      <c r="U58" s="1966"/>
      <c r="V58" s="1966"/>
      <c r="W58" s="1966"/>
      <c r="X58" s="1967"/>
    </row>
    <row r="59" spans="2:24" s="982" customFormat="1" ht="15.75" customHeight="1">
      <c r="B59" s="1973"/>
      <c r="C59" s="1515" t="s">
        <v>817</v>
      </c>
      <c r="D59" s="1970" t="s">
        <v>818</v>
      </c>
      <c r="E59" s="1971"/>
      <c r="F59" s="1971"/>
      <c r="G59" s="1971"/>
      <c r="H59" s="1972"/>
      <c r="J59" s="1519"/>
      <c r="K59" s="1515" t="s">
        <v>817</v>
      </c>
      <c r="L59" s="1970" t="s">
        <v>819</v>
      </c>
      <c r="M59" s="1971"/>
      <c r="N59" s="1971"/>
      <c r="O59" s="1971"/>
      <c r="P59" s="1972"/>
      <c r="R59" s="1973"/>
      <c r="S59" s="1968" t="s">
        <v>817</v>
      </c>
      <c r="T59" s="1975" t="s">
        <v>819</v>
      </c>
      <c r="U59" s="1976"/>
      <c r="V59" s="1976"/>
      <c r="W59" s="1976"/>
      <c r="X59" s="1977"/>
    </row>
    <row r="60" spans="2:24" s="982" customFormat="1" ht="48.75" customHeight="1">
      <c r="B60" s="1974"/>
      <c r="C60" s="1516"/>
      <c r="D60" s="1517" t="s">
        <v>820</v>
      </c>
      <c r="E60" s="1517" t="s">
        <v>821</v>
      </c>
      <c r="F60" s="1517" t="s">
        <v>822</v>
      </c>
      <c r="G60" s="1508" t="s">
        <v>823</v>
      </c>
      <c r="H60" s="1518" t="s">
        <v>824</v>
      </c>
      <c r="I60" s="984"/>
      <c r="J60" s="1520"/>
      <c r="K60" s="1521"/>
      <c r="L60" s="1508" t="s">
        <v>820</v>
      </c>
      <c r="M60" s="1508" t="s">
        <v>821</v>
      </c>
      <c r="N60" s="1508" t="s">
        <v>822</v>
      </c>
      <c r="O60" s="1508" t="s">
        <v>823</v>
      </c>
      <c r="P60" s="1518" t="s">
        <v>824</v>
      </c>
      <c r="R60" s="1974"/>
      <c r="S60" s="1969"/>
      <c r="T60" s="1508" t="s">
        <v>820</v>
      </c>
      <c r="U60" s="1508" t="s">
        <v>821</v>
      </c>
      <c r="V60" s="1508" t="s">
        <v>822</v>
      </c>
      <c r="W60" s="1508" t="s">
        <v>823</v>
      </c>
      <c r="X60" s="1518" t="s">
        <v>824</v>
      </c>
    </row>
    <row r="61" spans="2:24" s="982" customFormat="1" ht="15.75" customHeight="1">
      <c r="B61" s="1466" t="s">
        <v>737</v>
      </c>
      <c r="C61" s="978">
        <f>SUM(D61:H61)</f>
        <v>0</v>
      </c>
      <c r="D61" s="985"/>
      <c r="E61" s="985"/>
      <c r="F61" s="985"/>
      <c r="G61" s="980"/>
      <c r="H61" s="986"/>
      <c r="I61" s="984"/>
      <c r="J61" s="1464" t="s">
        <v>737</v>
      </c>
      <c r="K61" s="987">
        <f>SUM(L61:P61)</f>
        <v>0</v>
      </c>
      <c r="L61" s="988"/>
      <c r="M61" s="988"/>
      <c r="N61" s="988"/>
      <c r="O61" s="989"/>
      <c r="P61" s="990"/>
      <c r="R61" s="1464" t="s">
        <v>737</v>
      </c>
      <c r="S61" s="987">
        <f>SUM(T61:X61)</f>
        <v>0</v>
      </c>
      <c r="T61" s="988"/>
      <c r="U61" s="988"/>
      <c r="V61" s="988"/>
      <c r="W61" s="989"/>
      <c r="X61" s="990"/>
    </row>
    <row r="62" spans="2:24" s="982" customFormat="1" ht="15.75" customHeight="1">
      <c r="B62" s="1466" t="s">
        <v>239</v>
      </c>
      <c r="C62" s="987">
        <f>SUM(D62:H62)</f>
        <v>0</v>
      </c>
      <c r="D62" s="985"/>
      <c r="E62" s="985"/>
      <c r="F62" s="985"/>
      <c r="G62" s="980"/>
      <c r="H62" s="986"/>
      <c r="I62" s="984"/>
      <c r="J62" s="1466" t="s">
        <v>239</v>
      </c>
      <c r="K62" s="987">
        <f>SUM(L62:P62)</f>
        <v>0</v>
      </c>
      <c r="L62" s="985"/>
      <c r="M62" s="985"/>
      <c r="N62" s="985"/>
      <c r="O62" s="980"/>
      <c r="P62" s="986"/>
      <c r="R62" s="1466" t="s">
        <v>239</v>
      </c>
      <c r="S62" s="987">
        <f>SUM(T62:X62)</f>
        <v>0</v>
      </c>
      <c r="T62" s="985"/>
      <c r="U62" s="985"/>
      <c r="V62" s="985"/>
      <c r="W62" s="980"/>
      <c r="X62" s="986"/>
    </row>
    <row r="63" spans="2:24" s="982" customFormat="1" ht="15.75" customHeight="1">
      <c r="B63" s="1466" t="s">
        <v>245</v>
      </c>
      <c r="C63" s="987">
        <f>SUM(D63:H63)</f>
        <v>0</v>
      </c>
      <c r="D63" s="985"/>
      <c r="E63" s="985"/>
      <c r="F63" s="985"/>
      <c r="G63" s="980"/>
      <c r="H63" s="986"/>
      <c r="I63" s="984"/>
      <c r="J63" s="1466" t="s">
        <v>245</v>
      </c>
      <c r="K63" s="987">
        <f>SUM(L63:P63)</f>
        <v>0</v>
      </c>
      <c r="L63" s="985"/>
      <c r="M63" s="985"/>
      <c r="N63" s="985"/>
      <c r="O63" s="980"/>
      <c r="P63" s="986"/>
      <c r="R63" s="1466" t="s">
        <v>245</v>
      </c>
      <c r="S63" s="987">
        <f>SUM(T63:X63)</f>
        <v>0</v>
      </c>
      <c r="T63" s="985"/>
      <c r="U63" s="985"/>
      <c r="V63" s="985"/>
      <c r="W63" s="980"/>
      <c r="X63" s="986"/>
    </row>
    <row r="64" spans="2:24" s="982" customFormat="1" ht="15.75" customHeight="1">
      <c r="B64" s="1466" t="s">
        <v>497</v>
      </c>
      <c r="C64" s="987">
        <f>SUM(D64:H64)</f>
        <v>0</v>
      </c>
      <c r="D64" s="985"/>
      <c r="E64" s="985"/>
      <c r="F64" s="985"/>
      <c r="G64" s="980"/>
      <c r="H64" s="986"/>
      <c r="I64" s="984"/>
      <c r="J64" s="1466" t="s">
        <v>497</v>
      </c>
      <c r="K64" s="987">
        <f>SUM(L64:P64)</f>
        <v>0</v>
      </c>
      <c r="L64" s="985"/>
      <c r="M64" s="985"/>
      <c r="N64" s="985"/>
      <c r="O64" s="980"/>
      <c r="P64" s="986"/>
      <c r="R64" s="1466" t="s">
        <v>497</v>
      </c>
      <c r="S64" s="987">
        <f>SUM(T64:X64)</f>
        <v>0</v>
      </c>
      <c r="T64" s="985"/>
      <c r="U64" s="985"/>
      <c r="V64" s="985"/>
      <c r="W64" s="980"/>
      <c r="X64" s="986"/>
    </row>
    <row r="65" spans="2:24" s="982" customFormat="1" ht="15.75" customHeight="1" thickBot="1">
      <c r="B65" s="1472" t="s">
        <v>246</v>
      </c>
      <c r="C65" s="1473">
        <f t="shared" ref="C65:H65" si="5">SUM(C61:C64)</f>
        <v>0</v>
      </c>
      <c r="D65" s="1469">
        <f t="shared" si="5"/>
        <v>0</v>
      </c>
      <c r="E65" s="1469">
        <f t="shared" si="5"/>
        <v>0</v>
      </c>
      <c r="F65" s="1469">
        <f t="shared" si="5"/>
        <v>0</v>
      </c>
      <c r="G65" s="1469">
        <f t="shared" si="5"/>
        <v>0</v>
      </c>
      <c r="H65" s="1503">
        <f t="shared" si="5"/>
        <v>0</v>
      </c>
      <c r="I65" s="984"/>
      <c r="J65" s="1472" t="s">
        <v>246</v>
      </c>
      <c r="K65" s="1473">
        <f t="shared" ref="K65:P65" si="6">SUM(K61:K64)</f>
        <v>0</v>
      </c>
      <c r="L65" s="1469">
        <f t="shared" si="6"/>
        <v>0</v>
      </c>
      <c r="M65" s="1469">
        <f t="shared" si="6"/>
        <v>0</v>
      </c>
      <c r="N65" s="1469">
        <f t="shared" si="6"/>
        <v>0</v>
      </c>
      <c r="O65" s="1469">
        <f t="shared" si="6"/>
        <v>0</v>
      </c>
      <c r="P65" s="1503">
        <f t="shared" si="6"/>
        <v>0</v>
      </c>
      <c r="R65" s="1472" t="s">
        <v>246</v>
      </c>
      <c r="S65" s="1473">
        <f t="shared" ref="S65:X65" si="7">SUM(S61:S64)</f>
        <v>0</v>
      </c>
      <c r="T65" s="1469">
        <f t="shared" si="7"/>
        <v>0</v>
      </c>
      <c r="U65" s="1469">
        <f t="shared" si="7"/>
        <v>0</v>
      </c>
      <c r="V65" s="1469">
        <f t="shared" si="7"/>
        <v>0</v>
      </c>
      <c r="W65" s="1469">
        <f t="shared" si="7"/>
        <v>0</v>
      </c>
      <c r="X65" s="1503">
        <f t="shared" si="7"/>
        <v>0</v>
      </c>
    </row>
    <row r="66" spans="2:24" s="982" customFormat="1" ht="15.75" customHeight="1" thickBot="1">
      <c r="B66" s="1474"/>
      <c r="C66" s="1475"/>
      <c r="D66" s="1475"/>
      <c r="E66" s="1475"/>
      <c r="F66" s="1475"/>
      <c r="G66" s="1475"/>
      <c r="H66" s="1475"/>
      <c r="I66" s="984"/>
      <c r="J66" s="1474"/>
      <c r="K66" s="1475"/>
      <c r="L66" s="1475"/>
      <c r="M66" s="1475"/>
      <c r="N66" s="1475"/>
      <c r="O66" s="1475"/>
      <c r="P66" s="1475"/>
      <c r="R66" s="1474"/>
      <c r="S66" s="1475"/>
      <c r="T66" s="1475"/>
      <c r="U66" s="1475"/>
      <c r="V66" s="1475"/>
      <c r="W66" s="1475"/>
      <c r="X66" s="1475"/>
    </row>
    <row r="67" spans="2:24" s="982" customFormat="1" ht="15.75" customHeight="1">
      <c r="B67" s="1965" t="s">
        <v>815</v>
      </c>
      <c r="C67" s="1966"/>
      <c r="D67" s="1966"/>
      <c r="E67" s="1966"/>
      <c r="F67" s="1966"/>
      <c r="G67" s="1966"/>
      <c r="H67" s="1967"/>
      <c r="I67" s="1504"/>
      <c r="J67" s="1965" t="s">
        <v>816</v>
      </c>
      <c r="K67" s="1966"/>
      <c r="L67" s="1966"/>
      <c r="M67" s="1966"/>
      <c r="N67" s="1966"/>
      <c r="O67" s="1966"/>
      <c r="P67" s="1967"/>
      <c r="R67" s="1965" t="s">
        <v>117</v>
      </c>
      <c r="S67" s="1966"/>
      <c r="T67" s="1966"/>
      <c r="U67" s="1966"/>
      <c r="V67" s="1966"/>
      <c r="W67" s="1966"/>
      <c r="X67" s="1967"/>
    </row>
    <row r="68" spans="2:24" s="982" customFormat="1" ht="15.75" customHeight="1">
      <c r="B68" s="1973"/>
      <c r="C68" s="1979" t="s">
        <v>825</v>
      </c>
      <c r="D68" s="1975" t="s">
        <v>818</v>
      </c>
      <c r="E68" s="1976"/>
      <c r="F68" s="1976"/>
      <c r="G68" s="1976"/>
      <c r="H68" s="1977"/>
      <c r="J68" s="1973"/>
      <c r="K68" s="1968" t="s">
        <v>825</v>
      </c>
      <c r="L68" s="1014" t="s">
        <v>819</v>
      </c>
      <c r="M68" s="1015"/>
      <c r="N68" s="1015"/>
      <c r="O68" s="1015"/>
      <c r="P68" s="1016"/>
      <c r="R68" s="1973"/>
      <c r="S68" s="1968" t="s">
        <v>825</v>
      </c>
      <c r="T68" s="1975" t="s">
        <v>819</v>
      </c>
      <c r="U68" s="1976"/>
      <c r="V68" s="1976"/>
      <c r="W68" s="1976"/>
      <c r="X68" s="1977"/>
    </row>
    <row r="69" spans="2:24" s="982" customFormat="1" ht="30" customHeight="1">
      <c r="B69" s="1974"/>
      <c r="C69" s="1980"/>
      <c r="D69" s="1508" t="s">
        <v>820</v>
      </c>
      <c r="E69" s="1508" t="s">
        <v>821</v>
      </c>
      <c r="F69" s="1508" t="s">
        <v>822</v>
      </c>
      <c r="G69" s="1508" t="s">
        <v>823</v>
      </c>
      <c r="H69" s="1505" t="s">
        <v>824</v>
      </c>
      <c r="I69" s="984"/>
      <c r="J69" s="1974"/>
      <c r="K69" s="1969"/>
      <c r="L69" s="983" t="s">
        <v>820</v>
      </c>
      <c r="M69" s="983" t="s">
        <v>821</v>
      </c>
      <c r="N69" s="983" t="s">
        <v>822</v>
      </c>
      <c r="O69" s="983" t="s">
        <v>823</v>
      </c>
      <c r="P69" s="1505" t="s">
        <v>824</v>
      </c>
      <c r="R69" s="1974"/>
      <c r="S69" s="1969"/>
      <c r="T69" s="1508" t="s">
        <v>820</v>
      </c>
      <c r="U69" s="1508" t="s">
        <v>821</v>
      </c>
      <c r="V69" s="1508" t="s">
        <v>822</v>
      </c>
      <c r="W69" s="1508" t="s">
        <v>823</v>
      </c>
      <c r="X69" s="1505" t="s">
        <v>824</v>
      </c>
    </row>
    <row r="70" spans="2:24" s="982" customFormat="1" ht="15.75" customHeight="1">
      <c r="B70" s="1463" t="s">
        <v>737</v>
      </c>
      <c r="C70" s="988"/>
      <c r="D70" s="988"/>
      <c r="E70" s="988"/>
      <c r="F70" s="988"/>
      <c r="G70" s="989"/>
      <c r="H70" s="991"/>
      <c r="I70" s="984"/>
      <c r="J70" s="1464" t="s">
        <v>737</v>
      </c>
      <c r="K70" s="992"/>
      <c r="L70" s="988"/>
      <c r="M70" s="988"/>
      <c r="N70" s="988"/>
      <c r="O70" s="989"/>
      <c r="P70" s="993"/>
      <c r="R70" s="1464" t="s">
        <v>737</v>
      </c>
      <c r="S70" s="992"/>
      <c r="T70" s="988"/>
      <c r="U70" s="988"/>
      <c r="V70" s="988"/>
      <c r="W70" s="989"/>
      <c r="X70" s="993"/>
    </row>
    <row r="71" spans="2:24" s="982" customFormat="1" ht="15.75" customHeight="1">
      <c r="B71" s="1465" t="s">
        <v>239</v>
      </c>
      <c r="C71" s="985"/>
      <c r="D71" s="985"/>
      <c r="E71" s="985"/>
      <c r="F71" s="985"/>
      <c r="G71" s="980"/>
      <c r="H71" s="994"/>
      <c r="I71" s="984"/>
      <c r="J71" s="1466" t="s">
        <v>239</v>
      </c>
      <c r="K71" s="995"/>
      <c r="L71" s="985"/>
      <c r="M71" s="985"/>
      <c r="N71" s="985"/>
      <c r="O71" s="980"/>
      <c r="P71" s="996"/>
      <c r="R71" s="1466" t="s">
        <v>239</v>
      </c>
      <c r="S71" s="995"/>
      <c r="T71" s="985"/>
      <c r="U71" s="985"/>
      <c r="V71" s="985"/>
      <c r="W71" s="980"/>
      <c r="X71" s="996"/>
    </row>
    <row r="72" spans="2:24" s="982" customFormat="1" ht="15.75" customHeight="1">
      <c r="B72" s="1465" t="s">
        <v>245</v>
      </c>
      <c r="C72" s="985"/>
      <c r="D72" s="985"/>
      <c r="E72" s="985"/>
      <c r="F72" s="985"/>
      <c r="G72" s="980"/>
      <c r="H72" s="994"/>
      <c r="I72" s="984"/>
      <c r="J72" s="1466" t="s">
        <v>245</v>
      </c>
      <c r="K72" s="995"/>
      <c r="L72" s="985"/>
      <c r="M72" s="985"/>
      <c r="N72" s="985"/>
      <c r="O72" s="980"/>
      <c r="P72" s="996"/>
      <c r="R72" s="1466" t="s">
        <v>245</v>
      </c>
      <c r="S72" s="995"/>
      <c r="T72" s="985"/>
      <c r="U72" s="985"/>
      <c r="V72" s="985"/>
      <c r="W72" s="980"/>
      <c r="X72" s="996"/>
    </row>
    <row r="73" spans="2:24" s="982" customFormat="1" ht="15.75" customHeight="1">
      <c r="B73" s="1465" t="s">
        <v>497</v>
      </c>
      <c r="C73" s="985"/>
      <c r="D73" s="985"/>
      <c r="E73" s="985"/>
      <c r="F73" s="985"/>
      <c r="G73" s="980"/>
      <c r="H73" s="994"/>
      <c r="I73" s="984"/>
      <c r="J73" s="1466" t="s">
        <v>497</v>
      </c>
      <c r="K73" s="995"/>
      <c r="L73" s="985"/>
      <c r="M73" s="985"/>
      <c r="N73" s="985"/>
      <c r="O73" s="980"/>
      <c r="P73" s="996"/>
      <c r="R73" s="1466" t="s">
        <v>497</v>
      </c>
      <c r="S73" s="995"/>
      <c r="T73" s="985"/>
      <c r="U73" s="985"/>
      <c r="V73" s="985"/>
      <c r="W73" s="980"/>
      <c r="X73" s="996"/>
    </row>
    <row r="74" spans="2:24" s="982" customFormat="1" ht="15.75" customHeight="1" thickBot="1">
      <c r="B74" s="1467" t="s">
        <v>246</v>
      </c>
      <c r="C74" s="1468">
        <f t="shared" ref="C74:H74" si="8">SUM(C70:C73)</f>
        <v>0</v>
      </c>
      <c r="D74" s="1469">
        <f t="shared" si="8"/>
        <v>0</v>
      </c>
      <c r="E74" s="1469">
        <f t="shared" si="8"/>
        <v>0</v>
      </c>
      <c r="F74" s="1469">
        <f t="shared" si="8"/>
        <v>0</v>
      </c>
      <c r="G74" s="1469">
        <f t="shared" si="8"/>
        <v>0</v>
      </c>
      <c r="H74" s="1471">
        <f t="shared" si="8"/>
        <v>0</v>
      </c>
      <c r="I74" s="984"/>
      <c r="J74" s="1472" t="s">
        <v>246</v>
      </c>
      <c r="K74" s="1473">
        <f t="shared" ref="K74:P74" si="9">SUM(K70:K73)</f>
        <v>0</v>
      </c>
      <c r="L74" s="1469">
        <f t="shared" si="9"/>
        <v>0</v>
      </c>
      <c r="M74" s="1469">
        <f t="shared" si="9"/>
        <v>0</v>
      </c>
      <c r="N74" s="1469">
        <f t="shared" si="9"/>
        <v>0</v>
      </c>
      <c r="O74" s="1469">
        <f t="shared" si="9"/>
        <v>0</v>
      </c>
      <c r="P74" s="1471">
        <f t="shared" si="9"/>
        <v>0</v>
      </c>
      <c r="R74" s="1472" t="s">
        <v>246</v>
      </c>
      <c r="S74" s="1473">
        <f t="shared" ref="S74:X74" si="10">SUM(S70:S73)</f>
        <v>0</v>
      </c>
      <c r="T74" s="1469">
        <f t="shared" si="10"/>
        <v>0</v>
      </c>
      <c r="U74" s="1469">
        <f t="shared" si="10"/>
        <v>0</v>
      </c>
      <c r="V74" s="1469">
        <f t="shared" si="10"/>
        <v>0</v>
      </c>
      <c r="W74" s="1469">
        <f t="shared" si="10"/>
        <v>0</v>
      </c>
      <c r="X74" s="1471">
        <f t="shared" si="10"/>
        <v>0</v>
      </c>
    </row>
    <row r="75" spans="2:24" s="982" customFormat="1" ht="15.75" customHeight="1" thickBot="1">
      <c r="B75" s="1474"/>
      <c r="C75" s="1475"/>
      <c r="D75" s="1475"/>
      <c r="E75" s="1475"/>
      <c r="F75" s="1475"/>
      <c r="G75" s="1475"/>
      <c r="H75" s="1475"/>
      <c r="I75" s="984"/>
      <c r="J75" s="1506"/>
      <c r="K75" s="1507"/>
      <c r="L75" s="1507"/>
      <c r="M75" s="1507"/>
      <c r="N75" s="1507"/>
      <c r="O75" s="1507"/>
      <c r="P75" s="1507"/>
      <c r="R75" s="1474"/>
      <c r="S75" s="1475"/>
      <c r="T75" s="1475"/>
      <c r="U75" s="1475"/>
      <c r="V75" s="1475"/>
      <c r="W75" s="1475"/>
      <c r="X75" s="1475"/>
    </row>
    <row r="76" spans="2:24" s="982" customFormat="1" ht="15.75" customHeight="1">
      <c r="B76" s="1965" t="s">
        <v>815</v>
      </c>
      <c r="C76" s="1966"/>
      <c r="D76" s="1966"/>
      <c r="E76" s="1966"/>
      <c r="F76" s="1966"/>
      <c r="G76" s="1966"/>
      <c r="H76" s="1967"/>
      <c r="J76" s="1965" t="s">
        <v>816</v>
      </c>
      <c r="K76" s="1966"/>
      <c r="L76" s="1966"/>
      <c r="M76" s="1966"/>
      <c r="N76" s="1966"/>
      <c r="O76" s="1966"/>
      <c r="P76" s="1967"/>
      <c r="R76" s="1965" t="s">
        <v>117</v>
      </c>
      <c r="S76" s="1966"/>
      <c r="T76" s="1966"/>
      <c r="U76" s="1966"/>
      <c r="V76" s="1966"/>
      <c r="W76" s="1966"/>
      <c r="X76" s="1967"/>
    </row>
    <row r="77" spans="2:24" s="982" customFormat="1" ht="15.75" customHeight="1">
      <c r="B77" s="1973"/>
      <c r="C77" s="1968" t="s">
        <v>826</v>
      </c>
      <c r="D77" s="1975" t="s">
        <v>827</v>
      </c>
      <c r="E77" s="1976"/>
      <c r="F77" s="1976"/>
      <c r="G77" s="1976"/>
      <c r="H77" s="1977"/>
      <c r="J77" s="1973"/>
      <c r="K77" s="1978" t="s">
        <v>826</v>
      </c>
      <c r="L77" s="1014" t="s">
        <v>828</v>
      </c>
      <c r="M77" s="1015"/>
      <c r="N77" s="1015"/>
      <c r="O77" s="1015"/>
      <c r="P77" s="1016"/>
      <c r="R77" s="1973"/>
      <c r="S77" s="1978" t="s">
        <v>826</v>
      </c>
      <c r="T77" s="1975" t="s">
        <v>828</v>
      </c>
      <c r="U77" s="1976"/>
      <c r="V77" s="1976"/>
      <c r="W77" s="1976"/>
      <c r="X77" s="1977"/>
    </row>
    <row r="78" spans="2:24" s="982" customFormat="1" ht="30" customHeight="1">
      <c r="B78" s="1974"/>
      <c r="C78" s="1993"/>
      <c r="D78" s="1508" t="s">
        <v>820</v>
      </c>
      <c r="E78" s="1508" t="s">
        <v>821</v>
      </c>
      <c r="F78" s="1508" t="s">
        <v>822</v>
      </c>
      <c r="G78" s="1508" t="s">
        <v>823</v>
      </c>
      <c r="H78" s="1505" t="s">
        <v>824</v>
      </c>
      <c r="J78" s="1974"/>
      <c r="K78" s="1969"/>
      <c r="L78" s="983" t="s">
        <v>820</v>
      </c>
      <c r="M78" s="983" t="s">
        <v>821</v>
      </c>
      <c r="N78" s="983" t="s">
        <v>822</v>
      </c>
      <c r="O78" s="983" t="s">
        <v>823</v>
      </c>
      <c r="P78" s="1505" t="s">
        <v>824</v>
      </c>
      <c r="R78" s="1974"/>
      <c r="S78" s="1969"/>
      <c r="T78" s="1508" t="s">
        <v>820</v>
      </c>
      <c r="U78" s="1508" t="s">
        <v>821</v>
      </c>
      <c r="V78" s="1508" t="s">
        <v>822</v>
      </c>
      <c r="W78" s="1508" t="s">
        <v>823</v>
      </c>
      <c r="X78" s="1505" t="s">
        <v>824</v>
      </c>
    </row>
    <row r="79" spans="2:24" s="982" customFormat="1" ht="15.75" customHeight="1">
      <c r="B79" s="1464" t="s">
        <v>737</v>
      </c>
      <c r="C79" s="997">
        <f>SUM(D33:F33)</f>
        <v>0</v>
      </c>
      <c r="D79" s="998"/>
      <c r="E79" s="998"/>
      <c r="F79" s="998"/>
      <c r="G79" s="968"/>
      <c r="H79" s="999"/>
      <c r="J79" s="1464" t="s">
        <v>737</v>
      </c>
      <c r="K79" s="997">
        <f>SUM(G33:H33)</f>
        <v>0</v>
      </c>
      <c r="L79" s="998"/>
      <c r="M79" s="998"/>
      <c r="N79" s="998"/>
      <c r="O79" s="1000"/>
      <c r="P79" s="1001"/>
      <c r="R79" s="1464" t="s">
        <v>737</v>
      </c>
      <c r="S79" s="997">
        <f>SUM(I33:M33)</f>
        <v>0</v>
      </c>
      <c r="T79" s="998"/>
      <c r="U79" s="998"/>
      <c r="V79" s="998"/>
      <c r="W79" s="1000"/>
      <c r="X79" s="1001"/>
    </row>
    <row r="80" spans="2:24" s="982" customFormat="1" ht="15.75" customHeight="1">
      <c r="B80" s="1466" t="s">
        <v>239</v>
      </c>
      <c r="C80" s="997">
        <f>SUM(D34:F34)</f>
        <v>0</v>
      </c>
      <c r="D80" s="965"/>
      <c r="E80" s="965"/>
      <c r="F80" s="965"/>
      <c r="G80" s="968"/>
      <c r="H80" s="999"/>
      <c r="J80" s="1466" t="s">
        <v>239</v>
      </c>
      <c r="K80" s="997">
        <f>SUM(G34:H34)</f>
        <v>0</v>
      </c>
      <c r="L80" s="965"/>
      <c r="M80" s="965"/>
      <c r="N80" s="965"/>
      <c r="O80" s="968"/>
      <c r="P80" s="999"/>
      <c r="R80" s="1466" t="s">
        <v>239</v>
      </c>
      <c r="S80" s="997">
        <f>SUM(I34:M34)</f>
        <v>0</v>
      </c>
      <c r="T80" s="965"/>
      <c r="U80" s="965"/>
      <c r="V80" s="965"/>
      <c r="W80" s="968"/>
      <c r="X80" s="999"/>
    </row>
    <row r="81" spans="2:24" s="982" customFormat="1" ht="15.75" customHeight="1">
      <c r="B81" s="1466" t="s">
        <v>245</v>
      </c>
      <c r="C81" s="997">
        <f>SUM(D35:F35)</f>
        <v>0</v>
      </c>
      <c r="D81" s="965"/>
      <c r="E81" s="965"/>
      <c r="F81" s="965"/>
      <c r="G81" s="968"/>
      <c r="H81" s="999"/>
      <c r="J81" s="1466" t="s">
        <v>245</v>
      </c>
      <c r="K81" s="997">
        <f>SUM(G35:H35)</f>
        <v>0</v>
      </c>
      <c r="L81" s="965"/>
      <c r="M81" s="965"/>
      <c r="N81" s="965"/>
      <c r="O81" s="968"/>
      <c r="P81" s="999"/>
      <c r="R81" s="1466" t="s">
        <v>245</v>
      </c>
      <c r="S81" s="997">
        <f>SUM(I35:M35)</f>
        <v>0</v>
      </c>
      <c r="T81" s="965"/>
      <c r="U81" s="965"/>
      <c r="V81" s="965"/>
      <c r="W81" s="968"/>
      <c r="X81" s="999"/>
    </row>
    <row r="82" spans="2:24" s="982" customFormat="1" ht="15.75" customHeight="1">
      <c r="B82" s="1466" t="s">
        <v>497</v>
      </c>
      <c r="C82" s="997">
        <f>SUM(D36:F36)</f>
        <v>0</v>
      </c>
      <c r="D82" s="965"/>
      <c r="E82" s="965"/>
      <c r="F82" s="965"/>
      <c r="G82" s="968"/>
      <c r="H82" s="999"/>
      <c r="J82" s="1466" t="s">
        <v>497</v>
      </c>
      <c r="K82" s="997">
        <f>SUM(G36:H36)</f>
        <v>0</v>
      </c>
      <c r="L82" s="965"/>
      <c r="M82" s="965"/>
      <c r="N82" s="965"/>
      <c r="O82" s="968"/>
      <c r="P82" s="999"/>
      <c r="R82" s="1466" t="s">
        <v>497</v>
      </c>
      <c r="S82" s="997">
        <f>SUM(I36:M36)</f>
        <v>0</v>
      </c>
      <c r="T82" s="965"/>
      <c r="U82" s="965"/>
      <c r="V82" s="965"/>
      <c r="W82" s="968"/>
      <c r="X82" s="999"/>
    </row>
    <row r="83" spans="2:24" s="982" customFormat="1" ht="15.75" customHeight="1" thickBot="1">
      <c r="B83" s="1472" t="s">
        <v>246</v>
      </c>
      <c r="C83" s="1476">
        <f t="shared" ref="C83:H83" si="11">SUM(C79:C82)</f>
        <v>0</v>
      </c>
      <c r="D83" s="1477">
        <f t="shared" si="11"/>
        <v>0</v>
      </c>
      <c r="E83" s="1477">
        <f t="shared" si="11"/>
        <v>0</v>
      </c>
      <c r="F83" s="1477">
        <f t="shared" si="11"/>
        <v>0</v>
      </c>
      <c r="G83" s="1477">
        <f t="shared" si="11"/>
        <v>0</v>
      </c>
      <c r="H83" s="1471">
        <f t="shared" si="11"/>
        <v>0</v>
      </c>
      <c r="J83" s="1472" t="s">
        <v>246</v>
      </c>
      <c r="K83" s="1476">
        <f t="shared" ref="K83:P83" si="12">SUM(K79:K82)</f>
        <v>0</v>
      </c>
      <c r="L83" s="1477">
        <f t="shared" si="12"/>
        <v>0</v>
      </c>
      <c r="M83" s="1477">
        <f t="shared" si="12"/>
        <v>0</v>
      </c>
      <c r="N83" s="1477">
        <f t="shared" si="12"/>
        <v>0</v>
      </c>
      <c r="O83" s="1477">
        <f t="shared" si="12"/>
        <v>0</v>
      </c>
      <c r="P83" s="1471">
        <f t="shared" si="12"/>
        <v>0</v>
      </c>
      <c r="R83" s="1472" t="s">
        <v>246</v>
      </c>
      <c r="S83" s="1476">
        <f t="shared" ref="S83:X83" si="13">SUM(S79:S82)</f>
        <v>0</v>
      </c>
      <c r="T83" s="1477">
        <f t="shared" si="13"/>
        <v>0</v>
      </c>
      <c r="U83" s="1477">
        <f t="shared" si="13"/>
        <v>0</v>
      </c>
      <c r="V83" s="1477">
        <f t="shared" si="13"/>
        <v>0</v>
      </c>
      <c r="W83" s="1477">
        <f t="shared" si="13"/>
        <v>0</v>
      </c>
      <c r="X83" s="1471">
        <f t="shared" si="13"/>
        <v>0</v>
      </c>
    </row>
    <row r="84" spans="2:24" s="982" customFormat="1" ht="15.75" customHeight="1" thickBot="1">
      <c r="J84" s="1509"/>
      <c r="K84" s="1509"/>
      <c r="L84" s="1509"/>
      <c r="M84" s="1509"/>
      <c r="N84" s="1509"/>
      <c r="O84" s="1509"/>
      <c r="P84" s="1509"/>
    </row>
    <row r="85" spans="2:24" s="982" customFormat="1" ht="15.75" customHeight="1">
      <c r="B85" s="1965" t="s">
        <v>815</v>
      </c>
      <c r="C85" s="1966"/>
      <c r="D85" s="1966"/>
      <c r="E85" s="1966"/>
      <c r="F85" s="1966"/>
      <c r="G85" s="1966"/>
      <c r="H85" s="1967"/>
      <c r="J85" s="1965" t="s">
        <v>816</v>
      </c>
      <c r="K85" s="1966"/>
      <c r="L85" s="1966"/>
      <c r="M85" s="1966"/>
      <c r="N85" s="1966"/>
      <c r="O85" s="1966"/>
      <c r="P85" s="1967"/>
      <c r="R85" s="1965" t="s">
        <v>117</v>
      </c>
      <c r="S85" s="1966"/>
      <c r="T85" s="1966"/>
      <c r="U85" s="1966"/>
      <c r="V85" s="1966"/>
      <c r="W85" s="1966"/>
      <c r="X85" s="1967"/>
    </row>
    <row r="86" spans="2:24" s="982" customFormat="1" ht="15.75" customHeight="1">
      <c r="B86" s="1973"/>
      <c r="C86" s="1978" t="s">
        <v>829</v>
      </c>
      <c r="D86" s="1975" t="s">
        <v>830</v>
      </c>
      <c r="E86" s="1976"/>
      <c r="F86" s="1976"/>
      <c r="G86" s="1976"/>
      <c r="H86" s="1977"/>
      <c r="J86" s="1973"/>
      <c r="K86" s="1978" t="s">
        <v>829</v>
      </c>
      <c r="L86" s="1014" t="s">
        <v>831</v>
      </c>
      <c r="M86" s="1015"/>
      <c r="N86" s="1015"/>
      <c r="O86" s="1015"/>
      <c r="P86" s="1016"/>
      <c r="R86" s="1973"/>
      <c r="S86" s="1978" t="s">
        <v>829</v>
      </c>
      <c r="T86" s="1975" t="s">
        <v>831</v>
      </c>
      <c r="U86" s="1976"/>
      <c r="V86" s="1976"/>
      <c r="W86" s="1976"/>
      <c r="X86" s="1977"/>
    </row>
    <row r="87" spans="2:24" s="982" customFormat="1" ht="30" customHeight="1" thickBot="1">
      <c r="B87" s="1974"/>
      <c r="C87" s="1969"/>
      <c r="D87" s="1508" t="s">
        <v>820</v>
      </c>
      <c r="E87" s="1508" t="s">
        <v>821</v>
      </c>
      <c r="F87" s="1508" t="s">
        <v>822</v>
      </c>
      <c r="G87" s="1508" t="s">
        <v>823</v>
      </c>
      <c r="H87" s="1510" t="s">
        <v>824</v>
      </c>
      <c r="J87" s="1974"/>
      <c r="K87" s="1969"/>
      <c r="L87" s="983" t="s">
        <v>820</v>
      </c>
      <c r="M87" s="983" t="s">
        <v>821</v>
      </c>
      <c r="N87" s="983" t="s">
        <v>822</v>
      </c>
      <c r="O87" s="983" t="s">
        <v>823</v>
      </c>
      <c r="P87" s="1505"/>
      <c r="R87" s="1974"/>
      <c r="S87" s="1969"/>
      <c r="T87" s="1508" t="s">
        <v>820</v>
      </c>
      <c r="U87" s="1508" t="s">
        <v>821</v>
      </c>
      <c r="V87" s="1522" t="s">
        <v>822</v>
      </c>
      <c r="W87" s="1508" t="s">
        <v>823</v>
      </c>
      <c r="X87" s="1505"/>
    </row>
    <row r="88" spans="2:24" s="982" customFormat="1" ht="15.75" customHeight="1">
      <c r="B88" s="1464" t="s">
        <v>737</v>
      </c>
      <c r="C88" s="997">
        <f t="shared" ref="C88:G91" si="14">IF(C70&gt;0,C79*1000/C70,0)</f>
        <v>0</v>
      </c>
      <c r="D88" s="1002">
        <f t="shared" si="14"/>
        <v>0</v>
      </c>
      <c r="E88" s="1002">
        <f t="shared" si="14"/>
        <v>0</v>
      </c>
      <c r="F88" s="1002">
        <f t="shared" si="14"/>
        <v>0</v>
      </c>
      <c r="G88" s="1002">
        <f t="shared" si="14"/>
        <v>0</v>
      </c>
      <c r="H88" s="1003"/>
      <c r="J88" s="1464" t="s">
        <v>737</v>
      </c>
      <c r="K88" s="997">
        <f t="shared" ref="K88:O91" si="15">IF(K70&gt;0,K79*1000/K70,0)</f>
        <v>0</v>
      </c>
      <c r="L88" s="1002">
        <f t="shared" si="15"/>
        <v>0</v>
      </c>
      <c r="M88" s="1002">
        <f t="shared" si="15"/>
        <v>0</v>
      </c>
      <c r="N88" s="1002">
        <f t="shared" si="15"/>
        <v>0</v>
      </c>
      <c r="O88" s="1002">
        <f t="shared" si="15"/>
        <v>0</v>
      </c>
      <c r="P88" s="1001"/>
      <c r="R88" s="1464" t="s">
        <v>737</v>
      </c>
      <c r="S88" s="997">
        <f t="shared" ref="S88:W91" si="16">IF(S70&gt;0,S79*1000/S70,0)</f>
        <v>0</v>
      </c>
      <c r="T88" s="1002">
        <f t="shared" si="16"/>
        <v>0</v>
      </c>
      <c r="U88" s="1002">
        <f t="shared" si="16"/>
        <v>0</v>
      </c>
      <c r="V88" s="1002">
        <f t="shared" si="16"/>
        <v>0</v>
      </c>
      <c r="W88" s="1002">
        <f t="shared" si="16"/>
        <v>0</v>
      </c>
      <c r="X88" s="1001"/>
    </row>
    <row r="89" spans="2:24" s="982" customFormat="1" ht="15.75" customHeight="1">
      <c r="B89" s="1466" t="s">
        <v>239</v>
      </c>
      <c r="C89" s="1004">
        <f t="shared" si="14"/>
        <v>0</v>
      </c>
      <c r="D89" s="1005">
        <f t="shared" si="14"/>
        <v>0</v>
      </c>
      <c r="E89" s="1005">
        <f t="shared" si="14"/>
        <v>0</v>
      </c>
      <c r="F89" s="1005">
        <f t="shared" si="14"/>
        <v>0</v>
      </c>
      <c r="G89" s="1005">
        <f t="shared" si="14"/>
        <v>0</v>
      </c>
      <c r="H89" s="999"/>
      <c r="J89" s="1466" t="s">
        <v>239</v>
      </c>
      <c r="K89" s="1004">
        <f t="shared" si="15"/>
        <v>0</v>
      </c>
      <c r="L89" s="1005">
        <f t="shared" si="15"/>
        <v>0</v>
      </c>
      <c r="M89" s="1005">
        <f t="shared" si="15"/>
        <v>0</v>
      </c>
      <c r="N89" s="1005">
        <f t="shared" si="15"/>
        <v>0</v>
      </c>
      <c r="O89" s="1005">
        <f t="shared" si="15"/>
        <v>0</v>
      </c>
      <c r="P89" s="999"/>
      <c r="R89" s="1466" t="s">
        <v>239</v>
      </c>
      <c r="S89" s="1004">
        <f t="shared" si="16"/>
        <v>0</v>
      </c>
      <c r="T89" s="1005">
        <f t="shared" si="16"/>
        <v>0</v>
      </c>
      <c r="U89" s="1005">
        <f t="shared" si="16"/>
        <v>0</v>
      </c>
      <c r="V89" s="1005">
        <f t="shared" si="16"/>
        <v>0</v>
      </c>
      <c r="W89" s="1005">
        <f t="shared" si="16"/>
        <v>0</v>
      </c>
      <c r="X89" s="999"/>
    </row>
    <row r="90" spans="2:24" s="982" customFormat="1" ht="15.75" customHeight="1">
      <c r="B90" s="1466" t="s">
        <v>245</v>
      </c>
      <c r="C90" s="1004">
        <f t="shared" si="14"/>
        <v>0</v>
      </c>
      <c r="D90" s="1005">
        <f t="shared" si="14"/>
        <v>0</v>
      </c>
      <c r="E90" s="1005">
        <f t="shared" si="14"/>
        <v>0</v>
      </c>
      <c r="F90" s="1005">
        <f t="shared" si="14"/>
        <v>0</v>
      </c>
      <c r="G90" s="1005">
        <f t="shared" si="14"/>
        <v>0</v>
      </c>
      <c r="H90" s="999"/>
      <c r="J90" s="1466" t="s">
        <v>245</v>
      </c>
      <c r="K90" s="1004">
        <f t="shared" si="15"/>
        <v>0</v>
      </c>
      <c r="L90" s="1005">
        <f t="shared" si="15"/>
        <v>0</v>
      </c>
      <c r="M90" s="1005">
        <f t="shared" si="15"/>
        <v>0</v>
      </c>
      <c r="N90" s="1005">
        <f t="shared" si="15"/>
        <v>0</v>
      </c>
      <c r="O90" s="1005">
        <f t="shared" si="15"/>
        <v>0</v>
      </c>
      <c r="P90" s="999"/>
      <c r="R90" s="1466" t="s">
        <v>245</v>
      </c>
      <c r="S90" s="1004">
        <f t="shared" si="16"/>
        <v>0</v>
      </c>
      <c r="T90" s="1005">
        <f t="shared" si="16"/>
        <v>0</v>
      </c>
      <c r="U90" s="1005">
        <f t="shared" si="16"/>
        <v>0</v>
      </c>
      <c r="V90" s="1005">
        <f t="shared" si="16"/>
        <v>0</v>
      </c>
      <c r="W90" s="1005">
        <f t="shared" si="16"/>
        <v>0</v>
      </c>
      <c r="X90" s="999"/>
    </row>
    <row r="91" spans="2:24" s="982" customFormat="1" ht="15.75" customHeight="1" thickBot="1">
      <c r="B91" s="1478" t="s">
        <v>497</v>
      </c>
      <c r="C91" s="1006">
        <f t="shared" si="14"/>
        <v>0</v>
      </c>
      <c r="D91" s="1007">
        <f t="shared" si="14"/>
        <v>0</v>
      </c>
      <c r="E91" s="1007">
        <f t="shared" si="14"/>
        <v>0</v>
      </c>
      <c r="F91" s="1007">
        <f t="shared" si="14"/>
        <v>0</v>
      </c>
      <c r="G91" s="1007">
        <f t="shared" si="14"/>
        <v>0</v>
      </c>
      <c r="H91" s="1008"/>
      <c r="J91" s="1478" t="s">
        <v>497</v>
      </c>
      <c r="K91" s="1006">
        <f t="shared" si="15"/>
        <v>0</v>
      </c>
      <c r="L91" s="1007">
        <f t="shared" si="15"/>
        <v>0</v>
      </c>
      <c r="M91" s="1007">
        <f t="shared" si="15"/>
        <v>0</v>
      </c>
      <c r="N91" s="1007">
        <f t="shared" si="15"/>
        <v>0</v>
      </c>
      <c r="O91" s="1007">
        <f t="shared" si="15"/>
        <v>0</v>
      </c>
      <c r="P91" s="1008"/>
      <c r="R91" s="1478" t="s">
        <v>497</v>
      </c>
      <c r="S91" s="1006">
        <f t="shared" si="16"/>
        <v>0</v>
      </c>
      <c r="T91" s="1007">
        <f t="shared" si="16"/>
        <v>0</v>
      </c>
      <c r="U91" s="1007">
        <f t="shared" si="16"/>
        <v>0</v>
      </c>
      <c r="V91" s="1007">
        <f t="shared" si="16"/>
        <v>0</v>
      </c>
      <c r="W91" s="1007">
        <f t="shared" si="16"/>
        <v>0</v>
      </c>
      <c r="X91" s="1008"/>
    </row>
    <row r="92" spans="2:24" s="982" customFormat="1" ht="15.75" customHeight="1"/>
    <row r="93" spans="2:24" s="982" customFormat="1" ht="15.75" customHeight="1"/>
    <row r="94" spans="2:24" s="982" customFormat="1" ht="15.75" customHeight="1">
      <c r="B94" s="1479" t="s">
        <v>832</v>
      </c>
    </row>
    <row r="95" spans="2:24" s="982" customFormat="1" ht="15.75" customHeight="1" thickBot="1"/>
    <row r="96" spans="2:24" s="982" customFormat="1" ht="42" customHeight="1">
      <c r="B96" s="1511"/>
      <c r="C96" s="1512" t="s">
        <v>809</v>
      </c>
      <c r="D96" s="1513" t="s">
        <v>810</v>
      </c>
      <c r="E96" s="1513" t="s">
        <v>811</v>
      </c>
      <c r="F96" s="1513" t="s">
        <v>812</v>
      </c>
      <c r="G96" s="1513" t="s">
        <v>813</v>
      </c>
      <c r="H96" s="1514" t="s">
        <v>814</v>
      </c>
      <c r="I96" s="1479"/>
    </row>
    <row r="97" spans="2:24" s="982" customFormat="1" ht="15.75" customHeight="1">
      <c r="B97" s="1464" t="s">
        <v>737</v>
      </c>
      <c r="C97" s="987">
        <f>D97+E97</f>
        <v>0</v>
      </c>
      <c r="D97" s="1009">
        <f>C107</f>
        <v>0</v>
      </c>
      <c r="E97" s="989"/>
      <c r="F97" s="1009">
        <f>K107</f>
        <v>0</v>
      </c>
      <c r="G97" s="1009">
        <f>S107</f>
        <v>0</v>
      </c>
      <c r="H97" s="1010">
        <f>E97-SUM(F97:G97)</f>
        <v>0</v>
      </c>
      <c r="I97" s="1479"/>
    </row>
    <row r="98" spans="2:24" s="982" customFormat="1" ht="15.75" customHeight="1">
      <c r="B98" s="1466" t="s">
        <v>239</v>
      </c>
      <c r="C98" s="987">
        <f>D98+E98</f>
        <v>0</v>
      </c>
      <c r="D98" s="1009">
        <f>C108</f>
        <v>0</v>
      </c>
      <c r="E98" s="989"/>
      <c r="F98" s="1009">
        <f>K108</f>
        <v>0</v>
      </c>
      <c r="G98" s="1009">
        <f>S108</f>
        <v>0</v>
      </c>
      <c r="H98" s="1010">
        <f>E98-SUM(F98:G98)</f>
        <v>0</v>
      </c>
      <c r="I98" s="1479"/>
    </row>
    <row r="99" spans="2:24" s="982" customFormat="1" ht="15.75" customHeight="1">
      <c r="B99" s="1466" t="s">
        <v>245</v>
      </c>
      <c r="C99" s="987">
        <f>D99+E99</f>
        <v>0</v>
      </c>
      <c r="D99" s="1009">
        <f>C109</f>
        <v>0</v>
      </c>
      <c r="E99" s="989"/>
      <c r="F99" s="1009">
        <f>K109</f>
        <v>0</v>
      </c>
      <c r="G99" s="1009">
        <f>S109</f>
        <v>0</v>
      </c>
      <c r="H99" s="1010">
        <f>E99-SUM(F99:G99)</f>
        <v>0</v>
      </c>
      <c r="I99" s="1479"/>
    </row>
    <row r="100" spans="2:24" s="982" customFormat="1" ht="15.75" customHeight="1">
      <c r="B100" s="1466" t="s">
        <v>497</v>
      </c>
      <c r="C100" s="987">
        <f>D100+E100</f>
        <v>0</v>
      </c>
      <c r="D100" s="1009">
        <f>C110</f>
        <v>0</v>
      </c>
      <c r="E100" s="989"/>
      <c r="F100" s="1009">
        <f>K110</f>
        <v>0</v>
      </c>
      <c r="G100" s="1009">
        <f>S110</f>
        <v>0</v>
      </c>
      <c r="H100" s="1010">
        <f>E100-SUM(F100:G100)</f>
        <v>0</v>
      </c>
      <c r="I100" s="1479"/>
    </row>
    <row r="101" spans="2:24" s="982" customFormat="1" ht="15.75" customHeight="1" thickBot="1">
      <c r="B101" s="1472" t="s">
        <v>246</v>
      </c>
      <c r="C101" s="1473">
        <f t="shared" ref="C101:H101" si="17">SUM(C97:C100)</f>
        <v>0</v>
      </c>
      <c r="D101" s="1469">
        <f t="shared" si="17"/>
        <v>0</v>
      </c>
      <c r="E101" s="1469">
        <f t="shared" si="17"/>
        <v>0</v>
      </c>
      <c r="F101" s="1469">
        <f t="shared" si="17"/>
        <v>0</v>
      </c>
      <c r="G101" s="1469">
        <f t="shared" si="17"/>
        <v>0</v>
      </c>
      <c r="H101" s="1503">
        <f t="shared" si="17"/>
        <v>0</v>
      </c>
      <c r="I101" s="1479"/>
    </row>
    <row r="102" spans="2:24" s="982" customFormat="1" ht="15.75" customHeight="1">
      <c r="B102" s="1479"/>
      <c r="C102" s="1479"/>
      <c r="D102" s="1479"/>
      <c r="E102" s="1479"/>
      <c r="F102" s="1479"/>
      <c r="G102" s="1479"/>
      <c r="H102" s="1479"/>
      <c r="I102" s="1479"/>
    </row>
    <row r="103" spans="2:24" s="982" customFormat="1" ht="15.75" customHeight="1" thickBot="1"/>
    <row r="104" spans="2:24" s="982" customFormat="1" ht="15.75" customHeight="1">
      <c r="B104" s="1965" t="s">
        <v>815</v>
      </c>
      <c r="C104" s="1966"/>
      <c r="D104" s="1966"/>
      <c r="E104" s="1966"/>
      <c r="F104" s="1966"/>
      <c r="G104" s="1966"/>
      <c r="H104" s="1967"/>
      <c r="I104" s="1504"/>
      <c r="J104" s="1965" t="s">
        <v>816</v>
      </c>
      <c r="K104" s="1966"/>
      <c r="L104" s="1966"/>
      <c r="M104" s="1966"/>
      <c r="N104" s="1966"/>
      <c r="O104" s="1966"/>
      <c r="P104" s="1967"/>
      <c r="R104" s="1965" t="s">
        <v>117</v>
      </c>
      <c r="S104" s="1966"/>
      <c r="T104" s="1966"/>
      <c r="U104" s="1966"/>
      <c r="V104" s="1966"/>
      <c r="W104" s="1966"/>
      <c r="X104" s="1967"/>
    </row>
    <row r="105" spans="2:24" s="982" customFormat="1" ht="15.75" customHeight="1">
      <c r="B105" s="1973"/>
      <c r="C105" s="1968" t="s">
        <v>817</v>
      </c>
      <c r="D105" s="1981" t="s">
        <v>818</v>
      </c>
      <c r="E105" s="1982"/>
      <c r="F105" s="1982"/>
      <c r="G105" s="1982"/>
      <c r="H105" s="1983"/>
      <c r="J105" s="1973"/>
      <c r="K105" s="1984" t="s">
        <v>817</v>
      </c>
      <c r="L105" s="1011" t="s">
        <v>819</v>
      </c>
      <c r="M105" s="1012"/>
      <c r="N105" s="1012"/>
      <c r="O105" s="1012"/>
      <c r="P105" s="1013"/>
      <c r="R105" s="1973"/>
      <c r="S105" s="1968" t="s">
        <v>817</v>
      </c>
      <c r="T105" s="1975" t="s">
        <v>819</v>
      </c>
      <c r="U105" s="1976"/>
      <c r="V105" s="1976"/>
      <c r="W105" s="1976"/>
      <c r="X105" s="1977"/>
    </row>
    <row r="106" spans="2:24" s="982" customFormat="1" ht="39.75" customHeight="1">
      <c r="B106" s="1974"/>
      <c r="C106" s="1969"/>
      <c r="D106" s="1508" t="s">
        <v>833</v>
      </c>
      <c r="E106" s="1508" t="s">
        <v>822</v>
      </c>
      <c r="F106" s="1508" t="s">
        <v>652</v>
      </c>
      <c r="G106" s="1508" t="s">
        <v>834</v>
      </c>
      <c r="H106" s="1518" t="s">
        <v>824</v>
      </c>
      <c r="I106" s="984"/>
      <c r="J106" s="1974"/>
      <c r="K106" s="1985"/>
      <c r="L106" s="1508" t="s">
        <v>833</v>
      </c>
      <c r="M106" s="1508" t="s">
        <v>822</v>
      </c>
      <c r="N106" s="1508" t="s">
        <v>652</v>
      </c>
      <c r="O106" s="1508" t="s">
        <v>834</v>
      </c>
      <c r="P106" s="1518" t="s">
        <v>824</v>
      </c>
      <c r="R106" s="1974"/>
      <c r="S106" s="1986"/>
      <c r="T106" s="1508" t="s">
        <v>833</v>
      </c>
      <c r="U106" s="1508" t="s">
        <v>822</v>
      </c>
      <c r="V106" s="1508" t="s">
        <v>652</v>
      </c>
      <c r="W106" s="1508" t="s">
        <v>834</v>
      </c>
      <c r="X106" s="1518" t="s">
        <v>824</v>
      </c>
    </row>
    <row r="107" spans="2:24" s="982" customFormat="1" ht="15.75" customHeight="1">
      <c r="B107" s="1464" t="s">
        <v>737</v>
      </c>
      <c r="C107" s="987">
        <f>SUM(D107:H107)</f>
        <v>0</v>
      </c>
      <c r="D107" s="988"/>
      <c r="E107" s="988"/>
      <c r="F107" s="988"/>
      <c r="G107" s="989"/>
      <c r="H107" s="990"/>
      <c r="I107" s="984"/>
      <c r="J107" s="1464" t="s">
        <v>737</v>
      </c>
      <c r="K107" s="987">
        <f>SUM(L107:P107)</f>
        <v>0</v>
      </c>
      <c r="L107" s="988"/>
      <c r="M107" s="988"/>
      <c r="N107" s="988"/>
      <c r="O107" s="989"/>
      <c r="P107" s="990"/>
      <c r="R107" s="1464" t="s">
        <v>737</v>
      </c>
      <c r="S107" s="987">
        <f>SUM(T107:X107)</f>
        <v>0</v>
      </c>
      <c r="T107" s="988"/>
      <c r="U107" s="988"/>
      <c r="V107" s="988"/>
      <c r="W107" s="989"/>
      <c r="X107" s="990"/>
    </row>
    <row r="108" spans="2:24" s="982" customFormat="1" ht="15.75" customHeight="1">
      <c r="B108" s="1466" t="s">
        <v>239</v>
      </c>
      <c r="C108" s="987">
        <f>SUM(D108:H108)</f>
        <v>0</v>
      </c>
      <c r="D108" s="985"/>
      <c r="E108" s="985"/>
      <c r="F108" s="985"/>
      <c r="G108" s="980"/>
      <c r="H108" s="986"/>
      <c r="I108" s="984"/>
      <c r="J108" s="1466" t="s">
        <v>239</v>
      </c>
      <c r="K108" s="987">
        <f>SUM(L108:P108)</f>
        <v>0</v>
      </c>
      <c r="L108" s="985"/>
      <c r="M108" s="985"/>
      <c r="N108" s="985"/>
      <c r="O108" s="980"/>
      <c r="P108" s="986"/>
      <c r="R108" s="1466" t="s">
        <v>239</v>
      </c>
      <c r="S108" s="987">
        <f>SUM(T108:X108)</f>
        <v>0</v>
      </c>
      <c r="T108" s="985"/>
      <c r="U108" s="985"/>
      <c r="V108" s="985"/>
      <c r="W108" s="980"/>
      <c r="X108" s="986"/>
    </row>
    <row r="109" spans="2:24" s="982" customFormat="1" ht="15.75" customHeight="1">
      <c r="B109" s="1466" t="s">
        <v>245</v>
      </c>
      <c r="C109" s="987">
        <f>SUM(D109:H109)</f>
        <v>0</v>
      </c>
      <c r="D109" s="985"/>
      <c r="E109" s="985"/>
      <c r="F109" s="985"/>
      <c r="G109" s="980"/>
      <c r="H109" s="986"/>
      <c r="I109" s="984"/>
      <c r="J109" s="1466" t="s">
        <v>245</v>
      </c>
      <c r="K109" s="987">
        <f>SUM(L109:P109)</f>
        <v>0</v>
      </c>
      <c r="L109" s="985"/>
      <c r="M109" s="985"/>
      <c r="N109" s="985"/>
      <c r="O109" s="980"/>
      <c r="P109" s="986"/>
      <c r="R109" s="1466" t="s">
        <v>245</v>
      </c>
      <c r="S109" s="987">
        <f>SUM(T109:X109)</f>
        <v>0</v>
      </c>
      <c r="T109" s="985"/>
      <c r="U109" s="985"/>
      <c r="V109" s="985"/>
      <c r="W109" s="980"/>
      <c r="X109" s="986"/>
    </row>
    <row r="110" spans="2:24" s="982" customFormat="1" ht="15.75" customHeight="1">
      <c r="B110" s="1466" t="s">
        <v>497</v>
      </c>
      <c r="C110" s="987">
        <f>SUM(D110:H110)</f>
        <v>0</v>
      </c>
      <c r="D110" s="985"/>
      <c r="E110" s="985"/>
      <c r="F110" s="985"/>
      <c r="G110" s="980"/>
      <c r="H110" s="986"/>
      <c r="I110" s="984"/>
      <c r="J110" s="1466" t="s">
        <v>497</v>
      </c>
      <c r="K110" s="987">
        <f>SUM(L110:P110)</f>
        <v>0</v>
      </c>
      <c r="L110" s="985"/>
      <c r="M110" s="985"/>
      <c r="N110" s="985"/>
      <c r="O110" s="980"/>
      <c r="P110" s="986"/>
      <c r="R110" s="1466" t="s">
        <v>497</v>
      </c>
      <c r="S110" s="987">
        <f>SUM(T110:X110)</f>
        <v>0</v>
      </c>
      <c r="T110" s="985"/>
      <c r="U110" s="985"/>
      <c r="V110" s="985"/>
      <c r="W110" s="980"/>
      <c r="X110" s="986"/>
    </row>
    <row r="111" spans="2:24" s="982" customFormat="1" ht="15.75" customHeight="1" thickBot="1">
      <c r="B111" s="1472" t="s">
        <v>246</v>
      </c>
      <c r="C111" s="1473">
        <f t="shared" ref="C111:H111" si="18">SUM(C107:C110)</f>
        <v>0</v>
      </c>
      <c r="D111" s="1469">
        <f t="shared" si="18"/>
        <v>0</v>
      </c>
      <c r="E111" s="1469">
        <f t="shared" si="18"/>
        <v>0</v>
      </c>
      <c r="F111" s="1469">
        <f t="shared" si="18"/>
        <v>0</v>
      </c>
      <c r="G111" s="1469">
        <f t="shared" si="18"/>
        <v>0</v>
      </c>
      <c r="H111" s="1503">
        <f t="shared" si="18"/>
        <v>0</v>
      </c>
      <c r="I111" s="984"/>
      <c r="J111" s="1472" t="s">
        <v>246</v>
      </c>
      <c r="K111" s="1473">
        <f t="shared" ref="K111:P111" si="19">SUM(K107:K110)</f>
        <v>0</v>
      </c>
      <c r="L111" s="1469">
        <f t="shared" si="19"/>
        <v>0</v>
      </c>
      <c r="M111" s="1469">
        <f t="shared" si="19"/>
        <v>0</v>
      </c>
      <c r="N111" s="1469">
        <f t="shared" si="19"/>
        <v>0</v>
      </c>
      <c r="O111" s="1469">
        <f t="shared" si="19"/>
        <v>0</v>
      </c>
      <c r="P111" s="1503">
        <f t="shared" si="19"/>
        <v>0</v>
      </c>
      <c r="R111" s="1472" t="s">
        <v>246</v>
      </c>
      <c r="S111" s="1473">
        <f t="shared" ref="S111:X111" si="20">SUM(S107:S110)</f>
        <v>0</v>
      </c>
      <c r="T111" s="1469">
        <f t="shared" si="20"/>
        <v>0</v>
      </c>
      <c r="U111" s="1469">
        <f t="shared" si="20"/>
        <v>0</v>
      </c>
      <c r="V111" s="1469">
        <f t="shared" si="20"/>
        <v>0</v>
      </c>
      <c r="W111" s="1469">
        <f t="shared" si="20"/>
        <v>0</v>
      </c>
      <c r="X111" s="1503">
        <f t="shared" si="20"/>
        <v>0</v>
      </c>
    </row>
    <row r="112" spans="2:24" s="982" customFormat="1" ht="15.75" customHeight="1" thickBot="1">
      <c r="B112" s="1474"/>
      <c r="C112" s="1475"/>
      <c r="D112" s="1475"/>
      <c r="E112" s="1475"/>
      <c r="F112" s="1475"/>
      <c r="G112" s="1475"/>
      <c r="H112" s="1475"/>
      <c r="I112" s="984"/>
      <c r="J112" s="1474"/>
      <c r="K112" s="1475"/>
      <c r="L112" s="1475"/>
      <c r="M112" s="1475"/>
      <c r="N112" s="1475"/>
      <c r="O112" s="1475"/>
      <c r="P112" s="1475"/>
      <c r="R112" s="1474"/>
      <c r="S112" s="1475"/>
      <c r="T112" s="1475"/>
      <c r="U112" s="1475"/>
      <c r="V112" s="1475"/>
      <c r="W112" s="1475"/>
      <c r="X112" s="1475"/>
    </row>
    <row r="113" spans="2:24" s="982" customFormat="1" ht="15.75" customHeight="1">
      <c r="B113" s="1965" t="s">
        <v>815</v>
      </c>
      <c r="C113" s="1966"/>
      <c r="D113" s="1966"/>
      <c r="E113" s="1966"/>
      <c r="F113" s="1966"/>
      <c r="G113" s="1966"/>
      <c r="H113" s="1967"/>
      <c r="I113" s="1504"/>
      <c r="J113" s="1965" t="s">
        <v>816</v>
      </c>
      <c r="K113" s="1966"/>
      <c r="L113" s="1966"/>
      <c r="M113" s="1966"/>
      <c r="N113" s="1966"/>
      <c r="O113" s="1966"/>
      <c r="P113" s="1967"/>
      <c r="R113" s="1965" t="s">
        <v>117</v>
      </c>
      <c r="S113" s="1966"/>
      <c r="T113" s="1966"/>
      <c r="U113" s="1966"/>
      <c r="V113" s="1966"/>
      <c r="W113" s="1966"/>
      <c r="X113" s="1967"/>
    </row>
    <row r="114" spans="2:24" s="982" customFormat="1" ht="15.75" customHeight="1">
      <c r="B114" s="1973"/>
      <c r="C114" s="1968" t="s">
        <v>825</v>
      </c>
      <c r="D114" s="1014" t="s">
        <v>818</v>
      </c>
      <c r="E114" s="1015"/>
      <c r="F114" s="1015"/>
      <c r="G114" s="1015"/>
      <c r="H114" s="1016"/>
      <c r="J114" s="1973"/>
      <c r="K114" s="1968" t="s">
        <v>825</v>
      </c>
      <c r="L114" s="1011" t="s">
        <v>819</v>
      </c>
      <c r="M114" s="1012"/>
      <c r="N114" s="1012"/>
      <c r="O114" s="1012"/>
      <c r="P114" s="1013"/>
      <c r="R114" s="1973"/>
      <c r="S114" s="1968" t="s">
        <v>825</v>
      </c>
      <c r="T114" s="1975" t="s">
        <v>819</v>
      </c>
      <c r="U114" s="1976"/>
      <c r="V114" s="1976"/>
      <c r="W114" s="1976"/>
      <c r="X114" s="1977"/>
    </row>
    <row r="115" spans="2:24" s="982" customFormat="1" ht="42.75" customHeight="1">
      <c r="B115" s="1974"/>
      <c r="C115" s="1969"/>
      <c r="D115" s="1508" t="s">
        <v>833</v>
      </c>
      <c r="E115" s="1508" t="s">
        <v>822</v>
      </c>
      <c r="F115" s="1508" t="s">
        <v>652</v>
      </c>
      <c r="G115" s="1508" t="s">
        <v>834</v>
      </c>
      <c r="H115" s="1518" t="s">
        <v>824</v>
      </c>
      <c r="I115" s="984"/>
      <c r="J115" s="1974"/>
      <c r="K115" s="1969"/>
      <c r="L115" s="1508" t="s">
        <v>833</v>
      </c>
      <c r="M115" s="1508" t="s">
        <v>822</v>
      </c>
      <c r="N115" s="1508" t="s">
        <v>652</v>
      </c>
      <c r="O115" s="1508" t="s">
        <v>834</v>
      </c>
      <c r="P115" s="1518" t="s">
        <v>824</v>
      </c>
      <c r="R115" s="1974"/>
      <c r="S115" s="1969"/>
      <c r="T115" s="1508" t="s">
        <v>833</v>
      </c>
      <c r="U115" s="1508" t="s">
        <v>822</v>
      </c>
      <c r="V115" s="1508" t="s">
        <v>652</v>
      </c>
      <c r="W115" s="1508" t="s">
        <v>834</v>
      </c>
      <c r="X115" s="1518" t="s">
        <v>824</v>
      </c>
    </row>
    <row r="116" spans="2:24" s="982" customFormat="1" ht="15.75" customHeight="1">
      <c r="B116" s="1463" t="s">
        <v>737</v>
      </c>
      <c r="C116" s="988"/>
      <c r="D116" s="988"/>
      <c r="E116" s="988"/>
      <c r="F116" s="988"/>
      <c r="G116" s="993"/>
      <c r="H116" s="991"/>
      <c r="I116" s="984"/>
      <c r="J116" s="1464" t="s">
        <v>737</v>
      </c>
      <c r="K116" s="992"/>
      <c r="L116" s="988"/>
      <c r="M116" s="988"/>
      <c r="N116" s="988"/>
      <c r="O116" s="989"/>
      <c r="P116" s="993"/>
      <c r="R116" s="1464" t="s">
        <v>737</v>
      </c>
      <c r="S116" s="992"/>
      <c r="T116" s="988"/>
      <c r="U116" s="988"/>
      <c r="V116" s="988"/>
      <c r="W116" s="989"/>
      <c r="X116" s="993"/>
    </row>
    <row r="117" spans="2:24" s="982" customFormat="1" ht="15.75" customHeight="1">
      <c r="B117" s="1465" t="s">
        <v>239</v>
      </c>
      <c r="C117" s="985"/>
      <c r="D117" s="985"/>
      <c r="E117" s="985"/>
      <c r="F117" s="985"/>
      <c r="G117" s="996"/>
      <c r="H117" s="994"/>
      <c r="I117" s="984"/>
      <c r="J117" s="1466" t="s">
        <v>239</v>
      </c>
      <c r="K117" s="995"/>
      <c r="L117" s="985"/>
      <c r="M117" s="985"/>
      <c r="N117" s="985"/>
      <c r="O117" s="980"/>
      <c r="P117" s="996"/>
      <c r="R117" s="1466" t="s">
        <v>239</v>
      </c>
      <c r="S117" s="995"/>
      <c r="T117" s="985"/>
      <c r="U117" s="985"/>
      <c r="V117" s="985"/>
      <c r="W117" s="980"/>
      <c r="X117" s="996"/>
    </row>
    <row r="118" spans="2:24" s="982" customFormat="1" ht="15.75" customHeight="1">
      <c r="B118" s="1465" t="s">
        <v>245</v>
      </c>
      <c r="C118" s="985"/>
      <c r="D118" s="985"/>
      <c r="E118" s="985"/>
      <c r="F118" s="985"/>
      <c r="G118" s="996"/>
      <c r="H118" s="994"/>
      <c r="I118" s="984"/>
      <c r="J118" s="1466" t="s">
        <v>245</v>
      </c>
      <c r="K118" s="995"/>
      <c r="L118" s="985"/>
      <c r="M118" s="985"/>
      <c r="N118" s="985"/>
      <c r="O118" s="980"/>
      <c r="P118" s="996"/>
      <c r="R118" s="1466" t="s">
        <v>245</v>
      </c>
      <c r="S118" s="995"/>
      <c r="T118" s="985"/>
      <c r="U118" s="985"/>
      <c r="V118" s="985"/>
      <c r="W118" s="980"/>
      <c r="X118" s="996"/>
    </row>
    <row r="119" spans="2:24" s="982" customFormat="1" ht="15.75" customHeight="1">
      <c r="B119" s="1465" t="s">
        <v>497</v>
      </c>
      <c r="C119" s="985"/>
      <c r="D119" s="985"/>
      <c r="E119" s="985"/>
      <c r="F119" s="985"/>
      <c r="G119" s="996"/>
      <c r="H119" s="994"/>
      <c r="I119" s="984"/>
      <c r="J119" s="1466" t="s">
        <v>497</v>
      </c>
      <c r="K119" s="995"/>
      <c r="L119" s="985"/>
      <c r="M119" s="985"/>
      <c r="N119" s="985"/>
      <c r="O119" s="980"/>
      <c r="P119" s="996"/>
      <c r="R119" s="1466" t="s">
        <v>497</v>
      </c>
      <c r="S119" s="995"/>
      <c r="T119" s="985"/>
      <c r="U119" s="985"/>
      <c r="V119" s="985"/>
      <c r="W119" s="980"/>
      <c r="X119" s="996"/>
    </row>
    <row r="120" spans="2:24" s="982" customFormat="1" ht="15.75" customHeight="1" thickBot="1">
      <c r="B120" s="1467" t="s">
        <v>246</v>
      </c>
      <c r="C120" s="1468">
        <f>SUM(C116:C119)</f>
        <v>0</v>
      </c>
      <c r="D120" s="1469">
        <f>SUM(D116:D119)</f>
        <v>0</v>
      </c>
      <c r="E120" s="1469">
        <f>SUM(E116:E119)</f>
        <v>0</v>
      </c>
      <c r="F120" s="1469">
        <f>SUM(F116:F119)</f>
        <v>0</v>
      </c>
      <c r="G120" s="1470"/>
      <c r="H120" s="1471">
        <f>SUM(H116:H119)</f>
        <v>0</v>
      </c>
      <c r="I120" s="984"/>
      <c r="J120" s="1472" t="s">
        <v>246</v>
      </c>
      <c r="K120" s="1473">
        <f t="shared" ref="K120:P120" si="21">SUM(K116:K119)</f>
        <v>0</v>
      </c>
      <c r="L120" s="1469">
        <f t="shared" si="21"/>
        <v>0</v>
      </c>
      <c r="M120" s="1469">
        <f t="shared" si="21"/>
        <v>0</v>
      </c>
      <c r="N120" s="1469">
        <f t="shared" si="21"/>
        <v>0</v>
      </c>
      <c r="O120" s="1469">
        <f t="shared" si="21"/>
        <v>0</v>
      </c>
      <c r="P120" s="1471">
        <f t="shared" si="21"/>
        <v>0</v>
      </c>
      <c r="R120" s="1472" t="s">
        <v>246</v>
      </c>
      <c r="S120" s="1473">
        <f t="shared" ref="S120:X120" si="22">SUM(S116:S119)</f>
        <v>0</v>
      </c>
      <c r="T120" s="1469">
        <f t="shared" si="22"/>
        <v>0</v>
      </c>
      <c r="U120" s="1469">
        <f t="shared" si="22"/>
        <v>0</v>
      </c>
      <c r="V120" s="1469">
        <f t="shared" si="22"/>
        <v>0</v>
      </c>
      <c r="W120" s="1469">
        <f t="shared" si="22"/>
        <v>0</v>
      </c>
      <c r="X120" s="1471">
        <f t="shared" si="22"/>
        <v>0</v>
      </c>
    </row>
    <row r="121" spans="2:24" s="982" customFormat="1" ht="15.75" customHeight="1" thickBot="1">
      <c r="B121" s="1474"/>
      <c r="C121" s="1475"/>
      <c r="D121" s="1475"/>
      <c r="E121" s="1475"/>
      <c r="F121" s="1475"/>
      <c r="G121" s="1475"/>
      <c r="H121" s="1475"/>
      <c r="I121" s="984"/>
      <c r="J121" s="1474"/>
      <c r="K121" s="1475"/>
      <c r="L121" s="1475"/>
      <c r="M121" s="1475"/>
      <c r="N121" s="1475"/>
      <c r="O121" s="1475"/>
      <c r="P121" s="1475"/>
      <c r="R121" s="1474"/>
      <c r="S121" s="1475"/>
      <c r="T121" s="1475"/>
      <c r="U121" s="1475"/>
      <c r="V121" s="1475"/>
      <c r="W121" s="1475"/>
      <c r="X121" s="1475"/>
    </row>
    <row r="122" spans="2:24" s="982" customFormat="1" ht="15.75" customHeight="1">
      <c r="B122" s="1965" t="s">
        <v>815</v>
      </c>
      <c r="C122" s="1966"/>
      <c r="D122" s="1966"/>
      <c r="E122" s="1966"/>
      <c r="F122" s="1966"/>
      <c r="G122" s="1966"/>
      <c r="H122" s="1967"/>
      <c r="J122" s="1965" t="s">
        <v>816</v>
      </c>
      <c r="K122" s="1966"/>
      <c r="L122" s="1966"/>
      <c r="M122" s="1966"/>
      <c r="N122" s="1966"/>
      <c r="O122" s="1966"/>
      <c r="P122" s="1967"/>
      <c r="R122" s="1965" t="s">
        <v>117</v>
      </c>
      <c r="S122" s="1966"/>
      <c r="T122" s="1966"/>
      <c r="U122" s="1966"/>
      <c r="V122" s="1966"/>
      <c r="W122" s="1966"/>
      <c r="X122" s="1967"/>
    </row>
    <row r="123" spans="2:24" s="982" customFormat="1" ht="15.75" customHeight="1">
      <c r="B123" s="1973"/>
      <c r="C123" s="1968" t="s">
        <v>826</v>
      </c>
      <c r="D123" s="1011" t="s">
        <v>827</v>
      </c>
      <c r="E123" s="1012"/>
      <c r="F123" s="1012"/>
      <c r="G123" s="1012"/>
      <c r="H123" s="1013"/>
      <c r="J123" s="1973"/>
      <c r="K123" s="1978" t="s">
        <v>826</v>
      </c>
      <c r="L123" s="1014" t="s">
        <v>828</v>
      </c>
      <c r="M123" s="1015"/>
      <c r="N123" s="1015"/>
      <c r="O123" s="1015"/>
      <c r="P123" s="1016"/>
      <c r="R123" s="1973"/>
      <c r="S123" s="1968" t="s">
        <v>826</v>
      </c>
      <c r="T123" s="1975" t="s">
        <v>828</v>
      </c>
      <c r="U123" s="1976"/>
      <c r="V123" s="1976"/>
      <c r="W123" s="1976"/>
      <c r="X123" s="1977"/>
    </row>
    <row r="124" spans="2:24" s="982" customFormat="1" ht="39.75" customHeight="1">
      <c r="B124" s="1974"/>
      <c r="C124" s="1969"/>
      <c r="D124" s="1508" t="s">
        <v>833</v>
      </c>
      <c r="E124" s="1508" t="s">
        <v>822</v>
      </c>
      <c r="F124" s="1508" t="s">
        <v>652</v>
      </c>
      <c r="G124" s="1508" t="s">
        <v>834</v>
      </c>
      <c r="H124" s="1518" t="s">
        <v>824</v>
      </c>
      <c r="J124" s="1974"/>
      <c r="K124" s="1969"/>
      <c r="L124" s="1508" t="s">
        <v>833</v>
      </c>
      <c r="M124" s="1508" t="s">
        <v>822</v>
      </c>
      <c r="N124" s="1508" t="s">
        <v>652</v>
      </c>
      <c r="O124" s="1508" t="s">
        <v>834</v>
      </c>
      <c r="P124" s="1518" t="s">
        <v>824</v>
      </c>
      <c r="R124" s="1974"/>
      <c r="S124" s="1969"/>
      <c r="T124" s="1508" t="s">
        <v>833</v>
      </c>
      <c r="U124" s="1508" t="s">
        <v>822</v>
      </c>
      <c r="V124" s="1508" t="s">
        <v>652</v>
      </c>
      <c r="W124" s="1508" t="s">
        <v>834</v>
      </c>
      <c r="X124" s="1518" t="s">
        <v>824</v>
      </c>
    </row>
    <row r="125" spans="2:24" s="982" customFormat="1" ht="15.75" customHeight="1">
      <c r="B125" s="1464" t="s">
        <v>737</v>
      </c>
      <c r="C125" s="997">
        <f>SUM(D42:F42)</f>
        <v>0</v>
      </c>
      <c r="D125" s="998"/>
      <c r="E125" s="998"/>
      <c r="F125" s="998"/>
      <c r="G125" s="993"/>
      <c r="H125" s="1001"/>
      <c r="J125" s="1464" t="s">
        <v>737</v>
      </c>
      <c r="K125" s="997">
        <f>SUM(G42:H42)</f>
        <v>0</v>
      </c>
      <c r="L125" s="998"/>
      <c r="M125" s="998"/>
      <c r="N125" s="998"/>
      <c r="O125" s="993"/>
      <c r="P125" s="1001"/>
      <c r="R125" s="1464" t="s">
        <v>737</v>
      </c>
      <c r="S125" s="997">
        <f>SUM(I42:M42)</f>
        <v>0</v>
      </c>
      <c r="T125" s="998"/>
      <c r="U125" s="998"/>
      <c r="V125" s="998"/>
      <c r="W125" s="993"/>
      <c r="X125" s="1001"/>
    </row>
    <row r="126" spans="2:24" s="982" customFormat="1" ht="15.75" customHeight="1">
      <c r="B126" s="1466" t="s">
        <v>239</v>
      </c>
      <c r="C126" s="997">
        <f>SUM(D43:F43)</f>
        <v>0</v>
      </c>
      <c r="D126" s="965"/>
      <c r="E126" s="965"/>
      <c r="F126" s="965"/>
      <c r="G126" s="996"/>
      <c r="H126" s="999"/>
      <c r="J126" s="1466" t="s">
        <v>239</v>
      </c>
      <c r="K126" s="997">
        <f>SUM(G43:H43)</f>
        <v>0</v>
      </c>
      <c r="L126" s="965"/>
      <c r="M126" s="965"/>
      <c r="N126" s="965"/>
      <c r="O126" s="996"/>
      <c r="P126" s="999"/>
      <c r="R126" s="1466" t="s">
        <v>239</v>
      </c>
      <c r="S126" s="997">
        <f>SUM(I43:M43)</f>
        <v>0</v>
      </c>
      <c r="T126" s="965"/>
      <c r="U126" s="965"/>
      <c r="V126" s="965"/>
      <c r="W126" s="996"/>
      <c r="X126" s="999"/>
    </row>
    <row r="127" spans="2:24" s="982" customFormat="1" ht="15.75" customHeight="1">
      <c r="B127" s="1466" t="s">
        <v>245</v>
      </c>
      <c r="C127" s="997">
        <f>SUM(D44:F44)</f>
        <v>0</v>
      </c>
      <c r="D127" s="965"/>
      <c r="E127" s="965"/>
      <c r="F127" s="965"/>
      <c r="G127" s="996"/>
      <c r="H127" s="999"/>
      <c r="J127" s="1466" t="s">
        <v>245</v>
      </c>
      <c r="K127" s="997">
        <f>SUM(G44:H44)</f>
        <v>0</v>
      </c>
      <c r="L127" s="965"/>
      <c r="M127" s="965"/>
      <c r="N127" s="965"/>
      <c r="O127" s="996"/>
      <c r="P127" s="999"/>
      <c r="R127" s="1466" t="s">
        <v>245</v>
      </c>
      <c r="S127" s="997">
        <f>SUM(I44:M44)</f>
        <v>0</v>
      </c>
      <c r="T127" s="965"/>
      <c r="U127" s="965"/>
      <c r="V127" s="965"/>
      <c r="W127" s="996"/>
      <c r="X127" s="999"/>
    </row>
    <row r="128" spans="2:24" s="982" customFormat="1" ht="15.75" customHeight="1">
      <c r="B128" s="1466" t="s">
        <v>497</v>
      </c>
      <c r="C128" s="997">
        <f>SUM(D45:F45)</f>
        <v>0</v>
      </c>
      <c r="D128" s="965"/>
      <c r="E128" s="965"/>
      <c r="F128" s="965"/>
      <c r="G128" s="996"/>
      <c r="H128" s="999"/>
      <c r="J128" s="1466" t="s">
        <v>497</v>
      </c>
      <c r="K128" s="997">
        <f>SUM(G45:H45)</f>
        <v>0</v>
      </c>
      <c r="L128" s="965"/>
      <c r="M128" s="965"/>
      <c r="N128" s="965"/>
      <c r="O128" s="996"/>
      <c r="P128" s="999"/>
      <c r="R128" s="1466" t="s">
        <v>497</v>
      </c>
      <c r="S128" s="997">
        <f>SUM(I45:M45)</f>
        <v>0</v>
      </c>
      <c r="T128" s="965"/>
      <c r="U128" s="965"/>
      <c r="V128" s="965"/>
      <c r="W128" s="996"/>
      <c r="X128" s="999"/>
    </row>
    <row r="129" spans="2:24" s="982" customFormat="1" ht="15.75" customHeight="1" thickBot="1">
      <c r="B129" s="1472" t="s">
        <v>246</v>
      </c>
      <c r="C129" s="1476">
        <f>SUM(C125:C128)</f>
        <v>0</v>
      </c>
      <c r="D129" s="1477">
        <f>SUM(D125:D128)</f>
        <v>0</v>
      </c>
      <c r="E129" s="1477">
        <f>SUM(E125:E128)</f>
        <v>0</v>
      </c>
      <c r="F129" s="1477">
        <f>SUM(F125:F128)</f>
        <v>0</v>
      </c>
      <c r="G129" s="1470"/>
      <c r="H129" s="1471">
        <f>SUM(H125:H128)</f>
        <v>0</v>
      </c>
      <c r="J129" s="1472" t="s">
        <v>246</v>
      </c>
      <c r="K129" s="1476">
        <f>SUM(K125:K128)</f>
        <v>0</v>
      </c>
      <c r="L129" s="1477">
        <f>SUM(L125:L128)</f>
        <v>0</v>
      </c>
      <c r="M129" s="1477">
        <f>SUM(M125:M128)</f>
        <v>0</v>
      </c>
      <c r="N129" s="1477">
        <f>SUM(N125:N128)</f>
        <v>0</v>
      </c>
      <c r="O129" s="1470"/>
      <c r="P129" s="1471">
        <f>SUM(P125:P128)</f>
        <v>0</v>
      </c>
      <c r="R129" s="1472" t="s">
        <v>246</v>
      </c>
      <c r="S129" s="1476">
        <f>SUM(S125:S128)</f>
        <v>0</v>
      </c>
      <c r="T129" s="1477">
        <f>SUM(T125:T128)</f>
        <v>0</v>
      </c>
      <c r="U129" s="1477">
        <f>SUM(U125:U128)</f>
        <v>0</v>
      </c>
      <c r="V129" s="1477">
        <f>SUM(V125:V128)</f>
        <v>0</v>
      </c>
      <c r="W129" s="1470"/>
      <c r="X129" s="1471">
        <f>SUM(X125:X128)</f>
        <v>0</v>
      </c>
    </row>
    <row r="130" spans="2:24" s="982" customFormat="1" ht="15.75" customHeight="1" thickBot="1"/>
    <row r="131" spans="2:24" s="982" customFormat="1" ht="15.75" customHeight="1">
      <c r="B131" s="1965" t="s">
        <v>815</v>
      </c>
      <c r="C131" s="1966"/>
      <c r="D131" s="1966"/>
      <c r="E131" s="1966"/>
      <c r="F131" s="1966"/>
      <c r="G131" s="1966"/>
      <c r="H131" s="1967"/>
      <c r="J131" s="1965" t="s">
        <v>816</v>
      </c>
      <c r="K131" s="1966"/>
      <c r="L131" s="1966"/>
      <c r="M131" s="1966"/>
      <c r="N131" s="1966"/>
      <c r="O131" s="1966"/>
      <c r="P131" s="1967"/>
      <c r="R131" s="1965" t="s">
        <v>117</v>
      </c>
      <c r="S131" s="1966"/>
      <c r="T131" s="1966"/>
      <c r="U131" s="1966"/>
      <c r="V131" s="1966"/>
      <c r="W131" s="1966"/>
      <c r="X131" s="1967"/>
    </row>
    <row r="132" spans="2:24" s="982" customFormat="1" ht="15.75" customHeight="1">
      <c r="B132" s="1973"/>
      <c r="C132" s="1968" t="s">
        <v>829</v>
      </c>
      <c r="D132" s="1011" t="s">
        <v>830</v>
      </c>
      <c r="E132" s="1012"/>
      <c r="F132" s="1012"/>
      <c r="G132" s="1012"/>
      <c r="H132" s="1013"/>
      <c r="J132" s="1973"/>
      <c r="K132" s="1968" t="s">
        <v>829</v>
      </c>
      <c r="L132" s="1011" t="s">
        <v>831</v>
      </c>
      <c r="M132" s="1012"/>
      <c r="N132" s="1012"/>
      <c r="O132" s="1012"/>
      <c r="P132" s="1013"/>
      <c r="R132" s="1973"/>
      <c r="S132" s="1968" t="s">
        <v>829</v>
      </c>
      <c r="T132" s="1975" t="s">
        <v>831</v>
      </c>
      <c r="U132" s="1976"/>
      <c r="V132" s="1976"/>
      <c r="W132" s="1976"/>
      <c r="X132" s="1977"/>
    </row>
    <row r="133" spans="2:24" s="982" customFormat="1" ht="40.5" customHeight="1">
      <c r="B133" s="1974"/>
      <c r="C133" s="1986"/>
      <c r="D133" s="1508" t="s">
        <v>833</v>
      </c>
      <c r="E133" s="1508" t="s">
        <v>822</v>
      </c>
      <c r="F133" s="1508" t="s">
        <v>652</v>
      </c>
      <c r="G133" s="1508" t="s">
        <v>834</v>
      </c>
      <c r="H133" s="1518" t="s">
        <v>824</v>
      </c>
      <c r="J133" s="1974"/>
      <c r="K133" s="1969"/>
      <c r="L133" s="1508" t="s">
        <v>833</v>
      </c>
      <c r="M133" s="1508" t="s">
        <v>822</v>
      </c>
      <c r="N133" s="1508" t="s">
        <v>652</v>
      </c>
      <c r="O133" s="1508" t="s">
        <v>834</v>
      </c>
      <c r="P133" s="1518" t="s">
        <v>824</v>
      </c>
      <c r="R133" s="1974"/>
      <c r="S133" s="1969"/>
      <c r="T133" s="1508" t="s">
        <v>833</v>
      </c>
      <c r="U133" s="1508" t="s">
        <v>822</v>
      </c>
      <c r="V133" s="1508" t="s">
        <v>652</v>
      </c>
      <c r="W133" s="1508" t="s">
        <v>834</v>
      </c>
      <c r="X133" s="1518" t="s">
        <v>824</v>
      </c>
    </row>
    <row r="134" spans="2:24" s="982" customFormat="1" ht="15.75" customHeight="1">
      <c r="B134" s="1464" t="s">
        <v>737</v>
      </c>
      <c r="C134" s="997">
        <f t="shared" ref="C134:F137" si="23">IF(C116&gt;0,C125*1000/C116,0)</f>
        <v>0</v>
      </c>
      <c r="D134" s="1002">
        <f t="shared" si="23"/>
        <v>0</v>
      </c>
      <c r="E134" s="1002">
        <f t="shared" si="23"/>
        <v>0</v>
      </c>
      <c r="F134" s="1002">
        <f t="shared" si="23"/>
        <v>0</v>
      </c>
      <c r="G134" s="991"/>
      <c r="H134" s="1001"/>
      <c r="J134" s="1464" t="s">
        <v>737</v>
      </c>
      <c r="K134" s="997">
        <f t="shared" ref="K134:N137" si="24">IF(K116&gt;0,K125*1000/K116,0)</f>
        <v>0</v>
      </c>
      <c r="L134" s="1002"/>
      <c r="M134" s="1002"/>
      <c r="N134" s="1002">
        <f t="shared" si="24"/>
        <v>0</v>
      </c>
      <c r="O134" s="991"/>
      <c r="P134" s="1001"/>
      <c r="R134" s="1464" t="s">
        <v>737</v>
      </c>
      <c r="S134" s="997">
        <f t="shared" ref="S134:V137" si="25">IF(S116&gt;0,S125*1000/S116,0)</f>
        <v>0</v>
      </c>
      <c r="T134" s="1002">
        <f t="shared" si="25"/>
        <v>0</v>
      </c>
      <c r="U134" s="1002">
        <f t="shared" si="25"/>
        <v>0</v>
      </c>
      <c r="V134" s="1002">
        <f t="shared" si="25"/>
        <v>0</v>
      </c>
      <c r="W134" s="991"/>
      <c r="X134" s="1001"/>
    </row>
    <row r="135" spans="2:24" s="982" customFormat="1" ht="15.75" customHeight="1">
      <c r="B135" s="1466" t="s">
        <v>239</v>
      </c>
      <c r="C135" s="1004">
        <f t="shared" si="23"/>
        <v>0</v>
      </c>
      <c r="D135" s="1005">
        <f t="shared" si="23"/>
        <v>0</v>
      </c>
      <c r="E135" s="1005">
        <f t="shared" si="23"/>
        <v>0</v>
      </c>
      <c r="F135" s="1005">
        <f t="shared" si="23"/>
        <v>0</v>
      </c>
      <c r="G135" s="994"/>
      <c r="H135" s="999"/>
      <c r="J135" s="1466" t="s">
        <v>239</v>
      </c>
      <c r="K135" s="1004">
        <f t="shared" si="24"/>
        <v>0</v>
      </c>
      <c r="L135" s="1005">
        <f t="shared" si="24"/>
        <v>0</v>
      </c>
      <c r="M135" s="1005">
        <f t="shared" si="24"/>
        <v>0</v>
      </c>
      <c r="N135" s="1005">
        <f t="shared" si="24"/>
        <v>0</v>
      </c>
      <c r="O135" s="994"/>
      <c r="P135" s="999"/>
      <c r="R135" s="1466" t="s">
        <v>239</v>
      </c>
      <c r="S135" s="1004">
        <f t="shared" si="25"/>
        <v>0</v>
      </c>
      <c r="T135" s="1005">
        <f t="shared" si="25"/>
        <v>0</v>
      </c>
      <c r="U135" s="1005">
        <f t="shared" si="25"/>
        <v>0</v>
      </c>
      <c r="V135" s="1005">
        <f t="shared" si="25"/>
        <v>0</v>
      </c>
      <c r="W135" s="994"/>
      <c r="X135" s="999"/>
    </row>
    <row r="136" spans="2:24" s="982" customFormat="1" ht="15.75" customHeight="1">
      <c r="B136" s="1466" t="s">
        <v>245</v>
      </c>
      <c r="C136" s="1004">
        <f t="shared" si="23"/>
        <v>0</v>
      </c>
      <c r="D136" s="1005">
        <f t="shared" si="23"/>
        <v>0</v>
      </c>
      <c r="E136" s="1005">
        <f t="shared" si="23"/>
        <v>0</v>
      </c>
      <c r="F136" s="1005">
        <f t="shared" si="23"/>
        <v>0</v>
      </c>
      <c r="G136" s="994"/>
      <c r="H136" s="999"/>
      <c r="J136" s="1466" t="s">
        <v>245</v>
      </c>
      <c r="K136" s="1004">
        <f t="shared" si="24"/>
        <v>0</v>
      </c>
      <c r="L136" s="1005">
        <f t="shared" si="24"/>
        <v>0</v>
      </c>
      <c r="M136" s="1005">
        <f t="shared" si="24"/>
        <v>0</v>
      </c>
      <c r="N136" s="1005">
        <f t="shared" si="24"/>
        <v>0</v>
      </c>
      <c r="O136" s="994"/>
      <c r="P136" s="999"/>
      <c r="R136" s="1466" t="s">
        <v>245</v>
      </c>
      <c r="S136" s="1004">
        <f t="shared" si="25"/>
        <v>0</v>
      </c>
      <c r="T136" s="1005">
        <f t="shared" si="25"/>
        <v>0</v>
      </c>
      <c r="U136" s="1005">
        <f t="shared" si="25"/>
        <v>0</v>
      </c>
      <c r="V136" s="1005">
        <f t="shared" si="25"/>
        <v>0</v>
      </c>
      <c r="W136" s="994"/>
      <c r="X136" s="999"/>
    </row>
    <row r="137" spans="2:24" s="982" customFormat="1" ht="15.75" customHeight="1" thickBot="1">
      <c r="B137" s="1478" t="s">
        <v>497</v>
      </c>
      <c r="C137" s="1006">
        <f t="shared" si="23"/>
        <v>0</v>
      </c>
      <c r="D137" s="1007">
        <f t="shared" si="23"/>
        <v>0</v>
      </c>
      <c r="E137" s="1007">
        <f t="shared" si="23"/>
        <v>0</v>
      </c>
      <c r="F137" s="1007">
        <f t="shared" si="23"/>
        <v>0</v>
      </c>
      <c r="G137" s="1017"/>
      <c r="H137" s="1008"/>
      <c r="J137" s="1478" t="s">
        <v>497</v>
      </c>
      <c r="K137" s="1006">
        <f t="shared" si="24"/>
        <v>0</v>
      </c>
      <c r="L137" s="1007">
        <f t="shared" si="24"/>
        <v>0</v>
      </c>
      <c r="M137" s="1007">
        <f t="shared" si="24"/>
        <v>0</v>
      </c>
      <c r="N137" s="1007">
        <f t="shared" si="24"/>
        <v>0</v>
      </c>
      <c r="O137" s="1017"/>
      <c r="P137" s="1008"/>
      <c r="R137" s="1478" t="s">
        <v>497</v>
      </c>
      <c r="S137" s="1006">
        <f t="shared" si="25"/>
        <v>0</v>
      </c>
      <c r="T137" s="1007">
        <f t="shared" si="25"/>
        <v>0</v>
      </c>
      <c r="U137" s="1007">
        <f t="shared" si="25"/>
        <v>0</v>
      </c>
      <c r="V137" s="1007">
        <f t="shared" si="25"/>
        <v>0</v>
      </c>
      <c r="W137" s="1017"/>
      <c r="X137" s="1008"/>
    </row>
  </sheetData>
  <sheetProtection insertRows="0"/>
  <mergeCells count="86">
    <mergeCell ref="T123:X123"/>
    <mergeCell ref="T132:X132"/>
    <mergeCell ref="R132:R133"/>
    <mergeCell ref="R123:R124"/>
    <mergeCell ref="R114:R115"/>
    <mergeCell ref="B76:H76"/>
    <mergeCell ref="J76:P76"/>
    <mergeCell ref="C77:C78"/>
    <mergeCell ref="K77:K78"/>
    <mergeCell ref="R76:X76"/>
    <mergeCell ref="S77:S78"/>
    <mergeCell ref="B77:B78"/>
    <mergeCell ref="J77:J78"/>
    <mergeCell ref="D77:H77"/>
    <mergeCell ref="R77:R78"/>
    <mergeCell ref="T77:X77"/>
    <mergeCell ref="B7:C8"/>
    <mergeCell ref="B31:C32"/>
    <mergeCell ref="B40:C41"/>
    <mergeCell ref="B59:B60"/>
    <mergeCell ref="B68:B69"/>
    <mergeCell ref="B58:H58"/>
    <mergeCell ref="C132:C133"/>
    <mergeCell ref="K132:K133"/>
    <mergeCell ref="S132:S133"/>
    <mergeCell ref="B122:H122"/>
    <mergeCell ref="J122:P122"/>
    <mergeCell ref="R122:X122"/>
    <mergeCell ref="C123:C124"/>
    <mergeCell ref="K123:K124"/>
    <mergeCell ref="S123:S124"/>
    <mergeCell ref="B131:H131"/>
    <mergeCell ref="J131:P131"/>
    <mergeCell ref="R131:X131"/>
    <mergeCell ref="B123:B124"/>
    <mergeCell ref="B132:B133"/>
    <mergeCell ref="J132:J133"/>
    <mergeCell ref="J123:J124"/>
    <mergeCell ref="K114:K115"/>
    <mergeCell ref="S114:S115"/>
    <mergeCell ref="C114:C115"/>
    <mergeCell ref="B113:H113"/>
    <mergeCell ref="J113:P113"/>
    <mergeCell ref="R113:X113"/>
    <mergeCell ref="B114:B115"/>
    <mergeCell ref="J114:J115"/>
    <mergeCell ref="T114:X114"/>
    <mergeCell ref="B104:H104"/>
    <mergeCell ref="J104:P104"/>
    <mergeCell ref="R104:X104"/>
    <mergeCell ref="C105:C106"/>
    <mergeCell ref="D105:H105"/>
    <mergeCell ref="K105:K106"/>
    <mergeCell ref="S105:S106"/>
    <mergeCell ref="B105:B106"/>
    <mergeCell ref="J105:J106"/>
    <mergeCell ref="T105:X105"/>
    <mergeCell ref="R105:R106"/>
    <mergeCell ref="J67:P67"/>
    <mergeCell ref="R67:X67"/>
    <mergeCell ref="S68:S69"/>
    <mergeCell ref="B67:H67"/>
    <mergeCell ref="C68:C69"/>
    <mergeCell ref="K68:K69"/>
    <mergeCell ref="J68:J69"/>
    <mergeCell ref="D68:H68"/>
    <mergeCell ref="R68:R69"/>
    <mergeCell ref="T68:X68"/>
    <mergeCell ref="B85:H85"/>
    <mergeCell ref="J85:P85"/>
    <mergeCell ref="R85:X85"/>
    <mergeCell ref="C86:C87"/>
    <mergeCell ref="K86:K87"/>
    <mergeCell ref="S86:S87"/>
    <mergeCell ref="B86:B87"/>
    <mergeCell ref="J86:J87"/>
    <mergeCell ref="D86:H86"/>
    <mergeCell ref="T86:X86"/>
    <mergeCell ref="R86:R87"/>
    <mergeCell ref="J58:P58"/>
    <mergeCell ref="R58:X58"/>
    <mergeCell ref="S59:S60"/>
    <mergeCell ref="D59:H59"/>
    <mergeCell ref="L59:P59"/>
    <mergeCell ref="R59:R60"/>
    <mergeCell ref="T59:X59"/>
  </mergeCells>
  <phoneticPr fontId="47" type="noConversion"/>
  <dataValidations count="1">
    <dataValidation type="decimal" operator="greaterThanOrEqual" showInputMessage="1" showErrorMessage="1" sqref="D18:M24 D14:M16 D33:M36 D42:M45 D10:M12">
      <formula1>0</formula1>
    </dataValidation>
  </dataValidations>
  <pageMargins left="0.70866141732283472" right="0.70866141732283472" top="0.74803149606299213" bottom="0.74803149606299213" header="0.31496062992125984" footer="0.31496062992125984"/>
  <pageSetup paperSize="9" scale="20" orientation="landscape" r:id="rId1"/>
  <headerFooter alignWithMargins="0">
    <oddHeader>&amp;R&amp;A</oddHeader>
    <oddFooter>&amp;L&amp;Z&amp;F&amp;R&amp;D&amp;T</oddFooter>
  </headerFooter>
  <rowBreaks count="1" manualBreakCount="1">
    <brk id="93" max="23" man="1"/>
  </row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C1DFFF"/>
  </sheetPr>
  <dimension ref="A1:K155"/>
  <sheetViews>
    <sheetView topLeftCell="A121" zoomScale="90" workbookViewId="0">
      <selection activeCell="G10" sqref="G10:J155"/>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510" t="s">
        <v>858</v>
      </c>
      <c r="F1" s="253" t="s">
        <v>216</v>
      </c>
    </row>
    <row r="2" spans="1:11">
      <c r="A2" s="510"/>
    </row>
    <row r="3" spans="1:11">
      <c r="A3" s="510" t="s">
        <v>485</v>
      </c>
    </row>
    <row r="4" spans="1:11">
      <c r="A4" s="510"/>
    </row>
    <row r="6" spans="1:11" ht="13.5" thickBot="1"/>
    <row r="7" spans="1:11" ht="15" customHeight="1">
      <c r="B7" s="1994" t="s">
        <v>641</v>
      </c>
      <c r="C7" s="1995"/>
      <c r="D7" s="1995"/>
      <c r="E7" s="1996"/>
      <c r="F7" s="2003" t="s">
        <v>31</v>
      </c>
      <c r="G7" s="589" t="s">
        <v>642</v>
      </c>
      <c r="H7" s="380"/>
      <c r="I7" s="589" t="s">
        <v>643</v>
      </c>
      <c r="J7" s="380"/>
    </row>
    <row r="8" spans="1:11" ht="50.25" customHeight="1">
      <c r="B8" s="1997"/>
      <c r="C8" s="1998"/>
      <c r="D8" s="1998"/>
      <c r="E8" s="1999"/>
      <c r="F8" s="2004"/>
      <c r="G8" s="590" t="s">
        <v>644</v>
      </c>
      <c r="H8" s="591" t="s">
        <v>654</v>
      </c>
      <c r="I8" s="590" t="s">
        <v>644</v>
      </c>
      <c r="J8" s="591" t="s">
        <v>654</v>
      </c>
    </row>
    <row r="9" spans="1:11" ht="15" customHeight="1" thickBot="1">
      <c r="B9" s="2000"/>
      <c r="C9" s="2001"/>
      <c r="D9" s="2001"/>
      <c r="E9" s="2002"/>
      <c r="F9" s="2005"/>
      <c r="G9" s="594" t="s">
        <v>655</v>
      </c>
      <c r="H9" s="595" t="s">
        <v>655</v>
      </c>
      <c r="I9" s="594" t="s">
        <v>655</v>
      </c>
      <c r="J9" s="595" t="s">
        <v>655</v>
      </c>
    </row>
    <row r="10" spans="1:11" ht="15" customHeight="1">
      <c r="B10" s="596"/>
      <c r="C10" s="597" t="s">
        <v>465</v>
      </c>
      <c r="D10" s="597"/>
      <c r="E10" s="598"/>
      <c r="F10" s="599"/>
      <c r="G10" s="600"/>
      <c r="H10" s="601"/>
      <c r="I10" s="600"/>
      <c r="J10" s="601"/>
    </row>
    <row r="11" spans="1:11" ht="15" customHeight="1">
      <c r="B11" s="596"/>
      <c r="C11" s="598"/>
      <c r="D11" s="602" t="s">
        <v>225</v>
      </c>
      <c r="E11" s="598"/>
      <c r="F11" s="603"/>
      <c r="G11" s="604"/>
      <c r="H11" s="605"/>
      <c r="I11" s="604"/>
      <c r="J11" s="605"/>
    </row>
    <row r="12" spans="1:11" ht="15" customHeight="1">
      <c r="B12" s="606"/>
      <c r="C12" s="598"/>
      <c r="D12" s="598"/>
      <c r="E12" s="598" t="s">
        <v>466</v>
      </c>
      <c r="F12" s="607" t="s">
        <v>177</v>
      </c>
      <c r="G12" s="381"/>
      <c r="H12" s="382"/>
      <c r="I12" s="381">
        <v>14.06</v>
      </c>
      <c r="J12" s="382">
        <v>19.440000000000001</v>
      </c>
      <c r="K12" s="1094"/>
    </row>
    <row r="13" spans="1:11" ht="15" customHeight="1">
      <c r="B13" s="606"/>
      <c r="C13" s="598"/>
      <c r="D13" s="598"/>
      <c r="E13" s="598" t="s">
        <v>467</v>
      </c>
      <c r="F13" s="607" t="s">
        <v>744</v>
      </c>
      <c r="G13" s="381"/>
      <c r="H13" s="382"/>
      <c r="I13" s="381">
        <v>0.2</v>
      </c>
      <c r="J13" s="382">
        <v>0.31</v>
      </c>
      <c r="K13" s="1094"/>
    </row>
    <row r="14" spans="1:11" ht="15" customHeight="1">
      <c r="B14" s="606"/>
      <c r="C14" s="598"/>
      <c r="D14" s="598"/>
      <c r="E14" s="598"/>
      <c r="F14" s="607"/>
      <c r="G14" s="608"/>
      <c r="H14" s="609"/>
      <c r="I14" s="608"/>
      <c r="J14" s="609"/>
    </row>
    <row r="15" spans="1:11" ht="15" customHeight="1">
      <c r="B15" s="606"/>
      <c r="C15" s="598"/>
      <c r="D15" s="602" t="s">
        <v>745</v>
      </c>
      <c r="E15" s="598"/>
      <c r="F15" s="607"/>
      <c r="G15" s="608"/>
      <c r="H15" s="609"/>
      <c r="I15" s="608"/>
      <c r="J15" s="609"/>
    </row>
    <row r="16" spans="1:11" ht="15" customHeight="1">
      <c r="B16" s="606"/>
      <c r="C16" s="598"/>
      <c r="D16" s="598"/>
      <c r="E16" s="598" t="s">
        <v>746</v>
      </c>
      <c r="F16" s="607" t="s">
        <v>744</v>
      </c>
      <c r="G16" s="381"/>
      <c r="H16" s="382"/>
      <c r="I16" s="381">
        <v>1.43</v>
      </c>
      <c r="J16" s="382">
        <v>1.88</v>
      </c>
      <c r="K16" s="1094"/>
    </row>
    <row r="17" spans="2:11" ht="15" customHeight="1">
      <c r="B17" s="606"/>
      <c r="C17" s="598"/>
      <c r="D17" s="598"/>
      <c r="E17" s="598"/>
      <c r="F17" s="607"/>
      <c r="G17" s="608"/>
      <c r="H17" s="609"/>
      <c r="I17" s="608"/>
      <c r="J17" s="609"/>
    </row>
    <row r="18" spans="2:11" ht="15" customHeight="1">
      <c r="B18" s="606"/>
      <c r="C18" s="598"/>
      <c r="D18" s="602" t="s">
        <v>878</v>
      </c>
      <c r="E18" s="598"/>
      <c r="F18" s="607"/>
      <c r="G18" s="608"/>
      <c r="H18" s="609"/>
      <c r="I18" s="608"/>
      <c r="J18" s="609"/>
    </row>
    <row r="19" spans="2:11" ht="15" customHeight="1">
      <c r="B19" s="606"/>
      <c r="C19" s="598"/>
      <c r="D19" s="602"/>
      <c r="E19" s="598" t="s">
        <v>773</v>
      </c>
      <c r="F19" s="607" t="s">
        <v>177</v>
      </c>
      <c r="G19" s="381"/>
      <c r="H19" s="382"/>
      <c r="I19" s="381">
        <v>67.22</v>
      </c>
      <c r="J19" s="382">
        <v>75.86</v>
      </c>
      <c r="K19" s="1094"/>
    </row>
    <row r="20" spans="2:11" ht="15" customHeight="1">
      <c r="B20" s="606"/>
      <c r="C20" s="598"/>
      <c r="D20" s="602"/>
      <c r="E20" s="598" t="s">
        <v>634</v>
      </c>
      <c r="F20" s="607" t="s">
        <v>177</v>
      </c>
      <c r="G20" s="381">
        <v>33.4</v>
      </c>
      <c r="H20" s="382">
        <v>40.747999999999998</v>
      </c>
      <c r="I20" s="381">
        <v>67.22</v>
      </c>
      <c r="J20" s="382">
        <v>67.22</v>
      </c>
      <c r="K20" s="1094"/>
    </row>
    <row r="21" spans="2:11" ht="15" customHeight="1">
      <c r="B21" s="606"/>
      <c r="C21" s="598"/>
      <c r="D21" s="602"/>
      <c r="E21" s="598" t="s">
        <v>635</v>
      </c>
      <c r="F21" s="607" t="s">
        <v>177</v>
      </c>
      <c r="G21" s="381"/>
      <c r="H21" s="382"/>
      <c r="I21" s="381">
        <v>67.22</v>
      </c>
      <c r="J21" s="382">
        <v>75.86</v>
      </c>
      <c r="K21" s="1094"/>
    </row>
    <row r="22" spans="2:11" ht="15" customHeight="1">
      <c r="B22" s="606"/>
      <c r="C22" s="598"/>
      <c r="D22" s="602"/>
      <c r="E22" s="598" t="s">
        <v>636</v>
      </c>
      <c r="F22" s="607" t="s">
        <v>744</v>
      </c>
      <c r="G22" s="381">
        <v>0.93</v>
      </c>
      <c r="H22" s="382">
        <v>1.1346000000000001</v>
      </c>
      <c r="I22" s="381">
        <v>0.6</v>
      </c>
      <c r="J22" s="382">
        <v>0.7</v>
      </c>
      <c r="K22" s="1094"/>
    </row>
    <row r="23" spans="2:11" ht="15" customHeight="1">
      <c r="B23" s="606"/>
      <c r="C23" s="598"/>
      <c r="D23" s="598"/>
      <c r="E23" s="598"/>
      <c r="F23" s="607"/>
      <c r="G23" s="608"/>
      <c r="H23" s="609"/>
      <c r="I23" s="608"/>
      <c r="J23" s="609"/>
    </row>
    <row r="24" spans="2:11" ht="15" customHeight="1">
      <c r="B24" s="606"/>
      <c r="C24" s="598"/>
      <c r="D24" s="602" t="s">
        <v>637</v>
      </c>
      <c r="E24" s="598"/>
      <c r="F24" s="607"/>
      <c r="G24" s="608"/>
      <c r="H24" s="609"/>
      <c r="I24" s="608"/>
      <c r="J24" s="609"/>
    </row>
    <row r="25" spans="2:11" ht="15" customHeight="1">
      <c r="B25" s="606"/>
      <c r="C25" s="598"/>
      <c r="D25" s="602"/>
      <c r="E25" s="598" t="s">
        <v>638</v>
      </c>
      <c r="F25" s="607" t="s">
        <v>744</v>
      </c>
      <c r="G25" s="381">
        <v>2.2200000000000002</v>
      </c>
      <c r="H25" s="382">
        <v>2.7084000000000001</v>
      </c>
      <c r="I25" s="381">
        <v>6.41</v>
      </c>
      <c r="J25" s="382">
        <v>7.94</v>
      </c>
      <c r="K25" s="1094"/>
    </row>
    <row r="26" spans="2:11" ht="15" customHeight="1">
      <c r="B26" s="606"/>
      <c r="C26" s="598"/>
      <c r="D26" s="602"/>
      <c r="E26" s="598" t="s">
        <v>639</v>
      </c>
      <c r="F26" s="607" t="s">
        <v>744</v>
      </c>
      <c r="G26" s="381"/>
      <c r="H26" s="382"/>
      <c r="I26" s="381">
        <v>6.78</v>
      </c>
      <c r="J26" s="382">
        <v>8.36</v>
      </c>
      <c r="K26" s="1094"/>
    </row>
    <row r="27" spans="2:11" ht="15" customHeight="1">
      <c r="B27" s="606"/>
      <c r="C27" s="598"/>
      <c r="D27" s="602"/>
      <c r="E27" s="598" t="s">
        <v>758</v>
      </c>
      <c r="F27" s="607" t="s">
        <v>744</v>
      </c>
      <c r="G27" s="381"/>
      <c r="H27" s="382"/>
      <c r="I27" s="381">
        <v>8.3699999999999992</v>
      </c>
      <c r="J27" s="382">
        <v>10.38</v>
      </c>
      <c r="K27" s="1094"/>
    </row>
    <row r="28" spans="2:11" ht="15" customHeight="1">
      <c r="B28" s="606"/>
      <c r="C28" s="598"/>
      <c r="D28" s="602"/>
      <c r="E28" s="598" t="s">
        <v>759</v>
      </c>
      <c r="F28" s="607" t="s">
        <v>744</v>
      </c>
      <c r="G28" s="381"/>
      <c r="H28" s="382"/>
      <c r="I28" s="381"/>
      <c r="J28" s="382"/>
      <c r="K28" s="1094"/>
    </row>
    <row r="29" spans="2:11" ht="15" customHeight="1">
      <c r="B29" s="606"/>
      <c r="C29" s="598"/>
      <c r="D29" s="602"/>
      <c r="E29" s="598" t="s">
        <v>41</v>
      </c>
      <c r="F29" s="607" t="s">
        <v>744</v>
      </c>
      <c r="G29" s="610"/>
      <c r="H29" s="611"/>
      <c r="I29" s="610"/>
      <c r="J29" s="611"/>
    </row>
    <row r="30" spans="2:11" ht="15" customHeight="1">
      <c r="B30" s="606"/>
      <c r="C30" s="598"/>
      <c r="D30" s="602"/>
      <c r="E30" s="598" t="s">
        <v>42</v>
      </c>
      <c r="F30" s="607" t="s">
        <v>744</v>
      </c>
      <c r="G30" s="610"/>
      <c r="H30" s="611"/>
      <c r="I30" s="610"/>
      <c r="J30" s="611"/>
    </row>
    <row r="31" spans="2:11" ht="15" customHeight="1" thickBot="1">
      <c r="B31" s="592"/>
      <c r="C31" s="593"/>
      <c r="D31" s="593"/>
      <c r="E31" s="593"/>
      <c r="F31" s="383"/>
      <c r="G31" s="612"/>
      <c r="H31" s="613"/>
      <c r="I31" s="612"/>
      <c r="J31" s="613"/>
    </row>
    <row r="32" spans="2:11" ht="15" customHeight="1">
      <c r="B32" s="614"/>
      <c r="C32" s="615" t="s">
        <v>43</v>
      </c>
      <c r="D32" s="615"/>
      <c r="E32" s="616"/>
      <c r="F32" s="617"/>
      <c r="G32" s="608"/>
      <c r="H32" s="609"/>
      <c r="I32" s="608"/>
      <c r="J32" s="609"/>
    </row>
    <row r="33" spans="2:11" ht="15" customHeight="1">
      <c r="B33" s="606"/>
      <c r="C33" s="598"/>
      <c r="D33" s="602" t="s">
        <v>225</v>
      </c>
      <c r="E33" s="598"/>
      <c r="F33" s="617"/>
      <c r="G33" s="608"/>
      <c r="H33" s="609"/>
      <c r="I33" s="608"/>
      <c r="J33" s="609"/>
    </row>
    <row r="34" spans="2:11" ht="15" customHeight="1">
      <c r="B34" s="606"/>
      <c r="C34" s="598"/>
      <c r="D34" s="602"/>
      <c r="E34" s="598" t="s">
        <v>44</v>
      </c>
      <c r="F34" s="607" t="s">
        <v>177</v>
      </c>
      <c r="G34" s="381">
        <v>35.26</v>
      </c>
      <c r="H34" s="382">
        <v>43.017199999999995</v>
      </c>
      <c r="I34" s="381">
        <v>18.350000000000001</v>
      </c>
      <c r="J34" s="382">
        <v>20.78</v>
      </c>
      <c r="K34" s="1094"/>
    </row>
    <row r="35" spans="2:11" ht="15" customHeight="1">
      <c r="B35" s="606"/>
      <c r="C35" s="598"/>
      <c r="D35" s="602"/>
      <c r="E35" s="598" t="s">
        <v>45</v>
      </c>
      <c r="F35" s="607" t="s">
        <v>177</v>
      </c>
      <c r="G35" s="381"/>
      <c r="H35" s="382"/>
      <c r="I35" s="381"/>
      <c r="J35" s="382"/>
      <c r="K35" s="1094"/>
    </row>
    <row r="36" spans="2:11" ht="15" customHeight="1">
      <c r="B36" s="606"/>
      <c r="C36" s="598"/>
      <c r="D36" s="598"/>
      <c r="E36" s="598" t="s">
        <v>46</v>
      </c>
      <c r="F36" s="607" t="s">
        <v>177</v>
      </c>
      <c r="G36" s="381"/>
      <c r="H36" s="382"/>
      <c r="I36" s="381"/>
      <c r="J36" s="382"/>
      <c r="K36" s="1094"/>
    </row>
    <row r="37" spans="2:11" ht="15" customHeight="1">
      <c r="B37" s="606"/>
      <c r="C37" s="598"/>
      <c r="D37" s="598"/>
      <c r="E37" s="598" t="s">
        <v>649</v>
      </c>
      <c r="F37" s="607" t="s">
        <v>177</v>
      </c>
      <c r="G37" s="381"/>
      <c r="H37" s="382"/>
      <c r="I37" s="381"/>
      <c r="J37" s="382"/>
      <c r="K37" s="1094"/>
    </row>
    <row r="38" spans="2:11" ht="15" customHeight="1">
      <c r="B38" s="606"/>
      <c r="C38" s="598"/>
      <c r="D38" s="598"/>
      <c r="E38" s="598"/>
      <c r="F38" s="607"/>
      <c r="G38" s="608"/>
      <c r="H38" s="609"/>
      <c r="I38" s="608"/>
      <c r="J38" s="609"/>
    </row>
    <row r="39" spans="2:11" ht="15" customHeight="1">
      <c r="B39" s="606"/>
      <c r="C39" s="598"/>
      <c r="D39" s="602" t="s">
        <v>745</v>
      </c>
      <c r="E39" s="598"/>
      <c r="F39" s="607"/>
      <c r="G39" s="608"/>
      <c r="H39" s="609"/>
      <c r="I39" s="608"/>
      <c r="J39" s="609"/>
    </row>
    <row r="40" spans="2:11" ht="15" customHeight="1">
      <c r="B40" s="606"/>
      <c r="C40" s="598"/>
      <c r="D40" s="616"/>
      <c r="E40" s="598" t="s">
        <v>767</v>
      </c>
      <c r="F40" s="607" t="s">
        <v>744</v>
      </c>
      <c r="G40" s="381"/>
      <c r="H40" s="382"/>
      <c r="I40" s="381">
        <v>1.52</v>
      </c>
      <c r="J40" s="382">
        <v>2</v>
      </c>
      <c r="K40" s="1094"/>
    </row>
    <row r="41" spans="2:11" ht="15" customHeight="1">
      <c r="B41" s="606"/>
      <c r="C41" s="598"/>
      <c r="D41" s="602"/>
      <c r="E41" s="598" t="s">
        <v>768</v>
      </c>
      <c r="F41" s="607" t="s">
        <v>744</v>
      </c>
      <c r="G41" s="381"/>
      <c r="H41" s="382"/>
      <c r="I41" s="381"/>
      <c r="J41" s="382"/>
      <c r="K41" s="1094"/>
    </row>
    <row r="42" spans="2:11" ht="15" customHeight="1">
      <c r="B42" s="606"/>
      <c r="C42" s="598"/>
      <c r="D42" s="598"/>
      <c r="E42" s="598"/>
      <c r="F42" s="607"/>
      <c r="G42" s="608"/>
      <c r="H42" s="609"/>
      <c r="I42" s="608"/>
      <c r="J42" s="609"/>
    </row>
    <row r="43" spans="2:11" ht="15" customHeight="1">
      <c r="B43" s="606"/>
      <c r="C43" s="598"/>
      <c r="D43" s="602" t="s">
        <v>769</v>
      </c>
      <c r="E43" s="598"/>
      <c r="F43" s="607"/>
      <c r="G43" s="608"/>
      <c r="H43" s="609"/>
      <c r="I43" s="608"/>
      <c r="J43" s="609"/>
    </row>
    <row r="44" spans="2:11" ht="15" customHeight="1">
      <c r="B44" s="606"/>
      <c r="C44" s="598"/>
      <c r="D44" s="602"/>
      <c r="E44" s="598" t="s">
        <v>770</v>
      </c>
      <c r="F44" s="607" t="s">
        <v>177</v>
      </c>
      <c r="G44" s="381">
        <v>32.92</v>
      </c>
      <c r="H44" s="382">
        <v>40.162399999999998</v>
      </c>
      <c r="I44" s="381">
        <v>73.02</v>
      </c>
      <c r="J44" s="382">
        <v>84.05</v>
      </c>
      <c r="K44" s="1094"/>
    </row>
    <row r="45" spans="2:11" ht="15" customHeight="1">
      <c r="B45" s="606"/>
      <c r="C45" s="598"/>
      <c r="D45" s="602"/>
      <c r="E45" s="598" t="s">
        <v>771</v>
      </c>
      <c r="F45" s="607" t="s">
        <v>177</v>
      </c>
      <c r="G45" s="381"/>
      <c r="H45" s="382"/>
      <c r="I45" s="381"/>
      <c r="J45" s="382"/>
      <c r="K45" s="1094"/>
    </row>
    <row r="46" spans="2:11" ht="15" customHeight="1">
      <c r="B46" s="606"/>
      <c r="C46" s="598"/>
      <c r="D46" s="602"/>
      <c r="E46" s="598"/>
      <c r="F46" s="607"/>
      <c r="G46" s="608"/>
      <c r="H46" s="609"/>
      <c r="I46" s="608"/>
      <c r="J46" s="609"/>
    </row>
    <row r="47" spans="2:11" ht="15" customHeight="1">
      <c r="B47" s="606"/>
      <c r="C47" s="598"/>
      <c r="D47" s="602" t="s">
        <v>68</v>
      </c>
      <c r="E47" s="598"/>
      <c r="F47" s="607"/>
      <c r="G47" s="608"/>
      <c r="H47" s="609"/>
      <c r="I47" s="608"/>
      <c r="J47" s="609"/>
    </row>
    <row r="48" spans="2:11" ht="15" customHeight="1">
      <c r="B48" s="606"/>
      <c r="C48" s="598"/>
      <c r="D48" s="602"/>
      <c r="E48" s="598" t="s">
        <v>69</v>
      </c>
      <c r="F48" s="607" t="s">
        <v>177</v>
      </c>
      <c r="G48" s="381"/>
      <c r="H48" s="382"/>
      <c r="I48" s="381">
        <v>471.36</v>
      </c>
      <c r="J48" s="382">
        <v>535</v>
      </c>
      <c r="K48" s="1094"/>
    </row>
    <row r="49" spans="2:11" ht="15" customHeight="1">
      <c r="B49" s="606"/>
      <c r="C49" s="598"/>
      <c r="D49" s="602"/>
      <c r="E49" s="598"/>
      <c r="F49" s="607"/>
      <c r="G49" s="608"/>
      <c r="H49" s="609"/>
      <c r="I49" s="608"/>
      <c r="J49" s="609"/>
    </row>
    <row r="50" spans="2:11" ht="15" customHeight="1">
      <c r="B50" s="606"/>
      <c r="C50" s="598"/>
      <c r="D50" s="602" t="s">
        <v>637</v>
      </c>
      <c r="E50" s="598"/>
      <c r="F50" s="607"/>
      <c r="G50" s="608"/>
      <c r="H50" s="609"/>
      <c r="I50" s="608"/>
      <c r="J50" s="609"/>
    </row>
    <row r="51" spans="2:11" ht="15" customHeight="1">
      <c r="B51" s="606"/>
      <c r="C51" s="598"/>
      <c r="D51" s="602"/>
      <c r="E51" s="598" t="s">
        <v>70</v>
      </c>
      <c r="F51" s="607" t="s">
        <v>744</v>
      </c>
      <c r="G51" s="381">
        <v>7.13</v>
      </c>
      <c r="H51" s="382">
        <v>8.698599999999999</v>
      </c>
      <c r="I51" s="381">
        <v>7.17</v>
      </c>
      <c r="J51" s="382">
        <v>8.23</v>
      </c>
      <c r="K51" s="1094"/>
    </row>
    <row r="52" spans="2:11" ht="15" customHeight="1">
      <c r="B52" s="606"/>
      <c r="C52" s="598"/>
      <c r="D52" s="602"/>
      <c r="E52" s="598" t="s">
        <v>80</v>
      </c>
      <c r="F52" s="607" t="s">
        <v>744</v>
      </c>
      <c r="G52" s="381">
        <v>20.49</v>
      </c>
      <c r="H52" s="382">
        <v>24.997799999999998</v>
      </c>
      <c r="I52" s="381">
        <v>21.37</v>
      </c>
      <c r="J52" s="382">
        <v>24.46</v>
      </c>
      <c r="K52" s="1094"/>
    </row>
    <row r="53" spans="2:11" ht="15" customHeight="1">
      <c r="B53" s="606"/>
      <c r="C53" s="598"/>
      <c r="D53" s="602"/>
      <c r="E53" s="598" t="s">
        <v>81</v>
      </c>
      <c r="F53" s="607" t="s">
        <v>744</v>
      </c>
      <c r="G53" s="381">
        <v>6.01</v>
      </c>
      <c r="H53" s="382">
        <v>7.3321999999999994</v>
      </c>
      <c r="I53" s="381">
        <v>6.05</v>
      </c>
      <c r="J53" s="382">
        <v>6.83</v>
      </c>
      <c r="K53" s="1094"/>
    </row>
    <row r="54" spans="2:11" ht="15" customHeight="1">
      <c r="B54" s="606"/>
      <c r="C54" s="598"/>
      <c r="D54" s="602"/>
      <c r="E54" s="598" t="s">
        <v>82</v>
      </c>
      <c r="F54" s="607" t="s">
        <v>744</v>
      </c>
      <c r="G54" s="381">
        <v>6.71</v>
      </c>
      <c r="H54" s="382">
        <v>8.1861999999999995</v>
      </c>
      <c r="I54" s="381">
        <v>8.17</v>
      </c>
      <c r="J54" s="382">
        <v>10.02</v>
      </c>
      <c r="K54" s="1094"/>
    </row>
    <row r="55" spans="2:11" ht="15" customHeight="1">
      <c r="B55" s="606"/>
      <c r="C55" s="598"/>
      <c r="D55" s="602"/>
      <c r="E55" s="598" t="s">
        <v>782</v>
      </c>
      <c r="F55" s="607" t="s">
        <v>744</v>
      </c>
      <c r="G55" s="381">
        <v>6.99</v>
      </c>
      <c r="H55" s="382">
        <v>8.5278000000000009</v>
      </c>
      <c r="I55" s="381">
        <v>10</v>
      </c>
      <c r="J55" s="382">
        <v>12.15</v>
      </c>
      <c r="K55" s="1094"/>
    </row>
    <row r="56" spans="2:11" ht="15" customHeight="1">
      <c r="B56" s="606"/>
      <c r="C56" s="598"/>
      <c r="D56" s="602"/>
      <c r="E56" s="598" t="s">
        <v>783</v>
      </c>
      <c r="F56" s="607" t="s">
        <v>744</v>
      </c>
      <c r="G56" s="610"/>
      <c r="H56" s="611"/>
      <c r="I56" s="610"/>
      <c r="J56" s="611"/>
    </row>
    <row r="57" spans="2:11" ht="15" customHeight="1">
      <c r="B57" s="606"/>
      <c r="C57" s="598"/>
      <c r="D57" s="602"/>
      <c r="E57" s="598" t="s">
        <v>72</v>
      </c>
      <c r="F57" s="607" t="s">
        <v>744</v>
      </c>
      <c r="G57" s="610"/>
      <c r="H57" s="611"/>
      <c r="I57" s="610"/>
      <c r="J57" s="611"/>
    </row>
    <row r="58" spans="2:11" ht="15" customHeight="1">
      <c r="B58" s="606"/>
      <c r="C58" s="598"/>
      <c r="D58" s="598"/>
      <c r="E58" s="598" t="s">
        <v>662</v>
      </c>
      <c r="F58" s="607" t="s">
        <v>744</v>
      </c>
      <c r="G58" s="381"/>
      <c r="H58" s="382"/>
      <c r="I58" s="381"/>
      <c r="J58" s="382"/>
      <c r="K58" s="1094"/>
    </row>
    <row r="59" spans="2:11" ht="15" customHeight="1">
      <c r="B59" s="606"/>
      <c r="C59" s="598"/>
      <c r="D59" s="598"/>
      <c r="E59" s="598" t="s">
        <v>501</v>
      </c>
      <c r="F59" s="607" t="s">
        <v>744</v>
      </c>
      <c r="G59" s="381"/>
      <c r="H59" s="382"/>
      <c r="I59" s="381"/>
      <c r="J59" s="382"/>
      <c r="K59" s="1094"/>
    </row>
    <row r="60" spans="2:11" ht="15" customHeight="1">
      <c r="B60" s="606"/>
      <c r="C60" s="598"/>
      <c r="D60" s="602"/>
      <c r="E60" s="598" t="s">
        <v>502</v>
      </c>
      <c r="F60" s="607" t="s">
        <v>744</v>
      </c>
      <c r="G60" s="381"/>
      <c r="H60" s="382"/>
      <c r="I60" s="381"/>
      <c r="J60" s="382"/>
      <c r="K60" s="1094"/>
    </row>
    <row r="61" spans="2:11" ht="15" customHeight="1">
      <c r="B61" s="606"/>
      <c r="C61" s="598"/>
      <c r="D61" s="602"/>
      <c r="E61" s="598" t="s">
        <v>503</v>
      </c>
      <c r="F61" s="607" t="s">
        <v>744</v>
      </c>
      <c r="G61" s="381"/>
      <c r="H61" s="382"/>
      <c r="I61" s="381"/>
      <c r="J61" s="382"/>
      <c r="K61" s="1094"/>
    </row>
    <row r="62" spans="2:11" ht="15" customHeight="1">
      <c r="B62" s="606"/>
      <c r="C62" s="598"/>
      <c r="D62" s="602"/>
      <c r="E62" s="598" t="s">
        <v>506</v>
      </c>
      <c r="F62" s="607" t="s">
        <v>744</v>
      </c>
      <c r="G62" s="381"/>
      <c r="H62" s="382"/>
      <c r="I62" s="381"/>
      <c r="J62" s="382"/>
      <c r="K62" s="1094"/>
    </row>
    <row r="63" spans="2:11" ht="15" customHeight="1">
      <c r="B63" s="606"/>
      <c r="C63" s="598"/>
      <c r="D63" s="602"/>
      <c r="E63" s="598" t="s">
        <v>665</v>
      </c>
      <c r="F63" s="607" t="s">
        <v>744</v>
      </c>
      <c r="G63" s="610"/>
      <c r="H63" s="611"/>
      <c r="I63" s="610"/>
      <c r="J63" s="611"/>
    </row>
    <row r="64" spans="2:11" ht="15" customHeight="1">
      <c r="B64" s="606"/>
      <c r="C64" s="598"/>
      <c r="D64" s="602"/>
      <c r="E64" s="598" t="s">
        <v>511</v>
      </c>
      <c r="F64" s="607" t="s">
        <v>744</v>
      </c>
      <c r="G64" s="610"/>
      <c r="H64" s="611"/>
      <c r="I64" s="610"/>
      <c r="J64" s="611"/>
    </row>
    <row r="65" spans="2:11" ht="15" customHeight="1">
      <c r="B65" s="606"/>
      <c r="C65" s="598"/>
      <c r="D65" s="602"/>
      <c r="E65" s="598"/>
      <c r="F65" s="617"/>
      <c r="G65" s="608"/>
      <c r="H65" s="609"/>
      <c r="I65" s="608"/>
      <c r="J65" s="609"/>
    </row>
    <row r="66" spans="2:11" ht="15" customHeight="1">
      <c r="B66" s="606"/>
      <c r="C66" s="598"/>
      <c r="D66" s="602" t="s">
        <v>512</v>
      </c>
      <c r="E66" s="598"/>
      <c r="F66" s="617"/>
      <c r="G66" s="608"/>
      <c r="H66" s="609"/>
      <c r="I66" s="608"/>
      <c r="J66" s="609"/>
    </row>
    <row r="67" spans="2:11" ht="15" customHeight="1">
      <c r="B67" s="606"/>
      <c r="C67" s="598"/>
      <c r="D67" s="602"/>
      <c r="E67" s="598" t="s">
        <v>513</v>
      </c>
      <c r="F67" s="607" t="s">
        <v>744</v>
      </c>
      <c r="G67" s="381">
        <v>1.66</v>
      </c>
      <c r="H67" s="382">
        <v>2.0251999999999999</v>
      </c>
      <c r="I67" s="381">
        <v>1.33</v>
      </c>
      <c r="J67" s="382">
        <v>1.74</v>
      </c>
      <c r="K67" s="1094"/>
    </row>
    <row r="68" spans="2:11" ht="15" customHeight="1">
      <c r="B68" s="606"/>
      <c r="C68" s="598"/>
      <c r="D68" s="602"/>
      <c r="E68" s="598" t="s">
        <v>514</v>
      </c>
      <c r="F68" s="607" t="s">
        <v>744</v>
      </c>
      <c r="G68" s="381">
        <v>9.32</v>
      </c>
      <c r="H68" s="382">
        <v>11.3704</v>
      </c>
      <c r="I68" s="381">
        <v>10.86</v>
      </c>
      <c r="J68" s="382">
        <v>12.74</v>
      </c>
      <c r="K68" s="1094"/>
    </row>
    <row r="69" spans="2:11" ht="15" customHeight="1">
      <c r="B69" s="606"/>
      <c r="C69" s="598"/>
      <c r="D69" s="602"/>
      <c r="E69" s="598" t="s">
        <v>515</v>
      </c>
      <c r="F69" s="607" t="s">
        <v>744</v>
      </c>
      <c r="G69" s="381"/>
      <c r="H69" s="382"/>
      <c r="I69" s="381"/>
      <c r="J69" s="382"/>
      <c r="K69" s="1094"/>
    </row>
    <row r="70" spans="2:11" ht="15" customHeight="1">
      <c r="B70" s="606"/>
      <c r="C70" s="598"/>
      <c r="D70" s="602"/>
      <c r="E70" s="598" t="s">
        <v>516</v>
      </c>
      <c r="F70" s="607" t="s">
        <v>744</v>
      </c>
      <c r="G70" s="381"/>
      <c r="H70" s="382"/>
      <c r="I70" s="381"/>
      <c r="J70" s="382"/>
      <c r="K70" s="1094"/>
    </row>
    <row r="71" spans="2:11" ht="15" customHeight="1" thickBot="1">
      <c r="B71" s="592"/>
      <c r="C71" s="593"/>
      <c r="D71" s="593"/>
      <c r="E71" s="593"/>
      <c r="F71" s="383"/>
      <c r="G71" s="612"/>
      <c r="H71" s="613"/>
      <c r="I71" s="612"/>
      <c r="J71" s="613"/>
    </row>
    <row r="72" spans="2:11" ht="15" customHeight="1">
      <c r="B72" s="614"/>
      <c r="C72" s="615" t="s">
        <v>530</v>
      </c>
      <c r="D72" s="615"/>
      <c r="E72" s="616"/>
      <c r="F72" s="617"/>
      <c r="G72" s="608"/>
      <c r="H72" s="609"/>
      <c r="I72" s="608"/>
      <c r="J72" s="609"/>
    </row>
    <row r="73" spans="2:11" ht="15" customHeight="1">
      <c r="B73" s="606"/>
      <c r="C73" s="598"/>
      <c r="D73" s="602" t="s">
        <v>225</v>
      </c>
      <c r="E73" s="598"/>
      <c r="F73" s="607"/>
      <c r="G73" s="608"/>
      <c r="H73" s="609"/>
      <c r="I73" s="608"/>
      <c r="J73" s="609"/>
    </row>
    <row r="74" spans="2:11" ht="15" customHeight="1">
      <c r="B74" s="606"/>
      <c r="C74" s="598"/>
      <c r="D74" s="598"/>
      <c r="E74" s="598" t="s">
        <v>531</v>
      </c>
      <c r="F74" s="607" t="s">
        <v>177</v>
      </c>
      <c r="G74" s="381">
        <v>41.59</v>
      </c>
      <c r="H74" s="382">
        <v>50.739800000000002</v>
      </c>
      <c r="I74" s="381">
        <v>23.76</v>
      </c>
      <c r="J74" s="382">
        <v>26.87</v>
      </c>
      <c r="K74" s="1094"/>
    </row>
    <row r="75" spans="2:11" ht="15" customHeight="1">
      <c r="B75" s="606"/>
      <c r="C75" s="598"/>
      <c r="D75" s="602"/>
      <c r="E75" s="598" t="s">
        <v>532</v>
      </c>
      <c r="F75" s="607" t="s">
        <v>177</v>
      </c>
      <c r="G75" s="381"/>
      <c r="H75" s="382"/>
      <c r="I75" s="381">
        <v>29.82</v>
      </c>
      <c r="J75" s="382">
        <v>29.82</v>
      </c>
      <c r="K75" s="1094"/>
    </row>
    <row r="76" spans="2:11" ht="15" customHeight="1">
      <c r="B76" s="606"/>
      <c r="C76" s="598"/>
      <c r="D76" s="602"/>
      <c r="E76" s="598" t="s">
        <v>533</v>
      </c>
      <c r="F76" s="607" t="s">
        <v>177</v>
      </c>
      <c r="G76" s="381"/>
      <c r="H76" s="382"/>
      <c r="I76" s="381"/>
      <c r="J76" s="382"/>
      <c r="K76" s="1094"/>
    </row>
    <row r="77" spans="2:11" ht="15" customHeight="1">
      <c r="B77" s="606"/>
      <c r="C77" s="598"/>
      <c r="D77" s="602"/>
      <c r="E77" s="598" t="s">
        <v>534</v>
      </c>
      <c r="F77" s="607" t="s">
        <v>177</v>
      </c>
      <c r="G77" s="381"/>
      <c r="H77" s="382"/>
      <c r="I77" s="381"/>
      <c r="J77" s="382"/>
      <c r="K77" s="1094"/>
    </row>
    <row r="78" spans="2:11" ht="15" customHeight="1">
      <c r="B78" s="606"/>
      <c r="C78" s="598"/>
      <c r="D78" s="602"/>
      <c r="E78" s="598"/>
      <c r="F78" s="607"/>
      <c r="G78" s="608"/>
      <c r="H78" s="609"/>
      <c r="I78" s="608"/>
      <c r="J78" s="609"/>
    </row>
    <row r="79" spans="2:11" ht="15" customHeight="1">
      <c r="B79" s="606"/>
      <c r="C79" s="598"/>
      <c r="D79" s="602" t="s">
        <v>745</v>
      </c>
      <c r="E79" s="598"/>
      <c r="F79" s="607"/>
      <c r="G79" s="608"/>
      <c r="H79" s="609"/>
      <c r="I79" s="608"/>
      <c r="J79" s="609"/>
    </row>
    <row r="80" spans="2:11" ht="15" customHeight="1">
      <c r="B80" s="606"/>
      <c r="C80" s="598"/>
      <c r="D80" s="598"/>
      <c r="E80" s="598" t="s">
        <v>535</v>
      </c>
      <c r="F80" s="607" t="s">
        <v>744</v>
      </c>
      <c r="G80" s="381"/>
      <c r="H80" s="382"/>
      <c r="I80" s="381">
        <v>1.99</v>
      </c>
      <c r="J80" s="382">
        <v>2.56</v>
      </c>
      <c r="K80" s="1094"/>
    </row>
    <row r="81" spans="2:11" ht="15" customHeight="1">
      <c r="B81" s="606"/>
      <c r="C81" s="598"/>
      <c r="D81" s="598"/>
      <c r="E81" s="598" t="s">
        <v>536</v>
      </c>
      <c r="F81" s="607" t="s">
        <v>744</v>
      </c>
      <c r="G81" s="381"/>
      <c r="H81" s="382"/>
      <c r="I81" s="381">
        <v>39.15</v>
      </c>
      <c r="J81" s="382">
        <v>45.14</v>
      </c>
      <c r="K81" s="1094"/>
    </row>
    <row r="82" spans="2:11" ht="15" customHeight="1">
      <c r="B82" s="606"/>
      <c r="C82" s="598"/>
      <c r="D82" s="602"/>
      <c r="E82" s="598" t="s">
        <v>537</v>
      </c>
      <c r="F82" s="607" t="s">
        <v>744</v>
      </c>
      <c r="G82" s="381"/>
      <c r="H82" s="382"/>
      <c r="I82" s="381"/>
      <c r="J82" s="382"/>
      <c r="K82" s="1094"/>
    </row>
    <row r="83" spans="2:11" ht="15" customHeight="1">
      <c r="B83" s="606"/>
      <c r="C83" s="598"/>
      <c r="D83" s="602"/>
      <c r="E83" s="598" t="s">
        <v>538</v>
      </c>
      <c r="F83" s="607" t="s">
        <v>744</v>
      </c>
      <c r="G83" s="381"/>
      <c r="H83" s="382"/>
      <c r="I83" s="381"/>
      <c r="J83" s="382"/>
      <c r="K83" s="1094"/>
    </row>
    <row r="84" spans="2:11" ht="15" customHeight="1">
      <c r="B84" s="606"/>
      <c r="C84" s="598"/>
      <c r="D84" s="598"/>
      <c r="E84" s="598"/>
      <c r="F84" s="607"/>
      <c r="G84" s="608"/>
      <c r="H84" s="609"/>
      <c r="I84" s="608"/>
      <c r="J84" s="609"/>
    </row>
    <row r="85" spans="2:11" ht="15" customHeight="1">
      <c r="B85" s="596"/>
      <c r="C85" s="598"/>
      <c r="D85" s="602" t="s">
        <v>769</v>
      </c>
      <c r="E85" s="598"/>
      <c r="F85" s="607"/>
      <c r="G85" s="608"/>
      <c r="H85" s="609"/>
      <c r="I85" s="608"/>
      <c r="J85" s="609"/>
    </row>
    <row r="86" spans="2:11" ht="15" customHeight="1">
      <c r="B86" s="596"/>
      <c r="C86" s="598"/>
      <c r="D86" s="602"/>
      <c r="E86" s="598" t="s">
        <v>417</v>
      </c>
      <c r="F86" s="607" t="s">
        <v>177</v>
      </c>
      <c r="G86" s="381">
        <v>148.69</v>
      </c>
      <c r="H86" s="382">
        <v>181.40179999999998</v>
      </c>
      <c r="I86" s="381">
        <v>152.88999999999999</v>
      </c>
      <c r="J86" s="382">
        <v>172.86</v>
      </c>
      <c r="K86" s="1094"/>
    </row>
    <row r="87" spans="2:11" ht="15" customHeight="1">
      <c r="B87" s="596"/>
      <c r="C87" s="598"/>
      <c r="D87" s="602"/>
      <c r="E87" s="598" t="s">
        <v>418</v>
      </c>
      <c r="F87" s="607" t="s">
        <v>177</v>
      </c>
      <c r="G87" s="381"/>
      <c r="H87" s="382"/>
      <c r="I87" s="381">
        <v>152.88999999999999</v>
      </c>
      <c r="J87" s="382">
        <v>173.08</v>
      </c>
      <c r="K87" s="1094"/>
    </row>
    <row r="88" spans="2:11" ht="15" customHeight="1">
      <c r="B88" s="596"/>
      <c r="C88" s="598"/>
      <c r="D88" s="602"/>
      <c r="E88" s="598" t="s">
        <v>419</v>
      </c>
      <c r="F88" s="607" t="s">
        <v>177</v>
      </c>
      <c r="G88" s="381"/>
      <c r="H88" s="382"/>
      <c r="I88" s="381">
        <v>152.88999999999999</v>
      </c>
      <c r="J88" s="382">
        <v>172.81</v>
      </c>
      <c r="K88" s="1094"/>
    </row>
    <row r="89" spans="2:11" ht="15" customHeight="1">
      <c r="B89" s="596"/>
      <c r="C89" s="598"/>
      <c r="D89" s="602"/>
      <c r="E89" s="598" t="s">
        <v>543</v>
      </c>
      <c r="F89" s="607" t="s">
        <v>177</v>
      </c>
      <c r="G89" s="381"/>
      <c r="H89" s="382"/>
      <c r="I89" s="381"/>
      <c r="J89" s="382"/>
      <c r="K89" s="1094"/>
    </row>
    <row r="90" spans="2:11" ht="15" customHeight="1">
      <c r="B90" s="596"/>
      <c r="C90" s="598"/>
      <c r="D90" s="602"/>
      <c r="E90" s="598" t="s">
        <v>429</v>
      </c>
      <c r="F90" s="607" t="s">
        <v>177</v>
      </c>
      <c r="G90" s="381"/>
      <c r="H90" s="382"/>
      <c r="I90" s="381"/>
      <c r="J90" s="382"/>
      <c r="K90" s="1094"/>
    </row>
    <row r="91" spans="2:11" ht="15" customHeight="1">
      <c r="B91" s="596"/>
      <c r="C91" s="598"/>
      <c r="D91" s="602"/>
      <c r="E91" s="598" t="s">
        <v>430</v>
      </c>
      <c r="F91" s="607" t="s">
        <v>177</v>
      </c>
      <c r="G91" s="381"/>
      <c r="H91" s="382"/>
      <c r="I91" s="381"/>
      <c r="J91" s="382"/>
      <c r="K91" s="1094"/>
    </row>
    <row r="92" spans="2:11" ht="15" customHeight="1">
      <c r="B92" s="596"/>
      <c r="C92" s="598"/>
      <c r="D92" s="598"/>
      <c r="E92" s="598"/>
      <c r="F92" s="607"/>
      <c r="G92" s="608"/>
      <c r="H92" s="609"/>
      <c r="I92" s="608"/>
      <c r="J92" s="609"/>
    </row>
    <row r="93" spans="2:11" ht="15" customHeight="1">
      <c r="B93" s="596"/>
      <c r="C93" s="598"/>
      <c r="D93" s="602" t="s">
        <v>68</v>
      </c>
      <c r="E93" s="598"/>
      <c r="F93" s="607"/>
      <c r="G93" s="608"/>
      <c r="H93" s="609"/>
      <c r="I93" s="608"/>
      <c r="J93" s="609"/>
    </row>
    <row r="94" spans="2:11" ht="15" customHeight="1">
      <c r="B94" s="596"/>
      <c r="C94" s="598"/>
      <c r="D94" s="598"/>
      <c r="E94" s="598" t="s">
        <v>389</v>
      </c>
      <c r="F94" s="607" t="s">
        <v>177</v>
      </c>
      <c r="G94" s="381"/>
      <c r="H94" s="382"/>
      <c r="I94" s="381">
        <v>1020.97</v>
      </c>
      <c r="J94" s="382">
        <v>1136.02</v>
      </c>
      <c r="K94" s="1094"/>
    </row>
    <row r="95" spans="2:11" ht="15" customHeight="1">
      <c r="B95" s="596"/>
      <c r="C95" s="598"/>
      <c r="D95" s="602"/>
      <c r="E95" s="598"/>
      <c r="F95" s="607"/>
      <c r="G95" s="608"/>
      <c r="H95" s="609"/>
      <c r="I95" s="608"/>
      <c r="J95" s="609"/>
    </row>
    <row r="96" spans="2:11" ht="15" customHeight="1">
      <c r="B96" s="596"/>
      <c r="C96" s="598"/>
      <c r="D96" s="602" t="s">
        <v>637</v>
      </c>
      <c r="E96" s="598"/>
      <c r="F96" s="607"/>
      <c r="G96" s="608"/>
      <c r="H96" s="609"/>
      <c r="I96" s="608"/>
      <c r="J96" s="609"/>
    </row>
    <row r="97" spans="2:11" ht="15" customHeight="1">
      <c r="B97" s="596"/>
      <c r="C97" s="598"/>
      <c r="D97" s="602"/>
      <c r="E97" s="616" t="s">
        <v>390</v>
      </c>
      <c r="F97" s="607" t="s">
        <v>744</v>
      </c>
      <c r="G97" s="381">
        <v>74.239999999999995</v>
      </c>
      <c r="H97" s="382">
        <v>90.572799999999987</v>
      </c>
      <c r="I97" s="381">
        <v>59.25</v>
      </c>
      <c r="J97" s="382">
        <v>66.59</v>
      </c>
      <c r="K97" s="1094"/>
    </row>
    <row r="98" spans="2:11" ht="15" customHeight="1">
      <c r="B98" s="596"/>
      <c r="C98" s="598"/>
      <c r="D98" s="602"/>
      <c r="E98" s="616" t="s">
        <v>391</v>
      </c>
      <c r="F98" s="607" t="s">
        <v>744</v>
      </c>
      <c r="G98" s="381">
        <v>51.24</v>
      </c>
      <c r="H98" s="382">
        <v>62.512799999999999</v>
      </c>
      <c r="I98" s="381">
        <v>44.23</v>
      </c>
      <c r="J98" s="382">
        <v>51.19</v>
      </c>
      <c r="K98" s="1094"/>
    </row>
    <row r="99" spans="2:11" ht="15" customHeight="1">
      <c r="B99" s="596"/>
      <c r="C99" s="598"/>
      <c r="D99" s="602"/>
      <c r="E99" s="616" t="s">
        <v>392</v>
      </c>
      <c r="F99" s="607" t="s">
        <v>744</v>
      </c>
      <c r="G99" s="381"/>
      <c r="H99" s="382"/>
      <c r="I99" s="381">
        <v>29.05</v>
      </c>
      <c r="J99" s="382">
        <v>33.119999999999997</v>
      </c>
      <c r="K99" s="1094"/>
    </row>
    <row r="100" spans="2:11" ht="15" customHeight="1">
      <c r="B100" s="596"/>
      <c r="C100" s="598"/>
      <c r="D100" s="602"/>
      <c r="E100" s="616" t="s">
        <v>393</v>
      </c>
      <c r="F100" s="607" t="s">
        <v>744</v>
      </c>
      <c r="G100" s="381"/>
      <c r="H100" s="382"/>
      <c r="I100" s="381"/>
      <c r="J100" s="382"/>
      <c r="K100" s="1094"/>
    </row>
    <row r="101" spans="2:11" ht="15" customHeight="1">
      <c r="B101" s="596"/>
      <c r="C101" s="598"/>
      <c r="D101" s="602"/>
      <c r="E101" s="616" t="s">
        <v>394</v>
      </c>
      <c r="F101" s="607" t="s">
        <v>744</v>
      </c>
      <c r="G101" s="381"/>
      <c r="H101" s="382"/>
      <c r="I101" s="381"/>
      <c r="J101" s="382"/>
      <c r="K101" s="1094"/>
    </row>
    <row r="102" spans="2:11" ht="15" customHeight="1">
      <c r="B102" s="596"/>
      <c r="C102" s="598"/>
      <c r="D102" s="602"/>
      <c r="E102" s="616" t="s">
        <v>395</v>
      </c>
      <c r="F102" s="607" t="s">
        <v>744</v>
      </c>
      <c r="G102" s="610"/>
      <c r="H102" s="611"/>
      <c r="I102" s="610"/>
      <c r="J102" s="611"/>
    </row>
    <row r="103" spans="2:11" ht="15" customHeight="1">
      <c r="B103" s="596"/>
      <c r="C103" s="598"/>
      <c r="D103" s="602"/>
      <c r="E103" s="616" t="s">
        <v>396</v>
      </c>
      <c r="F103" s="607" t="s">
        <v>744</v>
      </c>
      <c r="G103" s="381"/>
      <c r="H103" s="382"/>
      <c r="I103" s="381"/>
      <c r="J103" s="382"/>
      <c r="K103" s="1094"/>
    </row>
    <row r="104" spans="2:11" ht="15" customHeight="1">
      <c r="B104" s="596"/>
      <c r="C104" s="598"/>
      <c r="D104" s="602"/>
      <c r="E104" s="616" t="s">
        <v>397</v>
      </c>
      <c r="F104" s="607" t="s">
        <v>744</v>
      </c>
      <c r="G104" s="610"/>
      <c r="H104" s="611"/>
      <c r="I104" s="610"/>
      <c r="J104" s="611"/>
    </row>
    <row r="105" spans="2:11" ht="15" customHeight="1">
      <c r="B105" s="596"/>
      <c r="C105" s="598"/>
      <c r="D105" s="602"/>
      <c r="E105" s="598"/>
      <c r="F105" s="607"/>
      <c r="G105" s="608"/>
      <c r="H105" s="609"/>
      <c r="I105" s="608"/>
      <c r="J105" s="609"/>
    </row>
    <row r="106" spans="2:11" ht="15" customHeight="1">
      <c r="B106" s="596"/>
      <c r="C106" s="598"/>
      <c r="D106" s="602" t="s">
        <v>512</v>
      </c>
      <c r="E106" s="598"/>
      <c r="F106" s="607"/>
      <c r="G106" s="608"/>
      <c r="H106" s="609"/>
      <c r="I106" s="608"/>
      <c r="J106" s="609"/>
    </row>
    <row r="107" spans="2:11" ht="15" customHeight="1">
      <c r="B107" s="596"/>
      <c r="C107" s="598"/>
      <c r="D107" s="598"/>
      <c r="E107" s="616" t="s">
        <v>398</v>
      </c>
      <c r="F107" s="607" t="s">
        <v>744</v>
      </c>
      <c r="G107" s="381"/>
      <c r="H107" s="382"/>
      <c r="I107" s="381"/>
      <c r="J107" s="382"/>
      <c r="K107" s="1094"/>
    </row>
    <row r="108" spans="2:11" ht="15" customHeight="1">
      <c r="B108" s="596"/>
      <c r="C108" s="598"/>
      <c r="D108" s="598"/>
      <c r="E108" s="616" t="s">
        <v>399</v>
      </c>
      <c r="F108" s="607" t="s">
        <v>744</v>
      </c>
      <c r="G108" s="381">
        <v>228.25</v>
      </c>
      <c r="H108" s="382">
        <v>278.46499999999997</v>
      </c>
      <c r="I108" s="381">
        <v>223.81</v>
      </c>
      <c r="J108" s="382">
        <v>261.25</v>
      </c>
      <c r="K108" s="1094"/>
    </row>
    <row r="109" spans="2:11" ht="15" customHeight="1">
      <c r="B109" s="596"/>
      <c r="C109" s="598"/>
      <c r="D109" s="598"/>
      <c r="E109" s="598" t="s">
        <v>400</v>
      </c>
      <c r="F109" s="607" t="s">
        <v>744</v>
      </c>
      <c r="G109" s="610"/>
      <c r="H109" s="611"/>
      <c r="I109" s="610"/>
      <c r="J109" s="611"/>
      <c r="K109" s="1094"/>
    </row>
    <row r="110" spans="2:11" ht="15" customHeight="1">
      <c r="B110" s="596"/>
      <c r="C110" s="598"/>
      <c r="D110" s="598"/>
      <c r="E110" s="616" t="s">
        <v>595</v>
      </c>
      <c r="F110" s="607" t="s">
        <v>744</v>
      </c>
      <c r="G110" s="381"/>
      <c r="H110" s="382"/>
      <c r="I110" s="381"/>
      <c r="J110" s="382"/>
      <c r="K110" s="1094"/>
    </row>
    <row r="111" spans="2:11" ht="15" customHeight="1">
      <c r="B111" s="596"/>
      <c r="C111" s="598"/>
      <c r="D111" s="602"/>
      <c r="E111" s="598" t="s">
        <v>596</v>
      </c>
      <c r="F111" s="607" t="s">
        <v>744</v>
      </c>
      <c r="G111" s="610"/>
      <c r="H111" s="611"/>
      <c r="I111" s="610"/>
      <c r="J111" s="611"/>
    </row>
    <row r="112" spans="2:11" ht="15" customHeight="1" thickBot="1">
      <c r="B112" s="592"/>
      <c r="C112" s="593"/>
      <c r="D112" s="593"/>
      <c r="E112" s="593"/>
      <c r="F112" s="383"/>
      <c r="G112" s="618"/>
      <c r="H112" s="619"/>
      <c r="I112" s="618"/>
      <c r="J112" s="619"/>
    </row>
    <row r="113" spans="2:11" ht="15" customHeight="1">
      <c r="B113" s="614"/>
      <c r="C113" s="615" t="s">
        <v>597</v>
      </c>
      <c r="D113" s="615"/>
      <c r="E113" s="616"/>
      <c r="F113" s="617"/>
      <c r="G113" s="608"/>
      <c r="H113" s="609"/>
      <c r="I113" s="608"/>
      <c r="J113" s="609"/>
    </row>
    <row r="114" spans="2:11" ht="15" customHeight="1">
      <c r="B114" s="596"/>
      <c r="C114" s="598"/>
      <c r="D114" s="602" t="s">
        <v>225</v>
      </c>
      <c r="E114" s="598"/>
      <c r="F114" s="607"/>
      <c r="G114" s="608"/>
      <c r="H114" s="609"/>
      <c r="I114" s="608"/>
      <c r="J114" s="609"/>
    </row>
    <row r="115" spans="2:11" ht="15" customHeight="1">
      <c r="B115" s="596"/>
      <c r="C115" s="598"/>
      <c r="D115" s="602"/>
      <c r="E115" s="598" t="s">
        <v>598</v>
      </c>
      <c r="F115" s="607" t="s">
        <v>177</v>
      </c>
      <c r="G115" s="381">
        <v>74.69</v>
      </c>
      <c r="H115" s="382">
        <v>91.121799999999993</v>
      </c>
      <c r="I115" s="381">
        <v>52.85</v>
      </c>
      <c r="J115" s="382">
        <v>59.21</v>
      </c>
      <c r="K115" s="1094"/>
    </row>
    <row r="116" spans="2:11" ht="15" customHeight="1">
      <c r="B116" s="596"/>
      <c r="C116" s="598"/>
      <c r="D116" s="602"/>
      <c r="E116" s="598" t="s">
        <v>599</v>
      </c>
      <c r="F116" s="607" t="s">
        <v>177</v>
      </c>
      <c r="G116" s="381">
        <v>637</v>
      </c>
      <c r="H116" s="382">
        <v>777.14</v>
      </c>
      <c r="I116" s="381">
        <v>47.77</v>
      </c>
      <c r="J116" s="382">
        <v>53.46</v>
      </c>
      <c r="K116" s="1094"/>
    </row>
    <row r="117" spans="2:11" ht="15" customHeight="1">
      <c r="B117" s="596"/>
      <c r="C117" s="598"/>
      <c r="D117" s="602"/>
      <c r="E117" s="616"/>
      <c r="F117" s="607"/>
      <c r="G117" s="608"/>
      <c r="H117" s="609"/>
      <c r="I117" s="608"/>
      <c r="J117" s="609"/>
    </row>
    <row r="118" spans="2:11" ht="15" customHeight="1">
      <c r="B118" s="596"/>
      <c r="C118" s="598"/>
      <c r="D118" s="602" t="s">
        <v>745</v>
      </c>
      <c r="E118" s="598"/>
      <c r="F118" s="617"/>
      <c r="G118" s="608"/>
      <c r="H118" s="609"/>
      <c r="I118" s="608"/>
      <c r="J118" s="609"/>
    </row>
    <row r="119" spans="2:11" ht="15" customHeight="1">
      <c r="B119" s="596"/>
      <c r="C119" s="598"/>
      <c r="D119" s="602"/>
      <c r="E119" s="598" t="s">
        <v>600</v>
      </c>
      <c r="F119" s="607" t="s">
        <v>744</v>
      </c>
      <c r="G119" s="381"/>
      <c r="H119" s="382"/>
      <c r="I119" s="381">
        <v>2.61</v>
      </c>
      <c r="J119" s="382">
        <v>3.55</v>
      </c>
      <c r="K119" s="1094"/>
    </row>
    <row r="120" spans="2:11" ht="15" customHeight="1">
      <c r="B120" s="596"/>
      <c r="C120" s="598"/>
      <c r="D120" s="602"/>
      <c r="E120" s="598" t="s">
        <v>601</v>
      </c>
      <c r="F120" s="607" t="s">
        <v>744</v>
      </c>
      <c r="G120" s="381"/>
      <c r="H120" s="382"/>
      <c r="I120" s="381">
        <v>86.15</v>
      </c>
      <c r="J120" s="382">
        <v>98.34</v>
      </c>
      <c r="K120" s="1094"/>
    </row>
    <row r="121" spans="2:11" ht="15" customHeight="1">
      <c r="B121" s="596"/>
      <c r="C121" s="598"/>
      <c r="D121" s="602"/>
      <c r="E121" s="616" t="s">
        <v>442</v>
      </c>
      <c r="F121" s="607" t="s">
        <v>744</v>
      </c>
      <c r="G121" s="381"/>
      <c r="H121" s="382"/>
      <c r="I121" s="381">
        <v>2.98</v>
      </c>
      <c r="J121" s="382">
        <v>3.74</v>
      </c>
      <c r="K121" s="1094"/>
    </row>
    <row r="122" spans="2:11" ht="15" customHeight="1">
      <c r="B122" s="596"/>
      <c r="C122" s="598"/>
      <c r="D122" s="598"/>
      <c r="E122" s="598"/>
      <c r="F122" s="607"/>
      <c r="G122" s="608"/>
      <c r="H122" s="609"/>
      <c r="I122" s="608"/>
      <c r="J122" s="609"/>
    </row>
    <row r="123" spans="2:11" ht="15" customHeight="1">
      <c r="B123" s="596"/>
      <c r="C123" s="598"/>
      <c r="D123" s="602" t="s">
        <v>769</v>
      </c>
      <c r="E123" s="598"/>
      <c r="F123" s="617"/>
      <c r="G123" s="608"/>
      <c r="H123" s="609"/>
      <c r="I123" s="608"/>
      <c r="J123" s="609"/>
    </row>
    <row r="124" spans="2:11" ht="15" customHeight="1">
      <c r="B124" s="596"/>
      <c r="C124" s="598"/>
      <c r="D124" s="598"/>
      <c r="E124" s="598" t="s">
        <v>710</v>
      </c>
      <c r="F124" s="607" t="s">
        <v>177</v>
      </c>
      <c r="G124" s="381">
        <v>1170.8800000000001</v>
      </c>
      <c r="H124" s="382">
        <v>1428.4736</v>
      </c>
      <c r="I124" s="381">
        <v>1191.4000000000001</v>
      </c>
      <c r="J124" s="382"/>
      <c r="K124" s="1094"/>
    </row>
    <row r="125" spans="2:11" ht="15" customHeight="1">
      <c r="B125" s="596"/>
      <c r="C125" s="598"/>
      <c r="D125" s="598"/>
      <c r="E125" s="598" t="s">
        <v>709</v>
      </c>
      <c r="F125" s="607" t="s">
        <v>177</v>
      </c>
      <c r="G125" s="381"/>
      <c r="H125" s="382"/>
      <c r="I125" s="381">
        <v>1191.4000000000001</v>
      </c>
      <c r="J125" s="382">
        <v>1325.5</v>
      </c>
      <c r="K125" s="1094"/>
    </row>
    <row r="126" spans="2:11" ht="15" customHeight="1">
      <c r="B126" s="596"/>
      <c r="C126" s="598"/>
      <c r="D126" s="598"/>
      <c r="E126" s="598" t="s">
        <v>673</v>
      </c>
      <c r="F126" s="607" t="s">
        <v>177</v>
      </c>
      <c r="G126" s="381"/>
      <c r="H126" s="382"/>
      <c r="I126" s="381"/>
      <c r="J126" s="382"/>
      <c r="K126" s="1094"/>
    </row>
    <row r="127" spans="2:11" ht="15" customHeight="1">
      <c r="B127" s="596"/>
      <c r="C127" s="598"/>
      <c r="D127" s="598"/>
      <c r="E127" s="598"/>
      <c r="F127" s="603"/>
      <c r="G127" s="608"/>
      <c r="H127" s="609"/>
      <c r="I127" s="608"/>
      <c r="J127" s="609"/>
    </row>
    <row r="128" spans="2:11" ht="15" customHeight="1">
      <c r="B128" s="596"/>
      <c r="C128" s="598"/>
      <c r="D128" s="602" t="s">
        <v>68</v>
      </c>
      <c r="E128" s="598"/>
      <c r="F128" s="603"/>
      <c r="G128" s="608"/>
      <c r="H128" s="609"/>
      <c r="I128" s="608"/>
      <c r="J128" s="609"/>
    </row>
    <row r="129" spans="2:11" ht="15" customHeight="1">
      <c r="B129" s="596"/>
      <c r="C129" s="598"/>
      <c r="D129" s="598"/>
      <c r="E129" s="616" t="s">
        <v>674</v>
      </c>
      <c r="F129" s="607" t="s">
        <v>177</v>
      </c>
      <c r="G129" s="381"/>
      <c r="H129" s="382"/>
      <c r="I129" s="381"/>
      <c r="J129" s="382"/>
      <c r="K129" s="1094"/>
    </row>
    <row r="130" spans="2:11" ht="15" customHeight="1">
      <c r="B130" s="596"/>
      <c r="C130" s="598"/>
      <c r="D130" s="598"/>
      <c r="E130" s="598"/>
      <c r="F130" s="603"/>
      <c r="G130" s="608"/>
      <c r="H130" s="609"/>
      <c r="I130" s="608"/>
      <c r="J130" s="609"/>
    </row>
    <row r="131" spans="2:11" ht="15" customHeight="1">
      <c r="B131" s="596"/>
      <c r="C131" s="598"/>
      <c r="D131" s="602" t="s">
        <v>637</v>
      </c>
      <c r="E131" s="598"/>
      <c r="F131" s="603"/>
      <c r="G131" s="608"/>
      <c r="H131" s="609"/>
      <c r="I131" s="608"/>
      <c r="J131" s="609"/>
    </row>
    <row r="132" spans="2:11" ht="15" customHeight="1">
      <c r="B132" s="596"/>
      <c r="C132" s="598"/>
      <c r="D132" s="598"/>
      <c r="E132" s="598" t="s">
        <v>675</v>
      </c>
      <c r="F132" s="607" t="s">
        <v>744</v>
      </c>
      <c r="G132" s="381">
        <v>120.95</v>
      </c>
      <c r="H132" s="382">
        <v>147.559</v>
      </c>
      <c r="I132" s="381">
        <v>131.08000000000001</v>
      </c>
      <c r="J132" s="382">
        <v>147.02000000000001</v>
      </c>
      <c r="K132" s="1094"/>
    </row>
    <row r="133" spans="2:11" ht="15" customHeight="1">
      <c r="B133" s="596"/>
      <c r="C133" s="598"/>
      <c r="D133" s="598"/>
      <c r="E133" s="598" t="s">
        <v>676</v>
      </c>
      <c r="F133" s="607" t="s">
        <v>744</v>
      </c>
      <c r="G133" s="610"/>
      <c r="H133" s="611"/>
      <c r="I133" s="610"/>
      <c r="J133" s="611"/>
    </row>
    <row r="134" spans="2:11" ht="15" customHeight="1">
      <c r="B134" s="596"/>
      <c r="C134" s="598"/>
      <c r="D134" s="598"/>
      <c r="E134" s="598"/>
      <c r="F134" s="603"/>
      <c r="G134" s="608"/>
      <c r="H134" s="609"/>
      <c r="I134" s="608"/>
      <c r="J134" s="609"/>
    </row>
    <row r="135" spans="2:11" ht="15" customHeight="1">
      <c r="B135" s="596"/>
      <c r="C135" s="598"/>
      <c r="D135" s="602" t="s">
        <v>512</v>
      </c>
      <c r="E135" s="598"/>
      <c r="F135" s="607"/>
      <c r="G135" s="608"/>
      <c r="H135" s="609"/>
      <c r="I135" s="608"/>
      <c r="J135" s="609"/>
    </row>
    <row r="136" spans="2:11" ht="15" customHeight="1">
      <c r="B136" s="596"/>
      <c r="C136" s="598"/>
      <c r="D136" s="598"/>
      <c r="E136" s="616" t="s">
        <v>677</v>
      </c>
      <c r="F136" s="607" t="s">
        <v>744</v>
      </c>
      <c r="G136" s="381">
        <v>975.14</v>
      </c>
      <c r="H136" s="382">
        <v>1189.6707999999999</v>
      </c>
      <c r="I136" s="381">
        <v>1018.69</v>
      </c>
      <c r="J136" s="382">
        <v>1140.57</v>
      </c>
      <c r="K136" s="1094"/>
    </row>
    <row r="137" spans="2:11" ht="15" customHeight="1">
      <c r="B137" s="596"/>
      <c r="C137" s="598"/>
      <c r="D137" s="598"/>
      <c r="E137" s="616" t="s">
        <v>678</v>
      </c>
      <c r="F137" s="607" t="s">
        <v>744</v>
      </c>
      <c r="G137" s="610"/>
      <c r="H137" s="611"/>
      <c r="I137" s="610"/>
      <c r="J137" s="611"/>
    </row>
    <row r="138" spans="2:11" ht="15" customHeight="1" thickBot="1">
      <c r="B138" s="592"/>
      <c r="C138" s="593"/>
      <c r="D138" s="593"/>
      <c r="E138" s="593"/>
      <c r="F138" s="383"/>
      <c r="G138" s="618"/>
      <c r="H138" s="619"/>
      <c r="I138" s="618"/>
      <c r="J138" s="619"/>
    </row>
    <row r="139" spans="2:11" ht="15" customHeight="1">
      <c r="B139" s="614"/>
      <c r="C139" s="615" t="s">
        <v>683</v>
      </c>
      <c r="D139" s="615"/>
      <c r="E139" s="616"/>
      <c r="F139" s="617"/>
      <c r="G139" s="608"/>
      <c r="H139" s="609"/>
      <c r="I139" s="608"/>
      <c r="J139" s="609"/>
    </row>
    <row r="140" spans="2:11" ht="15" customHeight="1">
      <c r="B140" s="596"/>
      <c r="C140" s="598"/>
      <c r="D140" s="602" t="s">
        <v>684</v>
      </c>
      <c r="E140" s="598"/>
      <c r="F140" s="607"/>
      <c r="G140" s="608"/>
      <c r="H140" s="609"/>
      <c r="I140" s="608"/>
      <c r="J140" s="609"/>
    </row>
    <row r="141" spans="2:11" ht="15" customHeight="1">
      <c r="B141" s="596"/>
      <c r="C141" s="598"/>
      <c r="D141" s="598"/>
      <c r="E141" s="616" t="s">
        <v>685</v>
      </c>
      <c r="F141" s="607" t="s">
        <v>744</v>
      </c>
      <c r="G141" s="610"/>
      <c r="H141" s="611"/>
      <c r="I141" s="610"/>
      <c r="J141" s="611"/>
    </row>
    <row r="142" spans="2:11" ht="15" customHeight="1">
      <c r="B142" s="596"/>
      <c r="C142" s="598"/>
      <c r="D142" s="598"/>
      <c r="E142" s="616" t="s">
        <v>854</v>
      </c>
      <c r="F142" s="607" t="s">
        <v>744</v>
      </c>
      <c r="G142" s="610"/>
      <c r="H142" s="611"/>
      <c r="I142" s="610"/>
      <c r="J142" s="611"/>
    </row>
    <row r="143" spans="2:11" ht="15" customHeight="1">
      <c r="B143" s="596"/>
      <c r="C143" s="616"/>
      <c r="D143" s="602"/>
      <c r="E143" s="598"/>
      <c r="F143" s="607"/>
      <c r="G143" s="608"/>
      <c r="H143" s="609"/>
      <c r="I143" s="608"/>
      <c r="J143" s="609"/>
    </row>
    <row r="144" spans="2:11" ht="15" customHeight="1">
      <c r="B144" s="596"/>
      <c r="C144" s="598"/>
      <c r="D144" s="602" t="s">
        <v>855</v>
      </c>
      <c r="E144" s="598"/>
      <c r="F144" s="607"/>
      <c r="G144" s="608"/>
      <c r="H144" s="609"/>
      <c r="I144" s="608"/>
      <c r="J144" s="609"/>
    </row>
    <row r="145" spans="2:11" ht="15" customHeight="1">
      <c r="B145" s="596"/>
      <c r="C145" s="598"/>
      <c r="D145" s="598"/>
      <c r="E145" s="616" t="s">
        <v>687</v>
      </c>
      <c r="F145" s="607" t="s">
        <v>744</v>
      </c>
      <c r="G145" s="610"/>
      <c r="H145" s="611"/>
      <c r="I145" s="610"/>
      <c r="J145" s="611"/>
    </row>
    <row r="146" spans="2:11" ht="15" customHeight="1">
      <c r="B146" s="596"/>
      <c r="C146" s="598"/>
      <c r="D146" s="598"/>
      <c r="E146" s="616" t="s">
        <v>688</v>
      </c>
      <c r="F146" s="607" t="s">
        <v>744</v>
      </c>
      <c r="G146" s="610"/>
      <c r="H146" s="611"/>
      <c r="I146" s="610"/>
      <c r="J146" s="611"/>
    </row>
    <row r="147" spans="2:11" ht="15" customHeight="1" thickBot="1">
      <c r="B147" s="592"/>
      <c r="C147" s="593"/>
      <c r="D147" s="593"/>
      <c r="E147" s="593"/>
      <c r="F147" s="383"/>
      <c r="G147" s="620"/>
      <c r="H147" s="621"/>
      <c r="I147" s="620"/>
      <c r="J147" s="621"/>
    </row>
    <row r="148" spans="2:11" ht="15" customHeight="1" thickBot="1">
      <c r="B148" s="616"/>
      <c r="C148" s="616"/>
      <c r="D148" s="616"/>
      <c r="E148" s="616"/>
      <c r="F148" s="616"/>
      <c r="G148" s="376"/>
      <c r="H148" s="376"/>
      <c r="I148" s="376"/>
      <c r="J148" s="376"/>
    </row>
    <row r="149" spans="2:11" ht="15" customHeight="1">
      <c r="B149" s="622"/>
      <c r="C149" s="623" t="s">
        <v>689</v>
      </c>
      <c r="D149" s="623"/>
      <c r="E149" s="624"/>
      <c r="F149" s="625"/>
      <c r="G149" s="626"/>
      <c r="H149" s="627"/>
      <c r="I149" s="626"/>
      <c r="J149" s="627"/>
    </row>
    <row r="150" spans="2:11" ht="15" customHeight="1">
      <c r="B150" s="606"/>
      <c r="C150" s="598"/>
      <c r="D150" s="602"/>
      <c r="E150" s="602" t="s">
        <v>80</v>
      </c>
      <c r="F150" s="607"/>
      <c r="G150" s="384"/>
      <c r="H150" s="385"/>
      <c r="I150" s="384"/>
      <c r="J150" s="385"/>
    </row>
    <row r="151" spans="2:11" ht="15" customHeight="1">
      <c r="B151" s="606"/>
      <c r="C151" s="598"/>
      <c r="D151" s="602"/>
      <c r="E151" s="628" t="s">
        <v>690</v>
      </c>
      <c r="F151" s="607" t="s">
        <v>744</v>
      </c>
      <c r="G151" s="381">
        <v>20.49</v>
      </c>
      <c r="H151" s="382">
        <v>24.997799999999998</v>
      </c>
      <c r="I151" s="381">
        <v>21.37</v>
      </c>
      <c r="J151" s="382">
        <v>24.46</v>
      </c>
      <c r="K151" s="1094"/>
    </row>
    <row r="152" spans="2:11" ht="15" customHeight="1">
      <c r="B152" s="606"/>
      <c r="C152" s="598"/>
      <c r="D152" s="602"/>
      <c r="E152" s="628" t="s">
        <v>691</v>
      </c>
      <c r="F152" s="607" t="s">
        <v>744</v>
      </c>
      <c r="G152" s="381">
        <v>20.49</v>
      </c>
      <c r="H152" s="382">
        <v>24.997799999999998</v>
      </c>
      <c r="I152" s="381">
        <v>21.37</v>
      </c>
      <c r="J152" s="382">
        <v>24.46</v>
      </c>
      <c r="K152" s="1094"/>
    </row>
    <row r="153" spans="2:11" ht="15" customHeight="1">
      <c r="B153" s="606"/>
      <c r="C153" s="598"/>
      <c r="D153" s="602"/>
      <c r="E153" s="602" t="s">
        <v>503</v>
      </c>
      <c r="F153" s="607"/>
      <c r="G153" s="384"/>
      <c r="H153" s="385"/>
      <c r="I153" s="384"/>
      <c r="J153" s="385"/>
    </row>
    <row r="154" spans="2:11" ht="15" customHeight="1">
      <c r="B154" s="606"/>
      <c r="C154" s="598"/>
      <c r="D154" s="602"/>
      <c r="E154" s="628" t="s">
        <v>690</v>
      </c>
      <c r="F154" s="607" t="s">
        <v>744</v>
      </c>
      <c r="G154" s="381"/>
      <c r="H154" s="382"/>
      <c r="I154" s="381"/>
      <c r="J154" s="382"/>
      <c r="K154" s="1094"/>
    </row>
    <row r="155" spans="2:11" ht="15" customHeight="1" thickBot="1">
      <c r="B155" s="629"/>
      <c r="C155" s="630"/>
      <c r="D155" s="631"/>
      <c r="E155" s="632" t="s">
        <v>691</v>
      </c>
      <c r="F155" s="633" t="s">
        <v>744</v>
      </c>
      <c r="G155" s="386"/>
      <c r="H155" s="387"/>
      <c r="I155" s="386"/>
      <c r="J155" s="387"/>
      <c r="K155" s="1094"/>
    </row>
  </sheetData>
  <mergeCells count="2">
    <mergeCell ref="B7:E9"/>
    <mergeCell ref="F7:F9"/>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C1DFFF"/>
  </sheetPr>
  <dimension ref="A1:AL27"/>
  <sheetViews>
    <sheetView workbookViewId="0">
      <selection activeCell="D12" sqref="D12:AK18"/>
    </sheetView>
  </sheetViews>
  <sheetFormatPr defaultColWidth="8.85546875" defaultRowHeight="12.75"/>
  <cols>
    <col min="1" max="2" width="8.85546875" customWidth="1"/>
    <col min="3" max="3" width="19" customWidth="1"/>
  </cols>
  <sheetData>
    <row r="1" spans="1:38">
      <c r="A1" s="510" t="s">
        <v>16</v>
      </c>
      <c r="F1" s="253" t="s">
        <v>216</v>
      </c>
      <c r="H1" t="s">
        <v>412</v>
      </c>
    </row>
    <row r="3" spans="1:38">
      <c r="A3" s="510" t="s">
        <v>29</v>
      </c>
    </row>
    <row r="5" spans="1:38">
      <c r="C5" s="388" t="s">
        <v>413</v>
      </c>
      <c r="D5" s="389"/>
      <c r="E5" s="389"/>
      <c r="F5" s="389"/>
      <c r="G5" s="389"/>
      <c r="H5" s="389"/>
      <c r="I5" s="388"/>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90"/>
    </row>
    <row r="6" spans="1:38">
      <c r="C6" s="391"/>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3"/>
    </row>
    <row r="7" spans="1:38">
      <c r="C7" s="391"/>
      <c r="D7" s="2017" t="s">
        <v>409</v>
      </c>
      <c r="E7" s="2018"/>
      <c r="F7" s="2018"/>
      <c r="G7" s="2018"/>
      <c r="H7" s="2018"/>
      <c r="I7" s="2018"/>
      <c r="J7" s="2018"/>
      <c r="K7" s="2018"/>
      <c r="L7" s="2018"/>
      <c r="M7" s="2018"/>
      <c r="N7" s="2018"/>
      <c r="O7" s="2018"/>
      <c r="P7" s="2018"/>
      <c r="Q7" s="2018"/>
      <c r="R7" s="2018"/>
      <c r="S7" s="2018"/>
      <c r="T7" s="2018"/>
      <c r="U7" s="2018"/>
      <c r="V7" s="2018"/>
      <c r="W7" s="2018"/>
      <c r="X7" s="2019"/>
      <c r="Y7" s="2011" t="s">
        <v>475</v>
      </c>
      <c r="Z7" s="2011" t="s">
        <v>476</v>
      </c>
      <c r="AA7" s="2011" t="s">
        <v>774</v>
      </c>
      <c r="AB7" s="2011" t="s">
        <v>775</v>
      </c>
      <c r="AC7" s="2011" t="s">
        <v>760</v>
      </c>
      <c r="AD7" s="2011" t="s">
        <v>58</v>
      </c>
      <c r="AE7" s="2011" t="s">
        <v>761</v>
      </c>
      <c r="AF7" s="2011" t="s">
        <v>762</v>
      </c>
      <c r="AG7" s="2011" t="s">
        <v>763</v>
      </c>
      <c r="AH7" s="2011" t="s">
        <v>645</v>
      </c>
      <c r="AI7" s="2011" t="s">
        <v>647</v>
      </c>
      <c r="AJ7" s="2011" t="s">
        <v>648</v>
      </c>
      <c r="AK7" s="2020" t="s">
        <v>659</v>
      </c>
      <c r="AL7" s="394"/>
    </row>
    <row r="8" spans="1:38">
      <c r="C8" s="391"/>
      <c r="D8" s="2008" t="s">
        <v>656</v>
      </c>
      <c r="E8" s="2009"/>
      <c r="F8" s="2009"/>
      <c r="G8" s="2009"/>
      <c r="H8" s="2009"/>
      <c r="I8" s="2010"/>
      <c r="J8" s="2014" t="s">
        <v>472</v>
      </c>
      <c r="K8" s="2015"/>
      <c r="L8" s="2015"/>
      <c r="M8" s="2015"/>
      <c r="N8" s="2015"/>
      <c r="O8" s="2015"/>
      <c r="P8" s="2015"/>
      <c r="Q8" s="2015"/>
      <c r="R8" s="2015"/>
      <c r="S8" s="2015"/>
      <c r="T8" s="2015"/>
      <c r="U8" s="2015"/>
      <c r="V8" s="2015"/>
      <c r="W8" s="2015"/>
      <c r="X8" s="2016"/>
      <c r="Y8" s="2012"/>
      <c r="Z8" s="2012"/>
      <c r="AA8" s="2012"/>
      <c r="AB8" s="2012"/>
      <c r="AC8" s="2012"/>
      <c r="AD8" s="2012"/>
      <c r="AE8" s="2012"/>
      <c r="AF8" s="2012"/>
      <c r="AG8" s="2012"/>
      <c r="AH8" s="2012"/>
      <c r="AI8" s="2012"/>
      <c r="AJ8" s="2012"/>
      <c r="AK8" s="2021"/>
      <c r="AL8" s="394"/>
    </row>
    <row r="9" spans="1:38" s="415" customFormat="1" ht="144.75">
      <c r="C9" s="416" t="s">
        <v>504</v>
      </c>
      <c r="D9" s="417" t="s">
        <v>640</v>
      </c>
      <c r="E9" s="417" t="s">
        <v>470</v>
      </c>
      <c r="F9" s="417" t="s">
        <v>471</v>
      </c>
      <c r="G9" s="417" t="s">
        <v>212</v>
      </c>
      <c r="H9" s="417" t="s">
        <v>358</v>
      </c>
      <c r="I9" s="417" t="s">
        <v>214</v>
      </c>
      <c r="J9" s="417" t="s">
        <v>59</v>
      </c>
      <c r="K9" s="418" t="s">
        <v>60</v>
      </c>
      <c r="L9" s="418" t="s">
        <v>61</v>
      </c>
      <c r="M9" s="418" t="s">
        <v>62</v>
      </c>
      <c r="N9" s="418" t="s">
        <v>63</v>
      </c>
      <c r="O9" s="418" t="s">
        <v>64</v>
      </c>
      <c r="P9" s="418" t="s">
        <v>220</v>
      </c>
      <c r="Q9" s="418" t="s">
        <v>221</v>
      </c>
      <c r="R9" s="418" t="s">
        <v>785</v>
      </c>
      <c r="S9" s="418" t="s">
        <v>663</v>
      </c>
      <c r="T9" s="418" t="s">
        <v>784</v>
      </c>
      <c r="U9" s="418" t="s">
        <v>73</v>
      </c>
      <c r="V9" s="418" t="s">
        <v>505</v>
      </c>
      <c r="W9" s="418" t="s">
        <v>189</v>
      </c>
      <c r="X9" s="418" t="s">
        <v>474</v>
      </c>
      <c r="Y9" s="2013"/>
      <c r="Z9" s="2013"/>
      <c r="AA9" s="2013"/>
      <c r="AB9" s="2013"/>
      <c r="AC9" s="2013"/>
      <c r="AD9" s="2013"/>
      <c r="AE9" s="2013"/>
      <c r="AF9" s="2013"/>
      <c r="AG9" s="2013"/>
      <c r="AH9" s="2013"/>
      <c r="AI9" s="2013"/>
      <c r="AJ9" s="2013"/>
      <c r="AK9" s="2022"/>
      <c r="AL9" s="419"/>
    </row>
    <row r="10" spans="1:38">
      <c r="C10" s="395"/>
      <c r="D10" s="396" t="s">
        <v>157</v>
      </c>
      <c r="E10" s="396" t="s">
        <v>157</v>
      </c>
      <c r="F10" s="396" t="s">
        <v>157</v>
      </c>
      <c r="G10" s="396" t="s">
        <v>157</v>
      </c>
      <c r="H10" s="396" t="s">
        <v>157</v>
      </c>
      <c r="I10" s="396" t="s">
        <v>157</v>
      </c>
      <c r="J10" s="396" t="s">
        <v>157</v>
      </c>
      <c r="K10" s="396" t="s">
        <v>157</v>
      </c>
      <c r="L10" s="396" t="s">
        <v>157</v>
      </c>
      <c r="M10" s="396" t="s">
        <v>157</v>
      </c>
      <c r="N10" s="396" t="s">
        <v>157</v>
      </c>
      <c r="O10" s="396" t="s">
        <v>157</v>
      </c>
      <c r="P10" s="396" t="s">
        <v>157</v>
      </c>
      <c r="Q10" s="396" t="s">
        <v>157</v>
      </c>
      <c r="R10" s="396" t="s">
        <v>157</v>
      </c>
      <c r="S10" s="396" t="s">
        <v>157</v>
      </c>
      <c r="T10" s="396" t="s">
        <v>157</v>
      </c>
      <c r="U10" s="396" t="s">
        <v>157</v>
      </c>
      <c r="V10" s="396" t="s">
        <v>157</v>
      </c>
      <c r="W10" s="396" t="s">
        <v>157</v>
      </c>
      <c r="X10" s="396" t="s">
        <v>157</v>
      </c>
      <c r="Y10" s="396" t="s">
        <v>157</v>
      </c>
      <c r="Z10" s="396" t="s">
        <v>157</v>
      </c>
      <c r="AA10" s="396" t="s">
        <v>157</v>
      </c>
      <c r="AB10" s="396" t="s">
        <v>157</v>
      </c>
      <c r="AC10" s="396" t="s">
        <v>157</v>
      </c>
      <c r="AD10" s="396" t="s">
        <v>157</v>
      </c>
      <c r="AE10" s="396" t="s">
        <v>157</v>
      </c>
      <c r="AF10" s="396" t="s">
        <v>157</v>
      </c>
      <c r="AG10" s="396" t="s">
        <v>157</v>
      </c>
      <c r="AH10" s="396" t="s">
        <v>157</v>
      </c>
      <c r="AI10" s="396" t="s">
        <v>157</v>
      </c>
      <c r="AJ10" s="396" t="s">
        <v>157</v>
      </c>
      <c r="AK10" s="396" t="s">
        <v>157</v>
      </c>
      <c r="AL10" s="393"/>
    </row>
    <row r="11" spans="1:38">
      <c r="C11" s="397"/>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3"/>
    </row>
    <row r="12" spans="1:38">
      <c r="C12" s="399" t="s">
        <v>507</v>
      </c>
      <c r="D12" s="400">
        <v>1.4000000000000075</v>
      </c>
      <c r="E12" s="400">
        <v>44.500000000000007</v>
      </c>
      <c r="F12" s="400">
        <v>14.9</v>
      </c>
      <c r="G12" s="400">
        <v>13.5</v>
      </c>
      <c r="H12" s="400">
        <v>7.0000000000000018</v>
      </c>
      <c r="I12" s="400">
        <v>5.3000000000000007</v>
      </c>
      <c r="J12" s="400">
        <v>0.6</v>
      </c>
      <c r="K12" s="400">
        <v>4.5</v>
      </c>
      <c r="L12" s="400">
        <v>4.8999999999999995</v>
      </c>
      <c r="M12" s="400">
        <v>9.6000000000000014</v>
      </c>
      <c r="N12" s="400">
        <v>1.9</v>
      </c>
      <c r="O12" s="400">
        <v>1</v>
      </c>
      <c r="P12" s="400">
        <v>0.7</v>
      </c>
      <c r="Q12" s="400">
        <v>1.2</v>
      </c>
      <c r="R12" s="400">
        <v>4.2</v>
      </c>
      <c r="S12" s="400">
        <v>6.9</v>
      </c>
      <c r="T12" s="400">
        <v>3</v>
      </c>
      <c r="U12" s="400">
        <v>0.89999999999999991</v>
      </c>
      <c r="V12" s="400">
        <v>1.2</v>
      </c>
      <c r="W12" s="400">
        <v>5.8999999999999995</v>
      </c>
      <c r="X12" s="400">
        <v>1.6</v>
      </c>
      <c r="Y12" s="400">
        <v>7.3000000000000007</v>
      </c>
      <c r="Z12" s="400">
        <v>20.5</v>
      </c>
      <c r="AA12" s="400">
        <v>5.8000000000000007</v>
      </c>
      <c r="AB12" s="400">
        <v>25.2</v>
      </c>
      <c r="AC12" s="400">
        <v>0.3</v>
      </c>
      <c r="AD12" s="400">
        <v>0.1</v>
      </c>
      <c r="AE12" s="400">
        <v>1.0999999999999999</v>
      </c>
      <c r="AF12" s="400">
        <v>34</v>
      </c>
      <c r="AG12" s="400">
        <v>18.0171204</v>
      </c>
      <c r="AH12" s="400">
        <v>5.1675739700000003</v>
      </c>
      <c r="AI12" s="400">
        <v>0</v>
      </c>
      <c r="AJ12" s="400">
        <v>-11.484694370000085</v>
      </c>
      <c r="AK12" s="400">
        <v>240.7</v>
      </c>
      <c r="AL12" s="401"/>
    </row>
    <row r="13" spans="1:38">
      <c r="C13" s="399" t="s">
        <v>508</v>
      </c>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3">
        <v>0</v>
      </c>
      <c r="AL13" s="401"/>
    </row>
    <row r="14" spans="1:38">
      <c r="C14" s="399" t="s">
        <v>507</v>
      </c>
      <c r="D14" s="400">
        <v>1.4000000000000075</v>
      </c>
      <c r="E14" s="400">
        <v>44.500000000000007</v>
      </c>
      <c r="F14" s="400">
        <v>14.9</v>
      </c>
      <c r="G14" s="400">
        <v>13.5</v>
      </c>
      <c r="H14" s="400">
        <v>7.0000000000000018</v>
      </c>
      <c r="I14" s="400">
        <v>5.3000000000000007</v>
      </c>
      <c r="J14" s="400">
        <v>0.6</v>
      </c>
      <c r="K14" s="400">
        <v>4.5</v>
      </c>
      <c r="L14" s="400">
        <v>4.8999999999999995</v>
      </c>
      <c r="M14" s="400">
        <v>9.6000000000000014</v>
      </c>
      <c r="N14" s="400">
        <v>1.9</v>
      </c>
      <c r="O14" s="400">
        <v>1</v>
      </c>
      <c r="P14" s="400">
        <v>0.7</v>
      </c>
      <c r="Q14" s="400">
        <v>1.2</v>
      </c>
      <c r="R14" s="400">
        <v>4.2</v>
      </c>
      <c r="S14" s="400">
        <v>6.9</v>
      </c>
      <c r="T14" s="400">
        <v>3</v>
      </c>
      <c r="U14" s="400">
        <v>0.89999999999999991</v>
      </c>
      <c r="V14" s="400">
        <v>1.2</v>
      </c>
      <c r="W14" s="400">
        <v>5.8999999999999995</v>
      </c>
      <c r="X14" s="400">
        <v>1.6</v>
      </c>
      <c r="Y14" s="400">
        <v>7.3000000000000007</v>
      </c>
      <c r="Z14" s="400">
        <v>20.5</v>
      </c>
      <c r="AA14" s="400">
        <v>5.8000000000000007</v>
      </c>
      <c r="AB14" s="400">
        <v>25.2</v>
      </c>
      <c r="AC14" s="400">
        <v>0.3</v>
      </c>
      <c r="AD14" s="400">
        <v>0.1</v>
      </c>
      <c r="AE14" s="400">
        <v>1.0999999999999999</v>
      </c>
      <c r="AF14" s="400">
        <v>34</v>
      </c>
      <c r="AG14" s="400">
        <v>18.0171204</v>
      </c>
      <c r="AH14" s="400">
        <v>5.1675739700000003</v>
      </c>
      <c r="AI14" s="400">
        <v>0</v>
      </c>
      <c r="AJ14" s="400">
        <v>-11.484694370000085</v>
      </c>
      <c r="AK14" s="400">
        <v>240.7</v>
      </c>
      <c r="AL14" s="401"/>
    </row>
    <row r="15" spans="1:38">
      <c r="C15" s="399"/>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1"/>
    </row>
    <row r="16" spans="1:38">
      <c r="C16" s="399" t="s">
        <v>509</v>
      </c>
      <c r="D16" s="400">
        <v>6.5</v>
      </c>
      <c r="E16" s="400">
        <v>38.6</v>
      </c>
      <c r="F16" s="400">
        <v>13.7</v>
      </c>
      <c r="G16" s="400">
        <v>12.9</v>
      </c>
      <c r="H16" s="400">
        <v>7.4</v>
      </c>
      <c r="I16" s="400">
        <v>4.9000000000000004</v>
      </c>
      <c r="J16" s="400">
        <v>0.5</v>
      </c>
      <c r="K16" s="400">
        <v>3.9</v>
      </c>
      <c r="L16" s="400">
        <v>4.2</v>
      </c>
      <c r="M16" s="400">
        <v>8.1999999999999993</v>
      </c>
      <c r="N16" s="400">
        <v>2.1</v>
      </c>
      <c r="O16" s="400">
        <v>0.8</v>
      </c>
      <c r="P16" s="400">
        <v>0.6</v>
      </c>
      <c r="Q16" s="400">
        <v>1.7</v>
      </c>
      <c r="R16" s="400">
        <v>4.2</v>
      </c>
      <c r="S16" s="400">
        <v>6.3</v>
      </c>
      <c r="T16" s="400">
        <v>2.7</v>
      </c>
      <c r="U16" s="400">
        <v>1</v>
      </c>
      <c r="V16" s="400">
        <v>1.1000000000000001</v>
      </c>
      <c r="W16" s="400">
        <v>4.8</v>
      </c>
      <c r="X16" s="400">
        <v>1.7</v>
      </c>
      <c r="Y16" s="400">
        <v>8.3000000000000007</v>
      </c>
      <c r="Z16" s="400">
        <v>10.3</v>
      </c>
      <c r="AA16" s="400">
        <v>5.8</v>
      </c>
      <c r="AB16" s="400">
        <v>28.6</v>
      </c>
      <c r="AC16" s="400">
        <v>-0.1</v>
      </c>
      <c r="AD16" s="400">
        <v>0</v>
      </c>
      <c r="AE16" s="400">
        <v>1.5</v>
      </c>
      <c r="AF16" s="400">
        <v>46.2</v>
      </c>
      <c r="AG16" s="400">
        <v>17.600000000000001</v>
      </c>
      <c r="AH16" s="400">
        <v>4.5999999999999996</v>
      </c>
      <c r="AI16" s="400">
        <v>0</v>
      </c>
      <c r="AJ16" s="400">
        <v>-22.5</v>
      </c>
      <c r="AK16" s="400">
        <v>228.1</v>
      </c>
      <c r="AL16" s="404"/>
    </row>
    <row r="17" spans="3:38">
      <c r="C17" s="399"/>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4"/>
    </row>
    <row r="18" spans="3:38">
      <c r="C18" s="399" t="s">
        <v>510</v>
      </c>
      <c r="D18" s="400">
        <v>9.1</v>
      </c>
      <c r="E18" s="400">
        <v>29.5</v>
      </c>
      <c r="F18" s="400">
        <v>10.3</v>
      </c>
      <c r="G18" s="400">
        <v>14.4</v>
      </c>
      <c r="H18" s="400">
        <v>7.4</v>
      </c>
      <c r="I18" s="400">
        <v>4.2</v>
      </c>
      <c r="J18" s="400">
        <v>0.6</v>
      </c>
      <c r="K18" s="400">
        <v>4</v>
      </c>
      <c r="L18" s="400">
        <v>4</v>
      </c>
      <c r="M18" s="400">
        <v>9.6999999999999993</v>
      </c>
      <c r="N18" s="400">
        <v>2.6</v>
      </c>
      <c r="O18" s="400">
        <v>0.8</v>
      </c>
      <c r="P18" s="400">
        <v>0.6</v>
      </c>
      <c r="Q18" s="400">
        <v>2</v>
      </c>
      <c r="R18" s="400">
        <v>4.0999999999999996</v>
      </c>
      <c r="S18" s="400">
        <v>6.1</v>
      </c>
      <c r="T18" s="400">
        <v>4.7</v>
      </c>
      <c r="U18" s="400">
        <v>0.8</v>
      </c>
      <c r="V18" s="400">
        <v>0.7</v>
      </c>
      <c r="W18" s="400">
        <v>4.5999999999999996</v>
      </c>
      <c r="X18" s="400">
        <v>2</v>
      </c>
      <c r="Y18" s="400">
        <v>1.9</v>
      </c>
      <c r="Z18" s="400">
        <v>7.4</v>
      </c>
      <c r="AA18" s="400">
        <v>6.4</v>
      </c>
      <c r="AB18" s="400">
        <v>34.6</v>
      </c>
      <c r="AC18" s="400">
        <v>0</v>
      </c>
      <c r="AD18" s="400">
        <v>0</v>
      </c>
      <c r="AE18" s="400">
        <v>0</v>
      </c>
      <c r="AF18" s="400">
        <v>44.2</v>
      </c>
      <c r="AG18" s="400">
        <v>17.100000000000001</v>
      </c>
      <c r="AH18" s="400">
        <v>4.0999999999999996</v>
      </c>
      <c r="AI18" s="400">
        <v>0</v>
      </c>
      <c r="AJ18" s="400">
        <v>-26</v>
      </c>
      <c r="AK18" s="400">
        <v>211.9</v>
      </c>
      <c r="AL18" s="404"/>
    </row>
    <row r="19" spans="3:38">
      <c r="C19" s="405"/>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1"/>
    </row>
    <row r="20" spans="3:38">
      <c r="C20" s="392"/>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1"/>
    </row>
    <row r="21" spans="3:38">
      <c r="C21" s="408" t="s">
        <v>481</v>
      </c>
      <c r="D21" s="408"/>
      <c r="E21" s="408"/>
      <c r="F21" s="409"/>
      <c r="G21" s="410"/>
      <c r="H21" s="410"/>
      <c r="I21" s="410"/>
      <c r="J21" s="410"/>
      <c r="K21" s="410"/>
      <c r="L21" s="410"/>
      <c r="M21" s="410"/>
      <c r="N21" s="410"/>
      <c r="O21" s="410"/>
      <c r="P21" s="410"/>
      <c r="Q21" s="410"/>
      <c r="R21" s="411"/>
      <c r="S21" s="408"/>
      <c r="T21" s="408"/>
      <c r="U21" s="408"/>
      <c r="V21" s="408"/>
      <c r="W21" s="408"/>
      <c r="X21" s="408"/>
      <c r="Y21" s="408"/>
      <c r="Z21" s="408"/>
      <c r="AA21" s="408"/>
      <c r="AB21" s="407"/>
      <c r="AC21" s="407"/>
      <c r="AD21" s="407"/>
      <c r="AE21" s="407"/>
      <c r="AF21" s="407"/>
      <c r="AG21" s="407"/>
      <c r="AH21" s="407"/>
      <c r="AI21" s="407"/>
      <c r="AJ21" s="407"/>
      <c r="AK21" s="407"/>
      <c r="AL21" s="401"/>
    </row>
    <row r="22" spans="3:38">
      <c r="C22" s="408">
        <v>1</v>
      </c>
      <c r="D22" s="2006" t="s">
        <v>345</v>
      </c>
      <c r="E22" s="2007"/>
      <c r="F22" s="2007"/>
      <c r="G22" s="2007"/>
      <c r="H22" s="2007"/>
      <c r="I22" s="2007"/>
      <c r="J22" s="2007"/>
      <c r="K22" s="2007"/>
      <c r="L22" s="2007"/>
      <c r="M22" s="2007"/>
      <c r="N22" s="2007"/>
      <c r="O22" s="2007"/>
      <c r="P22" s="2007"/>
      <c r="Q22" s="2007"/>
      <c r="R22" s="2007"/>
      <c r="S22" s="2007"/>
      <c r="T22" s="2007"/>
      <c r="U22" s="2007"/>
      <c r="V22" s="2007"/>
      <c r="W22" s="2007"/>
      <c r="X22" s="2007"/>
      <c r="Y22" s="2007"/>
      <c r="Z22" s="2007"/>
      <c r="AA22" s="2007"/>
      <c r="AB22" s="407"/>
      <c r="AC22" s="407"/>
      <c r="AD22" s="407"/>
      <c r="AE22" s="407"/>
      <c r="AF22" s="407"/>
      <c r="AG22" s="407"/>
      <c r="AH22" s="407"/>
      <c r="AI22" s="407"/>
      <c r="AJ22" s="407"/>
      <c r="AK22" s="407"/>
      <c r="AL22" s="401"/>
    </row>
    <row r="23" spans="3:38">
      <c r="C23" s="408">
        <v>2</v>
      </c>
      <c r="D23" s="2006" t="s">
        <v>414</v>
      </c>
      <c r="E23" s="2007"/>
      <c r="F23" s="2007"/>
      <c r="G23" s="2007"/>
      <c r="H23" s="2007"/>
      <c r="I23" s="2007"/>
      <c r="J23" s="2007"/>
      <c r="K23" s="2007"/>
      <c r="L23" s="2007"/>
      <c r="M23" s="2007"/>
      <c r="N23" s="2007"/>
      <c r="O23" s="2007"/>
      <c r="P23" s="2007"/>
      <c r="Q23" s="2007"/>
      <c r="R23" s="2007"/>
      <c r="S23" s="2007"/>
      <c r="T23" s="2007"/>
      <c r="U23" s="2007"/>
      <c r="V23" s="2007"/>
      <c r="W23" s="2007"/>
      <c r="X23" s="2007"/>
      <c r="Y23" s="2007"/>
      <c r="Z23" s="2007"/>
      <c r="AA23" s="2007"/>
      <c r="AB23" s="407"/>
      <c r="AC23" s="407"/>
      <c r="AD23" s="407"/>
      <c r="AE23" s="407"/>
      <c r="AF23" s="407"/>
      <c r="AG23" s="407"/>
      <c r="AH23" s="407"/>
      <c r="AI23" s="407"/>
      <c r="AJ23" s="407"/>
      <c r="AK23" s="407"/>
      <c r="AL23" s="401"/>
    </row>
    <row r="24" spans="3:38">
      <c r="C24" s="408">
        <v>3</v>
      </c>
      <c r="D24" s="2006" t="s">
        <v>369</v>
      </c>
      <c r="E24" s="2007"/>
      <c r="F24" s="2007"/>
      <c r="G24" s="2007"/>
      <c r="H24" s="2007"/>
      <c r="I24" s="2007"/>
      <c r="J24" s="2007"/>
      <c r="K24" s="2007"/>
      <c r="L24" s="2007"/>
      <c r="M24" s="2007"/>
      <c r="N24" s="2007"/>
      <c r="O24" s="2007"/>
      <c r="P24" s="2007"/>
      <c r="Q24" s="2007"/>
      <c r="R24" s="2007"/>
      <c r="S24" s="2007"/>
      <c r="T24" s="2007"/>
      <c r="U24" s="2007"/>
      <c r="V24" s="2007"/>
      <c r="W24" s="2007"/>
      <c r="X24" s="2007"/>
      <c r="Y24" s="2007"/>
      <c r="Z24" s="2007"/>
      <c r="AA24" s="2007"/>
      <c r="AB24" s="407"/>
      <c r="AC24" s="407"/>
      <c r="AD24" s="407"/>
      <c r="AE24" s="407"/>
      <c r="AF24" s="407"/>
      <c r="AG24" s="407"/>
      <c r="AH24" s="407"/>
      <c r="AI24" s="407"/>
      <c r="AJ24" s="407"/>
      <c r="AK24" s="407"/>
      <c r="AL24" s="401"/>
    </row>
    <row r="25" spans="3:38">
      <c r="C25" s="408">
        <v>4</v>
      </c>
      <c r="D25" s="2006" t="s">
        <v>415</v>
      </c>
      <c r="E25" s="2007"/>
      <c r="F25" s="2007"/>
      <c r="G25" s="2007"/>
      <c r="H25" s="2007"/>
      <c r="I25" s="2007"/>
      <c r="J25" s="2007"/>
      <c r="K25" s="2007"/>
      <c r="L25" s="2007"/>
      <c r="M25" s="2007"/>
      <c r="N25" s="2007"/>
      <c r="O25" s="2007"/>
      <c r="P25" s="2007"/>
      <c r="Q25" s="2007"/>
      <c r="R25" s="2007"/>
      <c r="S25" s="2007"/>
      <c r="T25" s="2007"/>
      <c r="U25" s="2007"/>
      <c r="V25" s="2007"/>
      <c r="W25" s="2007"/>
      <c r="X25" s="2007"/>
      <c r="Y25" s="2007"/>
      <c r="Z25" s="2007"/>
      <c r="AA25" s="2007"/>
      <c r="AB25" s="407"/>
      <c r="AC25" s="407"/>
      <c r="AD25" s="407"/>
      <c r="AE25" s="407"/>
      <c r="AF25" s="407"/>
      <c r="AG25" s="407"/>
      <c r="AH25" s="407"/>
      <c r="AI25" s="407"/>
      <c r="AJ25" s="407"/>
      <c r="AK25" s="407"/>
      <c r="AL25" s="401"/>
    </row>
    <row r="26" spans="3:38">
      <c r="C26" s="408">
        <v>5</v>
      </c>
      <c r="D26" s="2006" t="s">
        <v>416</v>
      </c>
      <c r="E26" s="2007"/>
      <c r="F26" s="2007"/>
      <c r="G26" s="2007"/>
      <c r="H26" s="2007"/>
      <c r="I26" s="2007"/>
      <c r="J26" s="2007"/>
      <c r="K26" s="2007"/>
      <c r="L26" s="2007"/>
      <c r="M26" s="2007"/>
      <c r="N26" s="2007"/>
      <c r="O26" s="2007"/>
      <c r="P26" s="2007"/>
      <c r="Q26" s="2007"/>
      <c r="R26" s="2007"/>
      <c r="S26" s="2007"/>
      <c r="T26" s="2007"/>
      <c r="U26" s="2007"/>
      <c r="V26" s="2007"/>
      <c r="W26" s="2007"/>
      <c r="X26" s="2007"/>
      <c r="Y26" s="2007"/>
      <c r="Z26" s="2007"/>
      <c r="AA26" s="2007"/>
      <c r="AB26" s="407"/>
      <c r="AC26" s="407"/>
      <c r="AD26" s="407"/>
      <c r="AE26" s="407"/>
      <c r="AF26" s="407"/>
      <c r="AG26" s="407"/>
      <c r="AH26" s="407"/>
      <c r="AI26" s="407"/>
      <c r="AJ26" s="407"/>
      <c r="AK26" s="407"/>
      <c r="AL26" s="401"/>
    </row>
    <row r="27" spans="3:38">
      <c r="C27" s="412"/>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4"/>
    </row>
  </sheetData>
  <mergeCells count="21">
    <mergeCell ref="AK7:AK9"/>
    <mergeCell ref="AF7:AF9"/>
    <mergeCell ref="AG7:AG9"/>
    <mergeCell ref="AD7:AD9"/>
    <mergeCell ref="AA7:AA9"/>
    <mergeCell ref="D8:I8"/>
    <mergeCell ref="AJ7:AJ9"/>
    <mergeCell ref="Z7:Z9"/>
    <mergeCell ref="AH7:AH9"/>
    <mergeCell ref="AI7:AI9"/>
    <mergeCell ref="AB7:AB9"/>
    <mergeCell ref="J8:X8"/>
    <mergeCell ref="AE7:AE9"/>
    <mergeCell ref="D7:X7"/>
    <mergeCell ref="Y7:Y9"/>
    <mergeCell ref="AC7:AC9"/>
    <mergeCell ref="D26:AA26"/>
    <mergeCell ref="D22:AA22"/>
    <mergeCell ref="D23:AA23"/>
    <mergeCell ref="D24:AA24"/>
    <mergeCell ref="D25:AA25"/>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C1DFFF"/>
  </sheetPr>
  <dimension ref="A1:R51"/>
  <sheetViews>
    <sheetView zoomScale="85" zoomScaleNormal="85" zoomScalePageLayoutView="85" workbookViewId="0">
      <selection activeCell="M24" sqref="M24"/>
    </sheetView>
  </sheetViews>
  <sheetFormatPr defaultColWidth="8.85546875" defaultRowHeight="12.75"/>
  <cols>
    <col min="1" max="1" width="11.42578125" style="1255" customWidth="1"/>
    <col min="2" max="2" width="8.85546875" style="1255" customWidth="1"/>
    <col min="3" max="3" width="29.85546875" style="1255" customWidth="1"/>
    <col min="4" max="4" width="8.85546875" style="1255" customWidth="1"/>
    <col min="5" max="5" width="25.42578125" style="1255" customWidth="1"/>
    <col min="6" max="6" width="13.42578125" style="1255" customWidth="1"/>
    <col min="7" max="10" width="8.85546875" style="1255"/>
    <col min="11" max="11" width="9.42578125" style="1255" customWidth="1"/>
    <col min="12" max="12" width="8.85546875" style="1255"/>
    <col min="13" max="17" width="12.42578125" style="1255" customWidth="1"/>
    <col min="18" max="16384" width="8.85546875" style="1255"/>
  </cols>
  <sheetData>
    <row r="1" spans="1:18" ht="18" customHeight="1">
      <c r="A1" s="1523" t="s">
        <v>16</v>
      </c>
      <c r="E1" s="1524" t="s">
        <v>216</v>
      </c>
    </row>
    <row r="2" spans="1:18">
      <c r="A2" s="1523"/>
    </row>
    <row r="3" spans="1:18" ht="18" customHeight="1">
      <c r="A3" s="1523" t="s">
        <v>29</v>
      </c>
    </row>
    <row r="5" spans="1:18" ht="17.25" customHeight="1">
      <c r="A5" s="1525" t="s">
        <v>1</v>
      </c>
      <c r="B5" s="1526"/>
      <c r="C5" s="1526"/>
      <c r="D5" s="1527"/>
      <c r="E5" s="1526"/>
      <c r="F5" s="1526"/>
      <c r="G5" s="1526"/>
      <c r="H5" s="1526"/>
      <c r="I5" s="1526"/>
      <c r="J5" s="1526"/>
      <c r="K5" s="1526"/>
      <c r="L5" s="1526"/>
      <c r="M5" s="1526"/>
      <c r="N5" s="1526"/>
      <c r="O5" s="1526"/>
      <c r="P5" s="1526"/>
      <c r="Q5" s="1526"/>
      <c r="R5" s="1526"/>
    </row>
    <row r="6" spans="1:18" ht="18" customHeight="1" thickBot="1">
      <c r="A6" s="1526"/>
      <c r="B6" s="1526"/>
      <c r="C6" s="1526"/>
      <c r="D6" s="1527"/>
      <c r="E6" s="1526"/>
      <c r="F6" s="1526"/>
      <c r="G6" s="1526"/>
      <c r="H6" s="1526"/>
      <c r="I6" s="1526"/>
      <c r="J6" s="1526"/>
      <c r="K6" s="1526"/>
      <c r="L6" s="1526"/>
      <c r="R6" s="1526"/>
    </row>
    <row r="7" spans="1:18" s="1292" customFormat="1" ht="18" customHeight="1" thickBot="1">
      <c r="A7" s="1528"/>
      <c r="B7" s="1528"/>
      <c r="C7" s="1528"/>
      <c r="D7" s="1529"/>
      <c r="E7" s="2030" t="s">
        <v>2</v>
      </c>
      <c r="F7" s="2031"/>
      <c r="G7" s="2032"/>
      <c r="H7" s="1530"/>
      <c r="I7" s="2033" t="s">
        <v>3</v>
      </c>
      <c r="J7" s="2034"/>
      <c r="K7" s="2035"/>
      <c r="L7" s="1528"/>
      <c r="M7" s="2027" t="s">
        <v>410</v>
      </c>
      <c r="N7" s="2028"/>
      <c r="O7" s="2028"/>
      <c r="P7" s="2028"/>
      <c r="Q7" s="2029"/>
      <c r="R7" s="1529"/>
    </row>
    <row r="8" spans="1:18" ht="27.75" customHeight="1" thickBot="1">
      <c r="A8" s="1532"/>
      <c r="B8" s="1532"/>
      <c r="C8" s="1532"/>
      <c r="D8" s="1533"/>
      <c r="E8" s="2036" t="s">
        <v>4</v>
      </c>
      <c r="F8" s="2037"/>
      <c r="G8" s="2038"/>
      <c r="H8" s="1530"/>
      <c r="I8" s="1617" t="s">
        <v>4</v>
      </c>
      <c r="J8" s="1535"/>
      <c r="K8" s="1536" t="s">
        <v>5</v>
      </c>
      <c r="L8" s="1537"/>
      <c r="M8" s="2039" t="s">
        <v>2</v>
      </c>
      <c r="N8" s="2040"/>
      <c r="O8" s="2041"/>
      <c r="P8" s="1537"/>
      <c r="Q8" s="1619" t="s">
        <v>212</v>
      </c>
      <c r="R8" s="1538"/>
    </row>
    <row r="9" spans="1:18" ht="16.5" thickBot="1">
      <c r="A9" s="2042" t="s">
        <v>6</v>
      </c>
      <c r="B9" s="2043"/>
      <c r="C9" s="2044"/>
      <c r="D9" s="424"/>
      <c r="E9" s="1539" t="s">
        <v>7</v>
      </c>
      <c r="F9" s="1540" t="s">
        <v>19</v>
      </c>
      <c r="G9" s="1541" t="s">
        <v>20</v>
      </c>
      <c r="H9" s="1542"/>
      <c r="I9" s="1534" t="s">
        <v>20</v>
      </c>
      <c r="J9" s="1543"/>
      <c r="K9" s="1544" t="s">
        <v>20</v>
      </c>
      <c r="L9" s="1537"/>
      <c r="M9" s="1545" t="s">
        <v>7</v>
      </c>
      <c r="N9" s="1546" t="s">
        <v>19</v>
      </c>
      <c r="O9" s="1547" t="s">
        <v>20</v>
      </c>
      <c r="P9" s="1537"/>
      <c r="Q9" s="1544" t="s">
        <v>20</v>
      </c>
      <c r="R9" s="1538"/>
    </row>
    <row r="10" spans="1:18" ht="16.5" thickBot="1">
      <c r="A10" s="2045"/>
      <c r="B10" s="2046"/>
      <c r="C10" s="2047"/>
      <c r="D10" s="424"/>
      <c r="E10" s="1548" t="s">
        <v>157</v>
      </c>
      <c r="F10" s="1549" t="s">
        <v>157</v>
      </c>
      <c r="G10" s="1550" t="s">
        <v>157</v>
      </c>
      <c r="H10" s="1530"/>
      <c r="I10" s="1551"/>
      <c r="J10" s="1543"/>
      <c r="K10" s="1551"/>
      <c r="L10" s="1537"/>
      <c r="M10" s="1552" t="s">
        <v>157</v>
      </c>
      <c r="N10" s="1553" t="s">
        <v>157</v>
      </c>
      <c r="O10" s="1551" t="s">
        <v>157</v>
      </c>
      <c r="P10" s="1537"/>
      <c r="Q10" s="1551" t="s">
        <v>157</v>
      </c>
      <c r="R10" s="1538"/>
    </row>
    <row r="11" spans="1:18" ht="18" customHeight="1">
      <c r="A11" s="2048" t="s">
        <v>21</v>
      </c>
      <c r="B11" s="2050" t="s">
        <v>104</v>
      </c>
      <c r="C11" s="2051"/>
      <c r="D11" s="427"/>
      <c r="E11" s="2052"/>
      <c r="F11" s="2025">
        <v>0.2</v>
      </c>
      <c r="G11" s="2023">
        <v>0.2</v>
      </c>
      <c r="H11" s="1554"/>
      <c r="I11" s="1555">
        <v>0.7</v>
      </c>
      <c r="J11" s="1533"/>
      <c r="K11" s="1555">
        <v>0.1</v>
      </c>
      <c r="L11" s="1538"/>
      <c r="M11" s="1538"/>
      <c r="N11" s="1538"/>
      <c r="O11" s="1538"/>
      <c r="P11" s="1538"/>
      <c r="Q11" s="1538"/>
      <c r="R11" s="1538"/>
    </row>
    <row r="12" spans="1:18" ht="18" customHeight="1">
      <c r="A12" s="2049"/>
      <c r="B12" s="2054" t="s">
        <v>105</v>
      </c>
      <c r="C12" s="2055"/>
      <c r="D12" s="427"/>
      <c r="E12" s="2053"/>
      <c r="F12" s="2026"/>
      <c r="G12" s="2024"/>
      <c r="H12" s="1554"/>
      <c r="I12" s="1556">
        <v>1.4</v>
      </c>
      <c r="J12" s="1533"/>
      <c r="K12" s="1556"/>
      <c r="L12" s="1538"/>
      <c r="M12" s="1538"/>
      <c r="N12" s="1538"/>
      <c r="O12" s="1538"/>
      <c r="P12" s="1538"/>
      <c r="Q12" s="1538"/>
      <c r="R12" s="1538"/>
    </row>
    <row r="13" spans="1:18" ht="18" customHeight="1">
      <c r="A13" s="2048" t="s">
        <v>848</v>
      </c>
      <c r="B13" s="2070" t="s">
        <v>222</v>
      </c>
      <c r="C13" s="2071"/>
      <c r="D13" s="427"/>
      <c r="E13" s="1342">
        <v>0.3</v>
      </c>
      <c r="F13" s="1557">
        <v>0.6</v>
      </c>
      <c r="G13" s="1340">
        <v>0.89999999999999991</v>
      </c>
      <c r="H13" s="1554"/>
      <c r="I13" s="1556">
        <v>1.5</v>
      </c>
      <c r="J13" s="1533"/>
      <c r="K13" s="1556">
        <v>0.5</v>
      </c>
      <c r="L13" s="1538"/>
      <c r="M13" s="1538"/>
      <c r="N13" s="1538"/>
      <c r="O13" s="1538"/>
      <c r="P13" s="1538"/>
      <c r="Q13" s="1538"/>
      <c r="R13" s="1538"/>
    </row>
    <row r="14" spans="1:18" ht="18" customHeight="1">
      <c r="A14" s="2049"/>
      <c r="B14" s="2058" t="s">
        <v>22</v>
      </c>
      <c r="C14" s="2059"/>
      <c r="D14" s="427"/>
      <c r="E14" s="2072"/>
      <c r="F14" s="2074">
        <v>0.1</v>
      </c>
      <c r="G14" s="2056">
        <v>0.1</v>
      </c>
      <c r="H14" s="1554"/>
      <c r="I14" s="1556">
        <v>1.8</v>
      </c>
      <c r="J14" s="1533"/>
      <c r="K14" s="1556"/>
      <c r="L14" s="1538"/>
      <c r="M14" s="1538"/>
      <c r="N14" s="1538"/>
      <c r="O14" s="1538"/>
      <c r="P14" s="1538"/>
      <c r="Q14" s="1538"/>
      <c r="R14" s="1538"/>
    </row>
    <row r="15" spans="1:18" ht="18" customHeight="1">
      <c r="A15" s="2049"/>
      <c r="B15" s="2058" t="s">
        <v>23</v>
      </c>
      <c r="C15" s="2059"/>
      <c r="D15" s="427"/>
      <c r="E15" s="2073"/>
      <c r="F15" s="2075"/>
      <c r="G15" s="2057"/>
      <c r="H15" s="1554"/>
      <c r="I15" s="1556">
        <v>2.4</v>
      </c>
      <c r="J15" s="1533"/>
      <c r="K15" s="1556"/>
      <c r="L15" s="1538"/>
      <c r="M15" s="1538"/>
      <c r="N15" s="1538"/>
      <c r="O15" s="1538"/>
      <c r="P15" s="1538"/>
      <c r="Q15" s="1538"/>
      <c r="R15" s="1538"/>
    </row>
    <row r="16" spans="1:18" ht="18" customHeight="1" thickBot="1">
      <c r="A16" s="2069"/>
      <c r="B16" s="2060" t="s">
        <v>224</v>
      </c>
      <c r="C16" s="2061"/>
      <c r="D16" s="427"/>
      <c r="E16" s="2053"/>
      <c r="F16" s="2026"/>
      <c r="G16" s="2024"/>
      <c r="H16" s="1554"/>
      <c r="I16" s="1558">
        <v>0.7</v>
      </c>
      <c r="J16" s="1533"/>
      <c r="K16" s="1558"/>
      <c r="L16" s="1538"/>
      <c r="M16" s="1538"/>
      <c r="N16" s="1538"/>
      <c r="O16" s="1538"/>
      <c r="P16" s="1538"/>
      <c r="Q16" s="1538"/>
      <c r="R16" s="1538"/>
    </row>
    <row r="17" spans="1:18" ht="18" customHeight="1">
      <c r="A17" s="2062" t="s">
        <v>24</v>
      </c>
      <c r="B17" s="2050" t="s">
        <v>225</v>
      </c>
      <c r="C17" s="2051"/>
      <c r="D17" s="428"/>
      <c r="E17" s="1342">
        <v>0.6</v>
      </c>
      <c r="F17" s="1557">
        <v>0.2</v>
      </c>
      <c r="G17" s="1340">
        <v>0.8</v>
      </c>
      <c r="H17" s="1554"/>
      <c r="I17" s="1555">
        <v>1</v>
      </c>
      <c r="J17" s="1533"/>
      <c r="K17" s="1559">
        <v>0.2</v>
      </c>
      <c r="L17" s="1538"/>
      <c r="M17" s="1538"/>
      <c r="N17" s="1538"/>
      <c r="O17" s="1538"/>
      <c r="P17" s="1538"/>
      <c r="Q17" s="1538"/>
      <c r="R17" s="1538"/>
    </row>
    <row r="18" spans="1:18" ht="18" customHeight="1">
      <c r="A18" s="2063"/>
      <c r="B18" s="2065" t="s">
        <v>119</v>
      </c>
      <c r="C18" s="2066"/>
      <c r="D18" s="1560"/>
      <c r="E18" s="1561"/>
      <c r="F18" s="1562"/>
      <c r="G18" s="1563">
        <v>0</v>
      </c>
      <c r="H18" s="1554"/>
      <c r="I18" s="1556">
        <v>1.5</v>
      </c>
      <c r="J18" s="1533"/>
      <c r="K18" s="1556">
        <v>0</v>
      </c>
      <c r="L18" s="1538"/>
      <c r="M18" s="1538"/>
      <c r="N18" s="1538"/>
      <c r="O18" s="1538"/>
      <c r="P18" s="1538"/>
      <c r="Q18" s="1538"/>
      <c r="R18" s="1538"/>
    </row>
    <row r="19" spans="1:18" ht="18" customHeight="1" thickBot="1">
      <c r="A19" s="2064"/>
      <c r="B19" s="2067" t="s">
        <v>615</v>
      </c>
      <c r="C19" s="2068"/>
      <c r="D19" s="428"/>
      <c r="E19" s="1341">
        <v>0.2</v>
      </c>
      <c r="F19" s="1564">
        <v>2.5</v>
      </c>
      <c r="G19" s="1339">
        <v>2.7</v>
      </c>
      <c r="H19" s="1554"/>
      <c r="I19" s="1558">
        <v>0.4</v>
      </c>
      <c r="J19" s="1533"/>
      <c r="K19" s="1565"/>
      <c r="L19" s="1538"/>
      <c r="M19" s="1538"/>
      <c r="N19" s="1538"/>
      <c r="O19" s="1538"/>
      <c r="P19" s="1538"/>
      <c r="Q19" s="1538"/>
      <c r="R19" s="1538"/>
    </row>
    <row r="20" spans="1:18" ht="18" customHeight="1">
      <c r="A20" s="2076" t="s">
        <v>245</v>
      </c>
      <c r="B20" s="2078" t="s">
        <v>225</v>
      </c>
      <c r="C20" s="2079"/>
      <c r="D20" s="428"/>
      <c r="E20" s="1566">
        <v>0.1</v>
      </c>
      <c r="F20" s="1567"/>
      <c r="G20" s="1568">
        <v>0.1</v>
      </c>
      <c r="H20" s="1554"/>
      <c r="I20" s="1555">
        <v>0.1</v>
      </c>
      <c r="J20" s="1533"/>
      <c r="K20" s="1555"/>
      <c r="L20" s="1538"/>
      <c r="M20" s="1538"/>
      <c r="N20" s="1538"/>
      <c r="O20" s="1538"/>
      <c r="P20" s="1538"/>
      <c r="Q20" s="1538"/>
      <c r="R20" s="1538"/>
    </row>
    <row r="21" spans="1:18" ht="18" customHeight="1">
      <c r="A21" s="2062"/>
      <c r="B21" s="1344" t="s">
        <v>616</v>
      </c>
      <c r="C21" s="426"/>
      <c r="D21" s="427"/>
      <c r="E21" s="1342"/>
      <c r="F21" s="1557"/>
      <c r="G21" s="1340">
        <v>0</v>
      </c>
      <c r="H21" s="1554"/>
      <c r="I21" s="1559"/>
      <c r="J21" s="1533"/>
      <c r="K21" s="1559"/>
      <c r="L21" s="1538"/>
      <c r="M21" s="1538"/>
      <c r="N21" s="1538"/>
      <c r="O21" s="1538"/>
      <c r="P21" s="1538"/>
      <c r="Q21" s="1538"/>
      <c r="R21" s="1538"/>
    </row>
    <row r="22" spans="1:18" ht="18" customHeight="1">
      <c r="A22" s="2063"/>
      <c r="B22" s="1344" t="s">
        <v>617</v>
      </c>
      <c r="C22" s="426"/>
      <c r="D22" s="427"/>
      <c r="E22" s="1561"/>
      <c r="F22" s="1562"/>
      <c r="G22" s="1563">
        <v>0</v>
      </c>
      <c r="H22" s="1554"/>
      <c r="I22" s="1556">
        <v>0.3</v>
      </c>
      <c r="J22" s="1533"/>
      <c r="K22" s="1556"/>
      <c r="L22" s="1538"/>
      <c r="M22" s="1538"/>
      <c r="N22" s="1538"/>
      <c r="O22" s="1538"/>
      <c r="P22" s="1538"/>
      <c r="Q22" s="1538"/>
      <c r="R22" s="1538"/>
    </row>
    <row r="23" spans="1:18" ht="18" customHeight="1" thickBot="1">
      <c r="A23" s="2077"/>
      <c r="B23" s="2067" t="s">
        <v>615</v>
      </c>
      <c r="C23" s="2068"/>
      <c r="D23" s="427"/>
      <c r="E23" s="1569">
        <v>0.1</v>
      </c>
      <c r="F23" s="1570">
        <v>0.6</v>
      </c>
      <c r="G23" s="1571">
        <v>0.7</v>
      </c>
      <c r="H23" s="1554"/>
      <c r="I23" s="1558">
        <v>0.1</v>
      </c>
      <c r="J23" s="1533"/>
      <c r="K23" s="1558"/>
      <c r="L23" s="1538"/>
      <c r="M23" s="1538"/>
      <c r="N23" s="1538"/>
      <c r="O23" s="1538"/>
      <c r="P23" s="1538"/>
      <c r="Q23" s="1538"/>
      <c r="R23" s="1538"/>
    </row>
    <row r="24" spans="1:18" ht="18" customHeight="1">
      <c r="A24" s="2080" t="s">
        <v>243</v>
      </c>
      <c r="B24" s="2078" t="s">
        <v>225</v>
      </c>
      <c r="C24" s="2079"/>
      <c r="D24" s="428"/>
      <c r="E24" s="1566">
        <v>0.1</v>
      </c>
      <c r="F24" s="1572">
        <v>0.8</v>
      </c>
      <c r="G24" s="1340">
        <v>0.9</v>
      </c>
      <c r="H24" s="1554"/>
      <c r="I24" s="1559"/>
      <c r="J24" s="1533"/>
      <c r="K24" s="1559"/>
      <c r="L24" s="1538"/>
      <c r="M24" s="1566"/>
      <c r="N24" s="1566"/>
      <c r="O24" s="1568">
        <v>0</v>
      </c>
      <c r="P24" s="1538"/>
      <c r="Q24" s="1555"/>
      <c r="R24" s="1538"/>
    </row>
    <row r="25" spans="1:18" ht="18" customHeight="1">
      <c r="A25" s="2081"/>
      <c r="B25" s="1344" t="s">
        <v>616</v>
      </c>
      <c r="C25" s="1345"/>
      <c r="D25" s="427"/>
      <c r="E25" s="1561"/>
      <c r="F25" s="1573"/>
      <c r="G25" s="1563">
        <v>0</v>
      </c>
      <c r="H25" s="1554"/>
      <c r="I25" s="1556">
        <v>0.4</v>
      </c>
      <c r="J25" s="1533"/>
      <c r="K25" s="1556"/>
      <c r="L25" s="1538"/>
      <c r="M25" s="1561"/>
      <c r="N25" s="1561"/>
      <c r="O25" s="1563">
        <v>0</v>
      </c>
      <c r="P25" s="1538"/>
      <c r="Q25" s="1556"/>
      <c r="R25" s="1538"/>
    </row>
    <row r="26" spans="1:18" ht="18" customHeight="1">
      <c r="A26" s="2081"/>
      <c r="B26" s="1344" t="s">
        <v>617</v>
      </c>
      <c r="C26" s="1345"/>
      <c r="D26" s="427"/>
      <c r="E26" s="1561"/>
      <c r="F26" s="1573"/>
      <c r="G26" s="1563">
        <v>0</v>
      </c>
      <c r="H26" s="1554"/>
      <c r="I26" s="1556"/>
      <c r="J26" s="1533"/>
      <c r="K26" s="1556"/>
      <c r="L26" s="1538"/>
      <c r="M26" s="1561"/>
      <c r="N26" s="1561"/>
      <c r="O26" s="1563">
        <v>0</v>
      </c>
      <c r="P26" s="1538"/>
      <c r="Q26" s="1556"/>
      <c r="R26" s="1538"/>
    </row>
    <row r="27" spans="1:18" ht="18" customHeight="1" thickBot="1">
      <c r="A27" s="2081"/>
      <c r="B27" s="2067" t="s">
        <v>615</v>
      </c>
      <c r="C27" s="2068"/>
      <c r="D27" s="427"/>
      <c r="E27" s="1341"/>
      <c r="F27" s="1343">
        <v>0.4</v>
      </c>
      <c r="G27" s="1339">
        <v>0.4</v>
      </c>
      <c r="H27" s="1554"/>
      <c r="I27" s="1565">
        <v>0.1</v>
      </c>
      <c r="J27" s="1533"/>
      <c r="K27" s="1565"/>
      <c r="L27" s="1538"/>
      <c r="M27" s="1569"/>
      <c r="N27" s="1569"/>
      <c r="O27" s="1571">
        <v>0</v>
      </c>
      <c r="P27" s="1538"/>
      <c r="Q27" s="1558"/>
      <c r="R27" s="1538"/>
    </row>
    <row r="28" spans="1:18" ht="18" customHeight="1" thickBot="1">
      <c r="A28" s="2110" t="s">
        <v>618</v>
      </c>
      <c r="B28" s="2111"/>
      <c r="C28" s="2112"/>
      <c r="D28" s="427"/>
      <c r="E28" s="1574"/>
      <c r="F28" s="1575"/>
      <c r="G28" s="1576">
        <v>0</v>
      </c>
      <c r="H28" s="1554"/>
      <c r="I28" s="1577"/>
      <c r="J28" s="1533"/>
      <c r="K28" s="1577"/>
      <c r="L28" s="1538"/>
      <c r="M28" s="1574"/>
      <c r="N28" s="1574"/>
      <c r="O28" s="1576">
        <v>0</v>
      </c>
      <c r="P28" s="1538"/>
      <c r="Q28" s="1577"/>
      <c r="R28" s="1538"/>
    </row>
    <row r="29" spans="1:18" ht="18" customHeight="1" thickBot="1">
      <c r="A29" s="2110" t="s">
        <v>734</v>
      </c>
      <c r="B29" s="2111"/>
      <c r="C29" s="2112"/>
      <c r="D29" s="429"/>
      <c r="E29" s="1578"/>
      <c r="F29" s="1579"/>
      <c r="G29" s="1580"/>
      <c r="H29" s="1581"/>
      <c r="I29" s="1582">
        <v>2</v>
      </c>
      <c r="J29" s="1533"/>
      <c r="K29" s="1582"/>
      <c r="L29" s="1583"/>
      <c r="M29" s="1584"/>
      <c r="N29" s="1585"/>
      <c r="O29" s="1580"/>
      <c r="P29" s="1583"/>
      <c r="Q29" s="1586"/>
      <c r="R29" s="1583"/>
    </row>
    <row r="30" spans="1:18" ht="18" customHeight="1" thickBot="1">
      <c r="A30" s="2110" t="s">
        <v>25</v>
      </c>
      <c r="B30" s="2111"/>
      <c r="C30" s="2112"/>
      <c r="D30" s="429"/>
      <c r="E30" s="1578"/>
      <c r="F30" s="1587">
        <v>0.4</v>
      </c>
      <c r="G30" s="1339">
        <v>0.4</v>
      </c>
      <c r="H30" s="1581"/>
      <c r="I30" s="1588"/>
      <c r="J30" s="1533"/>
      <c r="K30" s="1589"/>
      <c r="L30" s="1583"/>
      <c r="M30" s="1578"/>
      <c r="N30" s="1579"/>
      <c r="O30" s="1580"/>
      <c r="P30" s="1583"/>
      <c r="Q30" s="1590"/>
      <c r="R30" s="1583"/>
    </row>
    <row r="31" spans="1:18" ht="18" customHeight="1" thickBot="1">
      <c r="A31" s="2110" t="s">
        <v>26</v>
      </c>
      <c r="B31" s="2111"/>
      <c r="C31" s="2112"/>
      <c r="D31" s="429"/>
      <c r="E31" s="1578"/>
      <c r="F31" s="1587">
        <v>0.8</v>
      </c>
      <c r="G31" s="1576">
        <v>0.8</v>
      </c>
      <c r="H31" s="1581"/>
      <c r="I31" s="1588"/>
      <c r="J31" s="1533"/>
      <c r="K31" s="1589"/>
      <c r="L31" s="1583"/>
      <c r="M31" s="1578"/>
      <c r="N31" s="1579"/>
      <c r="O31" s="1580"/>
      <c r="P31" s="1583"/>
      <c r="Q31" s="1590"/>
      <c r="R31" s="1583"/>
    </row>
    <row r="32" spans="1:18" ht="18" customHeight="1" thickBot="1">
      <c r="A32" s="2110" t="s">
        <v>27</v>
      </c>
      <c r="B32" s="2111"/>
      <c r="C32" s="2112"/>
      <c r="D32" s="429"/>
      <c r="E32" s="1578"/>
      <c r="F32" s="1579"/>
      <c r="G32" s="1580"/>
      <c r="H32" s="1581"/>
      <c r="I32" s="1582">
        <v>-0.9</v>
      </c>
      <c r="J32" s="1533"/>
      <c r="K32" s="1589"/>
      <c r="L32" s="1583"/>
      <c r="M32" s="1578"/>
      <c r="N32" s="1579"/>
      <c r="O32" s="1580"/>
      <c r="P32" s="1583"/>
      <c r="Q32" s="1590"/>
      <c r="R32" s="1583"/>
    </row>
    <row r="33" spans="1:18" ht="18" customHeight="1" thickBot="1">
      <c r="A33" s="2110" t="s">
        <v>28</v>
      </c>
      <c r="B33" s="2111"/>
      <c r="C33" s="2112"/>
      <c r="D33" s="429"/>
      <c r="E33" s="1578"/>
      <c r="F33" s="1591">
        <v>0.1</v>
      </c>
      <c r="G33" s="1576">
        <v>0.1</v>
      </c>
      <c r="H33" s="1581"/>
      <c r="I33" s="1589"/>
      <c r="J33" s="1533"/>
      <c r="K33" s="1589"/>
      <c r="L33" s="1583"/>
      <c r="M33" s="1578"/>
      <c r="N33" s="1579"/>
      <c r="O33" s="1580"/>
      <c r="P33" s="1583"/>
      <c r="Q33" s="1590"/>
      <c r="R33" s="1583"/>
    </row>
    <row r="34" spans="1:18" ht="18" customHeight="1" thickBot="1">
      <c r="A34" s="2113" t="s">
        <v>246</v>
      </c>
      <c r="B34" s="2114"/>
      <c r="C34" s="2115"/>
      <c r="D34" s="1592"/>
      <c r="E34" s="1593">
        <v>1.4000000000000001</v>
      </c>
      <c r="F34" s="1593">
        <v>6.7</v>
      </c>
      <c r="G34" s="1593">
        <v>8.1000000000000014</v>
      </c>
      <c r="H34" s="1594"/>
      <c r="I34" s="1593">
        <v>13.499999999999998</v>
      </c>
      <c r="J34" s="1592"/>
      <c r="K34" s="1593">
        <v>0.8</v>
      </c>
      <c r="L34" s="1595"/>
      <c r="M34" s="1593">
        <v>0</v>
      </c>
      <c r="N34" s="1593">
        <v>0</v>
      </c>
      <c r="O34" s="1593">
        <v>0</v>
      </c>
      <c r="P34" s="1595"/>
      <c r="Q34" s="1593">
        <v>0</v>
      </c>
      <c r="R34" s="1595"/>
    </row>
    <row r="35" spans="1:18" ht="15" thickBot="1">
      <c r="A35" s="1538"/>
      <c r="B35" s="1538"/>
      <c r="C35" s="1538"/>
      <c r="D35" s="1596"/>
      <c r="E35" s="1538"/>
      <c r="F35" s="1538"/>
      <c r="G35" s="1597"/>
      <c r="H35" s="1538"/>
      <c r="I35" s="1597"/>
      <c r="J35" s="1537"/>
      <c r="K35" s="1597"/>
      <c r="L35" s="1538"/>
      <c r="M35" s="1538"/>
      <c r="N35" s="1538"/>
      <c r="O35" s="1538"/>
      <c r="P35" s="1538"/>
      <c r="Q35" s="1538"/>
      <c r="R35" s="1538"/>
    </row>
    <row r="36" spans="1:18" ht="30.75" thickBot="1">
      <c r="A36" s="1598"/>
      <c r="B36" s="1598"/>
      <c r="C36" s="1599"/>
      <c r="D36" s="476"/>
      <c r="E36" s="1600" t="s">
        <v>747</v>
      </c>
      <c r="F36" s="1601"/>
      <c r="G36" s="1601"/>
      <c r="H36" s="1601"/>
      <c r="I36" s="1618" t="s">
        <v>4</v>
      </c>
      <c r="J36" s="1592"/>
      <c r="K36" s="1603" t="s">
        <v>5</v>
      </c>
      <c r="L36" s="1604"/>
      <c r="M36" s="1595"/>
      <c r="N36" s="1595"/>
      <c r="O36" s="1595"/>
      <c r="P36" s="1595"/>
      <c r="Q36" s="1595"/>
      <c r="R36" s="1595"/>
    </row>
    <row r="37" spans="1:18" ht="17.25" customHeight="1" thickBot="1">
      <c r="A37" s="1595"/>
      <c r="B37" s="1604"/>
      <c r="C37" s="1604"/>
      <c r="D37" s="1604"/>
      <c r="E37" s="2084"/>
      <c r="F37" s="2085"/>
      <c r="G37" s="2085"/>
      <c r="H37" s="2086"/>
      <c r="I37" s="1605" t="s">
        <v>157</v>
      </c>
      <c r="J37" s="1592"/>
      <c r="K37" s="1602" t="s">
        <v>157</v>
      </c>
      <c r="L37" s="1595"/>
      <c r="M37" s="1595"/>
      <c r="N37" s="1595"/>
      <c r="O37" s="1595"/>
      <c r="P37" s="1595"/>
      <c r="Q37" s="1595"/>
      <c r="R37" s="1595"/>
    </row>
    <row r="38" spans="1:18" ht="17.25" customHeight="1">
      <c r="A38" s="1538"/>
      <c r="B38" s="1596"/>
      <c r="C38" s="1596"/>
      <c r="D38" s="1596"/>
      <c r="E38" s="2087" t="s">
        <v>748</v>
      </c>
      <c r="F38" s="2088"/>
      <c r="G38" s="2088"/>
      <c r="H38" s="2089"/>
      <c r="I38" s="1606">
        <v>4.2</v>
      </c>
      <c r="J38" s="1533"/>
      <c r="K38" s="1559">
        <v>0.3</v>
      </c>
      <c r="L38" s="1538"/>
      <c r="M38" s="1538"/>
      <c r="N38" s="1538"/>
      <c r="O38" s="1538"/>
      <c r="P38" s="1538"/>
      <c r="Q38" s="1538"/>
      <c r="R38" s="1538"/>
    </row>
    <row r="39" spans="1:18" ht="17.25" customHeight="1" thickBot="1">
      <c r="A39" s="1538"/>
      <c r="B39" s="1596"/>
      <c r="C39" s="1596"/>
      <c r="D39" s="1596"/>
      <c r="E39" s="2090" t="s">
        <v>749</v>
      </c>
      <c r="F39" s="2091"/>
      <c r="G39" s="2091"/>
      <c r="H39" s="2092"/>
      <c r="I39" s="1607">
        <v>9.3000000000000007</v>
      </c>
      <c r="J39" s="1533"/>
      <c r="K39" s="1565">
        <v>0.5</v>
      </c>
      <c r="L39" s="1538"/>
      <c r="M39" s="1538"/>
      <c r="N39" s="1538"/>
      <c r="O39" s="1538"/>
      <c r="P39" s="1538"/>
      <c r="Q39" s="1538"/>
      <c r="R39" s="1538"/>
    </row>
    <row r="40" spans="1:18" ht="17.25" customHeight="1" thickBot="1">
      <c r="A40" s="1538"/>
      <c r="B40" s="1592"/>
      <c r="C40" s="1592"/>
      <c r="D40" s="1592"/>
      <c r="E40" s="2093" t="s">
        <v>750</v>
      </c>
      <c r="F40" s="2094"/>
      <c r="G40" s="2094"/>
      <c r="H40" s="2095"/>
      <c r="I40" s="1576">
        <v>13.5</v>
      </c>
      <c r="J40" s="1533"/>
      <c r="K40" s="1576">
        <v>0.8</v>
      </c>
      <c r="L40" s="1538"/>
      <c r="M40" s="1538"/>
      <c r="N40" s="1538"/>
      <c r="O40" s="1538"/>
      <c r="P40" s="1538"/>
      <c r="Q40" s="1538"/>
      <c r="R40" s="1538"/>
    </row>
    <row r="41" spans="1:18" ht="15" thickBot="1">
      <c r="A41" s="1538"/>
      <c r="B41" s="1538"/>
      <c r="C41" s="1538"/>
      <c r="D41" s="1596"/>
      <c r="E41" s="1538"/>
      <c r="F41" s="1538"/>
      <c r="G41" s="1538"/>
      <c r="H41" s="1538"/>
      <c r="I41" s="1597"/>
      <c r="J41" s="1608"/>
      <c r="K41" s="1597"/>
      <c r="L41" s="1538"/>
      <c r="M41" s="1538"/>
      <c r="N41" s="1538"/>
      <c r="O41" s="1538"/>
      <c r="P41" s="1538"/>
      <c r="Q41" s="1538"/>
      <c r="R41" s="1538"/>
    </row>
    <row r="42" spans="1:18" ht="20.25">
      <c r="A42" s="1537"/>
      <c r="B42" s="1609"/>
      <c r="C42" s="2096" t="s">
        <v>214</v>
      </c>
      <c r="D42" s="2097"/>
      <c r="E42" s="2097"/>
      <c r="F42" s="2102"/>
      <c r="G42" s="2082" t="s">
        <v>157</v>
      </c>
      <c r="H42" s="1533"/>
      <c r="I42" s="1537"/>
      <c r="J42" s="1537"/>
      <c r="K42" s="1537"/>
      <c r="L42" s="1537"/>
      <c r="M42" s="2096" t="s">
        <v>214</v>
      </c>
      <c r="N42" s="2097"/>
      <c r="O42" s="2082" t="s">
        <v>157</v>
      </c>
      <c r="P42" s="1537"/>
      <c r="Q42" s="1537"/>
      <c r="R42" s="1537"/>
    </row>
    <row r="43" spans="1:18" ht="21" thickBot="1">
      <c r="A43" s="1537"/>
      <c r="B43" s="1609"/>
      <c r="C43" s="2098"/>
      <c r="D43" s="2099"/>
      <c r="E43" s="2099"/>
      <c r="F43" s="2103"/>
      <c r="G43" s="2083"/>
      <c r="H43" s="1533"/>
      <c r="I43" s="1537"/>
      <c r="J43" s="1537"/>
      <c r="K43" s="1537"/>
      <c r="L43" s="1537"/>
      <c r="M43" s="2098"/>
      <c r="N43" s="2099"/>
      <c r="O43" s="2083"/>
      <c r="P43" s="1537"/>
      <c r="Q43" s="1537"/>
      <c r="R43" s="1537"/>
    </row>
    <row r="44" spans="1:18" ht="18" customHeight="1" thickBot="1">
      <c r="A44" s="1537"/>
      <c r="B44" s="1610"/>
      <c r="C44" s="2104" t="s">
        <v>240</v>
      </c>
      <c r="D44" s="2105"/>
      <c r="E44" s="2105"/>
      <c r="F44" s="2106"/>
      <c r="G44" s="1606">
        <v>2.7959164081484307</v>
      </c>
      <c r="H44" s="1533"/>
      <c r="I44" s="1537"/>
      <c r="J44" s="1537"/>
      <c r="K44" s="1537"/>
      <c r="L44" s="1537"/>
      <c r="M44" s="2100" t="s">
        <v>243</v>
      </c>
      <c r="N44" s="2101"/>
      <c r="O44" s="1574">
        <v>0.2</v>
      </c>
      <c r="P44" s="1537"/>
      <c r="Q44" s="1537"/>
      <c r="R44" s="1537"/>
    </row>
    <row r="45" spans="1:18" ht="18" customHeight="1" thickBot="1">
      <c r="A45" s="1537"/>
      <c r="B45" s="1610"/>
      <c r="C45" s="2104" t="s">
        <v>239</v>
      </c>
      <c r="D45" s="2105"/>
      <c r="E45" s="2105"/>
      <c r="F45" s="2106"/>
      <c r="G45" s="1611">
        <v>2.1198961128685072</v>
      </c>
      <c r="H45" s="1533"/>
      <c r="I45" s="1537"/>
      <c r="J45" s="1537"/>
      <c r="K45" s="1537"/>
      <c r="L45" s="1537"/>
      <c r="M45" s="1537"/>
      <c r="N45" s="1537"/>
      <c r="O45" s="1537"/>
      <c r="P45" s="1537"/>
      <c r="Q45" s="1537"/>
      <c r="R45" s="1537"/>
    </row>
    <row r="46" spans="1:18" ht="18" customHeight="1" thickBot="1">
      <c r="A46" s="1537"/>
      <c r="B46" s="1610"/>
      <c r="C46" s="2104" t="s">
        <v>245</v>
      </c>
      <c r="D46" s="2105"/>
      <c r="E46" s="2105"/>
      <c r="F46" s="2106"/>
      <c r="G46" s="1611">
        <v>0.22982393575120072</v>
      </c>
      <c r="H46" s="1533"/>
      <c r="I46" s="1537"/>
      <c r="J46" s="1537"/>
      <c r="K46" s="1537"/>
      <c r="L46" s="1537"/>
      <c r="M46" s="1537"/>
      <c r="N46" s="1537"/>
      <c r="O46" s="1537"/>
      <c r="P46" s="1537"/>
      <c r="Q46" s="1537"/>
      <c r="R46" s="1537"/>
    </row>
    <row r="47" spans="1:18" ht="18" customHeight="1" thickBot="1">
      <c r="A47" s="1537"/>
      <c r="B47" s="1610"/>
      <c r="C47" s="2104" t="s">
        <v>243</v>
      </c>
      <c r="D47" s="2105"/>
      <c r="E47" s="2105"/>
      <c r="F47" s="2106"/>
      <c r="G47" s="1607">
        <v>0.16350619772823258</v>
      </c>
      <c r="H47" s="1533"/>
      <c r="I47" s="1537"/>
      <c r="J47" s="1537"/>
      <c r="K47" s="1537"/>
      <c r="L47" s="1537"/>
      <c r="M47" s="1537"/>
      <c r="N47" s="1537"/>
      <c r="O47" s="1537"/>
      <c r="P47" s="1537"/>
      <c r="Q47" s="1537"/>
      <c r="R47" s="1537"/>
    </row>
    <row r="48" spans="1:18" ht="18" customHeight="1" thickBot="1">
      <c r="A48" s="1537"/>
      <c r="B48" s="1612"/>
      <c r="C48" s="2107" t="s">
        <v>39</v>
      </c>
      <c r="D48" s="2108"/>
      <c r="E48" s="2108"/>
      <c r="F48" s="2109"/>
      <c r="G48" s="1613">
        <v>5.3091426544963713</v>
      </c>
      <c r="H48" s="1533"/>
      <c r="I48" s="1537"/>
      <c r="J48" s="1537"/>
      <c r="K48" s="1537"/>
      <c r="L48" s="1537"/>
      <c r="M48" s="1537"/>
      <c r="N48" s="1537"/>
      <c r="O48" s="1537"/>
      <c r="P48" s="1537"/>
      <c r="Q48" s="1537"/>
      <c r="R48" s="1537"/>
    </row>
    <row r="49" spans="1:18" ht="15">
      <c r="A49" s="470"/>
      <c r="B49" s="470"/>
      <c r="C49" s="470"/>
      <c r="D49" s="470"/>
      <c r="E49" s="470"/>
      <c r="F49" s="470"/>
      <c r="G49" s="1597"/>
      <c r="H49" s="1614"/>
      <c r="I49" s="1615"/>
      <c r="J49" s="1615"/>
      <c r="K49" s="1615"/>
      <c r="L49" s="1616"/>
      <c r="M49" s="1538"/>
      <c r="N49" s="1538"/>
      <c r="O49" s="1538"/>
      <c r="P49" s="1538"/>
      <c r="Q49" s="1538"/>
      <c r="R49" s="1538"/>
    </row>
    <row r="50" spans="1:18" ht="13.5" thickBot="1"/>
    <row r="51" spans="1:18" ht="14.25">
      <c r="E51" s="2104"/>
      <c r="F51" s="2105"/>
      <c r="G51" s="2105"/>
      <c r="H51" s="2106"/>
    </row>
  </sheetData>
  <mergeCells count="52">
    <mergeCell ref="C47:F47"/>
    <mergeCell ref="C48:F48"/>
    <mergeCell ref="E51:H51"/>
    <mergeCell ref="A28:C28"/>
    <mergeCell ref="A34:C34"/>
    <mergeCell ref="A32:C32"/>
    <mergeCell ref="A33:C33"/>
    <mergeCell ref="A29:C29"/>
    <mergeCell ref="A30:C30"/>
    <mergeCell ref="A31:C31"/>
    <mergeCell ref="M44:N44"/>
    <mergeCell ref="C42:F43"/>
    <mergeCell ref="C44:F44"/>
    <mergeCell ref="C45:F45"/>
    <mergeCell ref="C46:F46"/>
    <mergeCell ref="O42:O43"/>
    <mergeCell ref="G42:G43"/>
    <mergeCell ref="E37:H37"/>
    <mergeCell ref="E38:H38"/>
    <mergeCell ref="E39:H39"/>
    <mergeCell ref="E40:H40"/>
    <mergeCell ref="M42:N43"/>
    <mergeCell ref="A20:A23"/>
    <mergeCell ref="B20:C20"/>
    <mergeCell ref="B23:C23"/>
    <mergeCell ref="A24:A27"/>
    <mergeCell ref="B24:C24"/>
    <mergeCell ref="B27:C27"/>
    <mergeCell ref="G14:G16"/>
    <mergeCell ref="B15:C15"/>
    <mergeCell ref="B16:C16"/>
    <mergeCell ref="A17:A19"/>
    <mergeCell ref="B17:C17"/>
    <mergeCell ref="B18:C18"/>
    <mergeCell ref="B19:C19"/>
    <mergeCell ref="A13:A16"/>
    <mergeCell ref="B13:C13"/>
    <mergeCell ref="B14:C14"/>
    <mergeCell ref="E14:E16"/>
    <mergeCell ref="F14:F16"/>
    <mergeCell ref="A9:C10"/>
    <mergeCell ref="A11:A12"/>
    <mergeCell ref="B11:C11"/>
    <mergeCell ref="E11:E12"/>
    <mergeCell ref="B12:C12"/>
    <mergeCell ref="G11:G12"/>
    <mergeCell ref="F11:F12"/>
    <mergeCell ref="M7:Q7"/>
    <mergeCell ref="E7:G7"/>
    <mergeCell ref="I7:K7"/>
    <mergeCell ref="E8:G8"/>
    <mergeCell ref="M8:O8"/>
  </mergeCells>
  <phoneticPr fontId="0" type="noConversion"/>
  <dataValidations count="1">
    <dataValidation type="decimal" operator="lessThanOrEqual" allowBlank="1" showInputMessage="1" showErrorMessage="1" sqref="I32">
      <formula1>0</formula1>
    </dataValidation>
  </dataValidations>
  <hyperlinks>
    <hyperlink ref="E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C1DFFF"/>
  </sheetPr>
  <dimension ref="A1:N89"/>
  <sheetViews>
    <sheetView topLeftCell="A61" zoomScale="80" workbookViewId="0">
      <selection activeCell="E82" sqref="E82:G89"/>
    </sheetView>
  </sheetViews>
  <sheetFormatPr defaultColWidth="8.85546875" defaultRowHeight="12.75"/>
  <cols>
    <col min="1" max="2" width="8.85546875" customWidth="1"/>
    <col min="3" max="3" width="74.85546875" bestFit="1" customWidth="1"/>
    <col min="4" max="4" width="42" customWidth="1"/>
  </cols>
  <sheetData>
    <row r="1" spans="1:14" s="1255" customFormat="1">
      <c r="A1" s="1523" t="s">
        <v>16</v>
      </c>
      <c r="E1" s="1524" t="s">
        <v>216</v>
      </c>
    </row>
    <row r="2" spans="1:14">
      <c r="A2" s="510"/>
    </row>
    <row r="3" spans="1:14">
      <c r="A3" s="510" t="s">
        <v>29</v>
      </c>
    </row>
    <row r="5" spans="1:14" ht="20.25">
      <c r="A5" s="420" t="s">
        <v>194</v>
      </c>
      <c r="B5" s="421"/>
      <c r="C5" s="421"/>
      <c r="D5" s="422"/>
      <c r="E5" s="421"/>
      <c r="F5" s="421"/>
      <c r="G5" s="421"/>
      <c r="H5" s="421"/>
      <c r="I5" s="421"/>
      <c r="J5" s="421"/>
      <c r="K5" s="421"/>
      <c r="L5" s="421"/>
      <c r="M5" s="432"/>
      <c r="N5" s="432"/>
    </row>
    <row r="6" spans="1:14" ht="21" thickBot="1">
      <c r="A6" s="420"/>
      <c r="B6" s="421"/>
      <c r="C6" s="421"/>
      <c r="D6" s="422"/>
      <c r="E6" s="421"/>
      <c r="F6" s="421"/>
      <c r="G6" s="421"/>
      <c r="H6" s="421"/>
      <c r="I6" s="421"/>
      <c r="J6" s="421"/>
      <c r="K6" s="421"/>
      <c r="L6" s="421"/>
      <c r="M6" s="432"/>
      <c r="N6" s="432"/>
    </row>
    <row r="7" spans="1:14" ht="18.75" thickBot="1">
      <c r="A7" s="423"/>
      <c r="B7" s="423"/>
      <c r="C7" s="2129" t="s">
        <v>753</v>
      </c>
      <c r="D7" s="2130"/>
      <c r="E7" s="433"/>
      <c r="F7" s="433"/>
      <c r="G7" s="433"/>
      <c r="H7" s="433"/>
      <c r="I7" s="433"/>
      <c r="J7" s="433"/>
      <c r="K7" s="433"/>
      <c r="L7" s="434"/>
      <c r="M7" s="423"/>
      <c r="N7" s="423"/>
    </row>
    <row r="8" spans="1:14" ht="105" thickBot="1">
      <c r="A8" s="423"/>
      <c r="B8" s="423"/>
      <c r="C8" s="2042" t="s">
        <v>83</v>
      </c>
      <c r="D8" s="2044"/>
      <c r="E8" s="435" t="s">
        <v>84</v>
      </c>
      <c r="F8" s="1621" t="s">
        <v>85</v>
      </c>
      <c r="G8" s="1621" t="s">
        <v>86</v>
      </c>
      <c r="H8" s="435" t="s">
        <v>159</v>
      </c>
      <c r="I8" s="1621" t="s">
        <v>160</v>
      </c>
      <c r="J8" s="1622" t="s">
        <v>15</v>
      </c>
      <c r="K8" s="1623" t="s">
        <v>786</v>
      </c>
      <c r="L8" s="436" t="s">
        <v>246</v>
      </c>
      <c r="M8" s="423"/>
      <c r="N8" s="423"/>
    </row>
    <row r="9" spans="1:14" ht="15.75" thickBot="1">
      <c r="A9" s="423"/>
      <c r="B9" s="423"/>
      <c r="C9" s="2045"/>
      <c r="D9" s="2047"/>
      <c r="E9" s="437" t="s">
        <v>157</v>
      </c>
      <c r="F9" s="438" t="s">
        <v>157</v>
      </c>
      <c r="G9" s="438" t="s">
        <v>157</v>
      </c>
      <c r="H9" s="437" t="s">
        <v>157</v>
      </c>
      <c r="I9" s="438" t="s">
        <v>157</v>
      </c>
      <c r="J9" s="438" t="s">
        <v>157</v>
      </c>
      <c r="K9" s="439" t="s">
        <v>157</v>
      </c>
      <c r="L9" s="440" t="s">
        <v>157</v>
      </c>
      <c r="M9" s="423"/>
      <c r="N9" s="423"/>
    </row>
    <row r="10" spans="1:14" ht="15">
      <c r="A10" s="423"/>
      <c r="B10" s="423"/>
      <c r="C10" s="2139" t="s">
        <v>670</v>
      </c>
      <c r="D10" s="2140"/>
      <c r="E10" s="441"/>
      <c r="F10" s="442"/>
      <c r="G10" s="442"/>
      <c r="H10" s="441"/>
      <c r="I10" s="442"/>
      <c r="J10" s="443"/>
      <c r="K10" s="443"/>
      <c r="L10" s="444">
        <f t="shared" ref="L10" si="0">SUM(E10:K10)</f>
        <v>0</v>
      </c>
      <c r="M10" s="423"/>
      <c r="N10" s="423"/>
    </row>
    <row r="11" spans="1:14" ht="14.25">
      <c r="A11" s="423"/>
      <c r="B11" s="423"/>
      <c r="C11" s="2123" t="s">
        <v>671</v>
      </c>
      <c r="D11" s="2124"/>
      <c r="E11" s="1093">
        <v>19.100000000000001</v>
      </c>
      <c r="F11" s="1093">
        <v>0</v>
      </c>
      <c r="G11" s="1093">
        <v>0.3</v>
      </c>
      <c r="H11" s="1093">
        <v>0.5</v>
      </c>
      <c r="I11" s="445"/>
      <c r="J11" s="446"/>
      <c r="K11" s="447"/>
      <c r="L11" s="448">
        <v>19.900000000000002</v>
      </c>
      <c r="M11" s="423"/>
      <c r="N11" s="423"/>
    </row>
    <row r="12" spans="1:14" ht="14.25">
      <c r="A12" s="423"/>
      <c r="B12" s="423"/>
      <c r="C12" s="2123" t="s">
        <v>672</v>
      </c>
      <c r="D12" s="2124"/>
      <c r="E12" s="1093">
        <v>1.1000000000000001</v>
      </c>
      <c r="F12" s="1093">
        <v>0</v>
      </c>
      <c r="G12" s="1093">
        <v>0.5</v>
      </c>
      <c r="H12" s="1093">
        <v>2</v>
      </c>
      <c r="I12" s="445"/>
      <c r="J12" s="446"/>
      <c r="K12" s="447"/>
      <c r="L12" s="448">
        <v>3.6</v>
      </c>
      <c r="M12" s="423"/>
      <c r="N12" s="423"/>
    </row>
    <row r="13" spans="1:14" ht="14.25">
      <c r="A13" s="423"/>
      <c r="B13" s="423"/>
      <c r="C13" s="2123" t="s">
        <v>845</v>
      </c>
      <c r="D13" s="2124"/>
      <c r="E13" s="1093">
        <v>0</v>
      </c>
      <c r="F13" s="1093">
        <v>0</v>
      </c>
      <c r="G13" s="1093">
        <v>0</v>
      </c>
      <c r="H13" s="1093">
        <v>0</v>
      </c>
      <c r="I13" s="445"/>
      <c r="J13" s="446"/>
      <c r="K13" s="447"/>
      <c r="L13" s="448">
        <v>0</v>
      </c>
      <c r="M13" s="423"/>
      <c r="N13" s="423"/>
    </row>
    <row r="14" spans="1:14" ht="14.25">
      <c r="A14" s="423"/>
      <c r="B14" s="423"/>
      <c r="C14" s="2125" t="s">
        <v>846</v>
      </c>
      <c r="D14" s="2126"/>
      <c r="E14" s="1093">
        <v>0</v>
      </c>
      <c r="F14" s="1093">
        <v>0</v>
      </c>
      <c r="G14" s="1093">
        <v>0</v>
      </c>
      <c r="H14" s="1093">
        <v>0</v>
      </c>
      <c r="I14" s="445"/>
      <c r="J14" s="446"/>
      <c r="K14" s="447"/>
      <c r="L14" s="448">
        <v>0</v>
      </c>
      <c r="M14" s="423"/>
      <c r="N14" s="423"/>
    </row>
    <row r="15" spans="1:14" ht="15">
      <c r="A15" s="423"/>
      <c r="B15" s="423"/>
      <c r="C15" s="2127" t="s">
        <v>847</v>
      </c>
      <c r="D15" s="2128"/>
      <c r="E15" s="449"/>
      <c r="F15" s="450"/>
      <c r="G15" s="450"/>
      <c r="H15" s="449"/>
      <c r="I15" s="445"/>
      <c r="J15" s="446"/>
      <c r="K15" s="447"/>
      <c r="L15" s="451">
        <v>0</v>
      </c>
      <c r="M15" s="423"/>
      <c r="N15" s="423"/>
    </row>
    <row r="16" spans="1:14" ht="14.25">
      <c r="A16" s="423"/>
      <c r="B16" s="423"/>
      <c r="C16" s="2125" t="s">
        <v>848</v>
      </c>
      <c r="D16" s="2126"/>
      <c r="E16" s="452"/>
      <c r="F16" s="445"/>
      <c r="G16" s="445"/>
      <c r="H16" s="445"/>
      <c r="I16" s="1093">
        <v>0.3</v>
      </c>
      <c r="J16" s="1093">
        <v>0</v>
      </c>
      <c r="K16" s="447"/>
      <c r="L16" s="448">
        <v>0.3</v>
      </c>
      <c r="M16" s="423"/>
      <c r="N16" s="423"/>
    </row>
    <row r="17" spans="1:14" ht="14.25">
      <c r="A17" s="423"/>
      <c r="B17" s="423"/>
      <c r="C17" s="2125" t="s">
        <v>843</v>
      </c>
      <c r="D17" s="2126"/>
      <c r="E17" s="452"/>
      <c r="F17" s="445"/>
      <c r="G17" s="445"/>
      <c r="H17" s="445"/>
      <c r="I17" s="1093">
        <v>0.5</v>
      </c>
      <c r="J17" s="1093">
        <v>0</v>
      </c>
      <c r="K17" s="447"/>
      <c r="L17" s="448">
        <v>0.5</v>
      </c>
      <c r="M17" s="423"/>
      <c r="N17" s="423"/>
    </row>
    <row r="18" spans="1:14" ht="14.25">
      <c r="A18" s="423"/>
      <c r="B18" s="423"/>
      <c r="C18" s="2125" t="s">
        <v>844</v>
      </c>
      <c r="D18" s="2126"/>
      <c r="E18" s="452"/>
      <c r="F18" s="445"/>
      <c r="G18" s="445"/>
      <c r="H18" s="445"/>
      <c r="I18" s="1093">
        <v>2.2999999999999998</v>
      </c>
      <c r="J18" s="1093">
        <v>0</v>
      </c>
      <c r="K18" s="447"/>
      <c r="L18" s="448">
        <v>2.2999999999999998</v>
      </c>
      <c r="M18" s="423"/>
      <c r="N18" s="423"/>
    </row>
    <row r="19" spans="1:14" ht="14.25">
      <c r="A19" s="423"/>
      <c r="B19" s="423"/>
      <c r="C19" s="2125" t="s">
        <v>787</v>
      </c>
      <c r="D19" s="2126"/>
      <c r="E19" s="452"/>
      <c r="F19" s="445"/>
      <c r="G19" s="445"/>
      <c r="H19" s="445"/>
      <c r="I19" s="1093">
        <v>2.6</v>
      </c>
      <c r="J19" s="1093">
        <v>0</v>
      </c>
      <c r="K19" s="447"/>
      <c r="L19" s="448">
        <v>2.6</v>
      </c>
      <c r="M19" s="423"/>
      <c r="N19" s="423"/>
    </row>
    <row r="20" spans="1:14" ht="15">
      <c r="A20" s="423"/>
      <c r="B20" s="423"/>
      <c r="C20" s="2127" t="s">
        <v>786</v>
      </c>
      <c r="D20" s="2128"/>
      <c r="E20" s="453"/>
      <c r="F20" s="454"/>
      <c r="G20" s="454"/>
      <c r="H20" s="454"/>
      <c r="I20" s="454"/>
      <c r="J20" s="447"/>
      <c r="K20" s="1093"/>
      <c r="L20" s="448">
        <v>0</v>
      </c>
      <c r="M20" s="423"/>
      <c r="N20" s="423"/>
    </row>
    <row r="21" spans="1:14" ht="15">
      <c r="A21" s="423"/>
      <c r="B21" s="423"/>
      <c r="C21" s="2127" t="s">
        <v>788</v>
      </c>
      <c r="D21" s="2128"/>
      <c r="E21" s="455">
        <v>20.200000000000003</v>
      </c>
      <c r="F21" s="455">
        <v>0</v>
      </c>
      <c r="G21" s="455">
        <v>0.8</v>
      </c>
      <c r="H21" s="455">
        <v>2.5</v>
      </c>
      <c r="I21" s="455">
        <v>5.6999999999999993</v>
      </c>
      <c r="J21" s="455">
        <v>0</v>
      </c>
      <c r="K21" s="456">
        <v>0</v>
      </c>
      <c r="L21" s="457">
        <v>29.200000000000006</v>
      </c>
      <c r="M21" s="458"/>
      <c r="N21" s="423"/>
    </row>
    <row r="22" spans="1:14" ht="15" customHeight="1">
      <c r="A22" s="423"/>
      <c r="B22" s="423"/>
      <c r="C22" s="2125" t="s">
        <v>789</v>
      </c>
      <c r="D22" s="2126"/>
      <c r="E22" s="1093"/>
      <c r="F22" s="445"/>
      <c r="G22" s="1093"/>
      <c r="H22" s="1093"/>
      <c r="I22" s="1093"/>
      <c r="J22" s="1093"/>
      <c r="K22" s="1093"/>
      <c r="L22" s="448">
        <v>0</v>
      </c>
      <c r="M22" s="458"/>
      <c r="N22" s="423"/>
    </row>
    <row r="23" spans="1:14" ht="15">
      <c r="A23" s="423"/>
      <c r="B23" s="423"/>
      <c r="C23" s="2127" t="s">
        <v>837</v>
      </c>
      <c r="D23" s="2128"/>
      <c r="E23" s="455">
        <v>20.200000000000003</v>
      </c>
      <c r="F23" s="459">
        <v>0</v>
      </c>
      <c r="G23" s="459">
        <v>0.8</v>
      </c>
      <c r="H23" s="459">
        <v>2.5</v>
      </c>
      <c r="I23" s="459">
        <v>5.6999999999999993</v>
      </c>
      <c r="J23" s="459">
        <v>0</v>
      </c>
      <c r="K23" s="460">
        <v>0</v>
      </c>
      <c r="L23" s="457">
        <v>29.200000000000003</v>
      </c>
      <c r="M23" s="461"/>
      <c r="N23" s="423"/>
    </row>
    <row r="24" spans="1:14" ht="15.75" thickBot="1">
      <c r="A24" s="423"/>
      <c r="B24" s="423"/>
      <c r="C24" s="2125" t="s">
        <v>838</v>
      </c>
      <c r="D24" s="2126"/>
      <c r="E24" s="1093">
        <v>-26.8</v>
      </c>
      <c r="F24" s="1093"/>
      <c r="G24" s="1093">
        <v>-1</v>
      </c>
      <c r="H24" s="462"/>
      <c r="I24" s="463"/>
      <c r="J24" s="463"/>
      <c r="K24" s="1093">
        <v>0</v>
      </c>
      <c r="L24" s="464">
        <v>-27.8</v>
      </c>
      <c r="M24" s="465"/>
      <c r="N24" s="423"/>
    </row>
    <row r="25" spans="1:14" ht="15.75" thickBot="1">
      <c r="A25" s="423"/>
      <c r="B25" s="423"/>
      <c r="C25" s="2127" t="s">
        <v>839</v>
      </c>
      <c r="D25" s="2128"/>
      <c r="E25" s="466">
        <v>-6.5999999999999979</v>
      </c>
      <c r="F25" s="467">
        <v>0</v>
      </c>
      <c r="G25" s="467">
        <v>-0.19999999999999996</v>
      </c>
      <c r="H25" s="467">
        <v>2.5</v>
      </c>
      <c r="I25" s="467">
        <v>5.6999999999999993</v>
      </c>
      <c r="J25" s="467">
        <v>0</v>
      </c>
      <c r="K25" s="468">
        <v>0</v>
      </c>
      <c r="L25" s="469">
        <v>1.4000000000000012</v>
      </c>
      <c r="M25" s="461"/>
      <c r="N25" s="423"/>
    </row>
    <row r="26" spans="1:14" ht="15.75" thickBot="1">
      <c r="A26" s="423"/>
      <c r="B26" s="423"/>
      <c r="C26" s="470"/>
      <c r="D26" s="470"/>
      <c r="E26" s="471"/>
      <c r="F26" s="471"/>
      <c r="G26" s="431"/>
      <c r="H26" s="472"/>
      <c r="I26" s="423"/>
      <c r="J26" s="423"/>
      <c r="K26" s="423"/>
      <c r="L26" s="423"/>
      <c r="M26" s="423"/>
      <c r="N26" s="423"/>
    </row>
    <row r="27" spans="1:14" ht="18.75" thickBot="1">
      <c r="A27" s="423"/>
      <c r="B27" s="423"/>
      <c r="C27" s="2131" t="s">
        <v>919</v>
      </c>
      <c r="D27" s="2132"/>
      <c r="E27" s="473"/>
      <c r="F27" s="473"/>
      <c r="G27" s="474"/>
      <c r="H27" s="423"/>
      <c r="I27" s="423"/>
      <c r="J27" s="423"/>
      <c r="K27" s="423"/>
      <c r="L27" s="430"/>
      <c r="M27" s="423"/>
      <c r="N27" s="423"/>
    </row>
    <row r="28" spans="1:14" ht="18" customHeight="1" thickBot="1">
      <c r="A28" s="423"/>
      <c r="B28" s="423"/>
      <c r="C28" s="2042" t="s">
        <v>83</v>
      </c>
      <c r="D28" s="2044"/>
      <c r="E28" s="2116" t="s">
        <v>49</v>
      </c>
      <c r="F28" s="2117"/>
      <c r="G28" s="475"/>
      <c r="H28" s="423"/>
      <c r="I28" s="423"/>
      <c r="J28" s="423"/>
      <c r="K28" s="423"/>
      <c r="L28" s="430"/>
      <c r="M28" s="423"/>
      <c r="N28" s="423"/>
    </row>
    <row r="29" spans="1:14" ht="45.75" thickBot="1">
      <c r="A29" s="423"/>
      <c r="B29" s="423"/>
      <c r="C29" s="2133"/>
      <c r="D29" s="2134"/>
      <c r="E29" s="1624" t="s">
        <v>851</v>
      </c>
      <c r="F29" s="1624" t="s">
        <v>101</v>
      </c>
      <c r="G29" s="1624" t="s">
        <v>102</v>
      </c>
      <c r="H29" s="423"/>
      <c r="I29" s="423"/>
      <c r="J29" s="423"/>
      <c r="K29" s="423"/>
      <c r="L29" s="430"/>
      <c r="M29" s="423"/>
      <c r="N29" s="423"/>
    </row>
    <row r="30" spans="1:14" ht="15.75" thickBot="1">
      <c r="A30" s="423"/>
      <c r="B30" s="423"/>
      <c r="C30" s="2045"/>
      <c r="D30" s="2047"/>
      <c r="E30" s="425" t="s">
        <v>157</v>
      </c>
      <c r="F30" s="425" t="s">
        <v>157</v>
      </c>
      <c r="G30" s="425" t="s">
        <v>157</v>
      </c>
      <c r="H30" s="423"/>
      <c r="I30" s="423"/>
      <c r="J30" s="423"/>
      <c r="K30" s="423"/>
      <c r="L30" s="430"/>
      <c r="M30" s="423"/>
      <c r="N30" s="423"/>
    </row>
    <row r="31" spans="1:14" s="1255" customFormat="1" ht="18" customHeight="1">
      <c r="A31" s="1538"/>
      <c r="B31" s="1538"/>
      <c r="C31" s="2118" t="s">
        <v>103</v>
      </c>
      <c r="D31" s="478" t="s">
        <v>104</v>
      </c>
      <c r="E31" s="1625">
        <v>1.7</v>
      </c>
      <c r="F31" s="1626">
        <v>0</v>
      </c>
      <c r="G31" s="1627">
        <v>1.7</v>
      </c>
      <c r="H31" s="1538"/>
      <c r="I31" s="1538"/>
      <c r="J31" s="1538"/>
      <c r="K31" s="1538"/>
      <c r="L31" s="1595"/>
      <c r="M31" s="1538"/>
      <c r="N31" s="1538"/>
    </row>
    <row r="32" spans="1:14" s="1255" customFormat="1" ht="18" customHeight="1" thickBot="1">
      <c r="A32" s="1538"/>
      <c r="B32" s="1538"/>
      <c r="C32" s="2119"/>
      <c r="D32" s="1628" t="s">
        <v>105</v>
      </c>
      <c r="E32" s="1629">
        <v>1.1000000000000001</v>
      </c>
      <c r="F32" s="1629">
        <v>0</v>
      </c>
      <c r="G32" s="1630">
        <v>1.1000000000000001</v>
      </c>
      <c r="H32" s="1538"/>
      <c r="I32" s="1538"/>
      <c r="J32" s="1538"/>
      <c r="K32" s="1538"/>
      <c r="L32" s="1595"/>
      <c r="M32" s="1538"/>
      <c r="N32" s="1538"/>
    </row>
    <row r="33" spans="1:14" s="1255" customFormat="1" ht="18" customHeight="1">
      <c r="A33" s="1538"/>
      <c r="B33" s="1538"/>
      <c r="C33" s="2118" t="s">
        <v>106</v>
      </c>
      <c r="D33" s="478" t="s">
        <v>104</v>
      </c>
      <c r="E33" s="1626">
        <v>0.1</v>
      </c>
      <c r="F33" s="1626">
        <v>0</v>
      </c>
      <c r="G33" s="1627">
        <v>0.1</v>
      </c>
      <c r="H33" s="1538"/>
      <c r="I33" s="1538"/>
      <c r="J33" s="1538"/>
      <c r="K33" s="1538"/>
      <c r="L33" s="1595"/>
      <c r="M33" s="1538"/>
      <c r="N33" s="1538"/>
    </row>
    <row r="34" spans="1:14" s="1255" customFormat="1" ht="18" customHeight="1" thickBot="1">
      <c r="A34" s="1538"/>
      <c r="B34" s="1538"/>
      <c r="C34" s="2119"/>
      <c r="D34" s="1628" t="s">
        <v>105</v>
      </c>
      <c r="E34" s="1629">
        <v>0.8</v>
      </c>
      <c r="F34" s="1629">
        <v>0</v>
      </c>
      <c r="G34" s="1630">
        <v>0.8</v>
      </c>
      <c r="H34" s="1538"/>
      <c r="I34" s="1538"/>
      <c r="J34" s="1538"/>
      <c r="K34" s="1538"/>
      <c r="L34" s="1595"/>
      <c r="M34" s="1538"/>
      <c r="N34" s="1538"/>
    </row>
    <row r="35" spans="1:14" s="1255" customFormat="1" ht="18" customHeight="1">
      <c r="A35" s="1538"/>
      <c r="B35" s="1538"/>
      <c r="C35" s="2120" t="s">
        <v>848</v>
      </c>
      <c r="D35" s="478" t="s">
        <v>222</v>
      </c>
      <c r="E35" s="1626">
        <v>5.3</v>
      </c>
      <c r="F35" s="1626">
        <v>0</v>
      </c>
      <c r="G35" s="1627">
        <v>5.3</v>
      </c>
      <c r="H35" s="1538"/>
      <c r="I35" s="1538"/>
      <c r="J35" s="1538"/>
      <c r="K35" s="1538"/>
      <c r="L35" s="1595"/>
      <c r="M35" s="1538"/>
      <c r="N35" s="1538"/>
    </row>
    <row r="36" spans="1:14" s="1255" customFormat="1" ht="18" customHeight="1">
      <c r="A36" s="1538"/>
      <c r="B36" s="1538"/>
      <c r="C36" s="2121"/>
      <c r="D36" s="1631" t="s">
        <v>223</v>
      </c>
      <c r="E36" s="1632">
        <v>0.8</v>
      </c>
      <c r="F36" s="1632">
        <v>1.3</v>
      </c>
      <c r="G36" s="1633">
        <v>2.1</v>
      </c>
      <c r="H36" s="1538"/>
      <c r="I36" s="1538"/>
      <c r="J36" s="1538"/>
      <c r="K36" s="1538"/>
      <c r="L36" s="1595"/>
      <c r="M36" s="1538"/>
      <c r="N36" s="1538"/>
    </row>
    <row r="37" spans="1:14" s="1255" customFormat="1" ht="18" customHeight="1" thickBot="1">
      <c r="A37" s="1538"/>
      <c r="B37" s="1538"/>
      <c r="C37" s="2122"/>
      <c r="D37" s="477" t="s">
        <v>224</v>
      </c>
      <c r="E37" s="1634">
        <v>0</v>
      </c>
      <c r="F37" s="1634">
        <v>0</v>
      </c>
      <c r="G37" s="1630">
        <v>0</v>
      </c>
      <c r="H37" s="1538"/>
      <c r="I37" s="1538"/>
      <c r="J37" s="1538"/>
      <c r="K37" s="1538"/>
      <c r="L37" s="1595"/>
      <c r="M37" s="1538"/>
      <c r="N37" s="1538"/>
    </row>
    <row r="38" spans="1:14" s="1255" customFormat="1" ht="18" customHeight="1">
      <c r="A38" s="1538"/>
      <c r="B38" s="1538"/>
      <c r="C38" s="2120" t="s">
        <v>239</v>
      </c>
      <c r="D38" s="478" t="s">
        <v>225</v>
      </c>
      <c r="E38" s="1635">
        <v>7.5</v>
      </c>
      <c r="F38" s="1635">
        <v>0</v>
      </c>
      <c r="G38" s="1627">
        <v>7.5</v>
      </c>
      <c r="H38" s="1538"/>
      <c r="I38" s="1538"/>
      <c r="J38" s="1538"/>
      <c r="K38" s="1538"/>
      <c r="L38" s="1595"/>
      <c r="M38" s="1538"/>
      <c r="N38" s="1538"/>
    </row>
    <row r="39" spans="1:14" s="1255" customFormat="1" ht="18" customHeight="1">
      <c r="A39" s="1538"/>
      <c r="B39" s="1538"/>
      <c r="C39" s="2121"/>
      <c r="D39" s="1631" t="s">
        <v>119</v>
      </c>
      <c r="E39" s="1632">
        <v>0.6</v>
      </c>
      <c r="F39" s="1632">
        <v>0.6</v>
      </c>
      <c r="G39" s="1633">
        <v>1.2</v>
      </c>
      <c r="H39" s="1538"/>
      <c r="I39" s="1538"/>
      <c r="J39" s="1538"/>
      <c r="K39" s="1538"/>
      <c r="L39" s="1595"/>
      <c r="M39" s="1538"/>
      <c r="N39" s="1538"/>
    </row>
    <row r="40" spans="1:14" s="1255" customFormat="1" ht="18" customHeight="1">
      <c r="A40" s="1538"/>
      <c r="B40" s="1538"/>
      <c r="C40" s="2121"/>
      <c r="D40" s="479" t="s">
        <v>120</v>
      </c>
      <c r="E40" s="1632">
        <v>0</v>
      </c>
      <c r="F40" s="1632">
        <v>0</v>
      </c>
      <c r="G40" s="1633">
        <v>0</v>
      </c>
      <c r="H40" s="1538"/>
      <c r="I40" s="1538"/>
      <c r="J40" s="1538"/>
      <c r="K40" s="1538"/>
      <c r="L40" s="1595"/>
      <c r="M40" s="1538"/>
      <c r="N40" s="1538"/>
    </row>
    <row r="41" spans="1:14" s="1255" customFormat="1" ht="18" customHeight="1">
      <c r="A41" s="1538"/>
      <c r="B41" s="1538"/>
      <c r="C41" s="2121"/>
      <c r="D41" s="479" t="s">
        <v>224</v>
      </c>
      <c r="E41" s="1632">
        <v>2.5</v>
      </c>
      <c r="F41" s="1632">
        <v>0.1</v>
      </c>
      <c r="G41" s="1633">
        <v>2.6</v>
      </c>
      <c r="H41" s="1538"/>
      <c r="I41" s="1538"/>
      <c r="J41" s="1538"/>
      <c r="K41" s="1538"/>
      <c r="L41" s="1595"/>
      <c r="M41" s="1538"/>
      <c r="N41" s="1538"/>
    </row>
    <row r="42" spans="1:14" s="1255" customFormat="1" ht="18" customHeight="1">
      <c r="A42" s="1538"/>
      <c r="B42" s="1538"/>
      <c r="C42" s="2121"/>
      <c r="D42" s="1631" t="s">
        <v>868</v>
      </c>
      <c r="E42" s="1636">
        <v>1</v>
      </c>
      <c r="F42" s="1636">
        <v>0.3</v>
      </c>
      <c r="G42" s="1633">
        <v>1.3</v>
      </c>
      <c r="H42" s="1538"/>
      <c r="I42" s="1538"/>
      <c r="J42" s="1538"/>
      <c r="K42" s="1538"/>
      <c r="L42" s="1595"/>
      <c r="M42" s="1538"/>
      <c r="N42" s="1538"/>
    </row>
    <row r="43" spans="1:14" s="1255" customFormat="1" ht="18" customHeight="1" thickBot="1">
      <c r="A43" s="1538"/>
      <c r="B43" s="1538"/>
      <c r="C43" s="2122"/>
      <c r="D43" s="1628" t="s">
        <v>869</v>
      </c>
      <c r="E43" s="1636">
        <v>1.1000000000000001</v>
      </c>
      <c r="F43" s="1636">
        <v>0</v>
      </c>
      <c r="G43" s="1630">
        <v>1.1000000000000001</v>
      </c>
      <c r="H43" s="1538"/>
      <c r="I43" s="1538"/>
      <c r="J43" s="1538"/>
      <c r="K43" s="1538"/>
      <c r="L43" s="1595"/>
      <c r="M43" s="1538"/>
      <c r="N43" s="1538"/>
    </row>
    <row r="44" spans="1:14" s="1255" customFormat="1" ht="18" customHeight="1">
      <c r="A44" s="1538"/>
      <c r="B44" s="1538"/>
      <c r="C44" s="2120" t="s">
        <v>245</v>
      </c>
      <c r="D44" s="478" t="s">
        <v>225</v>
      </c>
      <c r="E44" s="1626">
        <v>0.8</v>
      </c>
      <c r="F44" s="1626">
        <v>0</v>
      </c>
      <c r="G44" s="1627">
        <v>0.8</v>
      </c>
      <c r="H44" s="1538"/>
      <c r="I44" s="1538"/>
      <c r="J44" s="1538"/>
      <c r="K44" s="1538"/>
      <c r="L44" s="1595"/>
      <c r="M44" s="1538"/>
      <c r="N44" s="1538"/>
    </row>
    <row r="45" spans="1:14" s="1255" customFormat="1" ht="18" customHeight="1">
      <c r="A45" s="1538"/>
      <c r="B45" s="1538"/>
      <c r="C45" s="2121"/>
      <c r="D45" s="1631" t="s">
        <v>119</v>
      </c>
      <c r="E45" s="1635">
        <v>0.6</v>
      </c>
      <c r="F45" s="1635">
        <v>0.2</v>
      </c>
      <c r="G45" s="1633">
        <v>0.8</v>
      </c>
      <c r="H45" s="1538"/>
      <c r="I45" s="1538"/>
      <c r="J45" s="1538"/>
      <c r="K45" s="1538"/>
      <c r="L45" s="1595"/>
      <c r="M45" s="1538"/>
      <c r="N45" s="1538"/>
    </row>
    <row r="46" spans="1:14" s="1255" customFormat="1" ht="18" customHeight="1">
      <c r="A46" s="1538"/>
      <c r="B46" s="1538"/>
      <c r="C46" s="2121"/>
      <c r="D46" s="1631" t="s">
        <v>120</v>
      </c>
      <c r="E46" s="1632">
        <v>0</v>
      </c>
      <c r="F46" s="1632">
        <v>0</v>
      </c>
      <c r="G46" s="1633">
        <v>0</v>
      </c>
      <c r="H46" s="1538"/>
      <c r="I46" s="1538"/>
      <c r="J46" s="1538"/>
      <c r="K46" s="1538"/>
      <c r="L46" s="1595"/>
      <c r="M46" s="1538"/>
      <c r="N46" s="1538"/>
    </row>
    <row r="47" spans="1:14" s="1255" customFormat="1" ht="18" customHeight="1">
      <c r="A47" s="1538"/>
      <c r="B47" s="1538"/>
      <c r="C47" s="2121"/>
      <c r="D47" s="1631" t="s">
        <v>224</v>
      </c>
      <c r="E47" s="1632">
        <v>0.7</v>
      </c>
      <c r="F47" s="1632">
        <v>0</v>
      </c>
      <c r="G47" s="1633">
        <v>0.7</v>
      </c>
      <c r="H47" s="1538"/>
      <c r="I47" s="1538"/>
      <c r="J47" s="1538"/>
      <c r="K47" s="1538"/>
      <c r="L47" s="1595"/>
      <c r="M47" s="1538"/>
      <c r="N47" s="1538"/>
    </row>
    <row r="48" spans="1:14" s="1255" customFormat="1" ht="18" customHeight="1">
      <c r="A48" s="1538"/>
      <c r="B48" s="1538"/>
      <c r="C48" s="2121"/>
      <c r="D48" s="1631" t="s">
        <v>868</v>
      </c>
      <c r="E48" s="1636">
        <v>1.4</v>
      </c>
      <c r="F48" s="1636">
        <v>0</v>
      </c>
      <c r="G48" s="1633">
        <v>1.4</v>
      </c>
      <c r="H48" s="1538"/>
      <c r="I48" s="1538"/>
      <c r="J48" s="1538"/>
      <c r="K48" s="1538"/>
      <c r="L48" s="1595"/>
      <c r="M48" s="1538"/>
      <c r="N48" s="1538"/>
    </row>
    <row r="49" spans="1:14" s="1255" customFormat="1" ht="18" customHeight="1" thickBot="1">
      <c r="A49" s="1538"/>
      <c r="B49" s="1538"/>
      <c r="C49" s="2122"/>
      <c r="D49" s="477" t="s">
        <v>869</v>
      </c>
      <c r="E49" s="1634">
        <v>0.7</v>
      </c>
      <c r="F49" s="1634">
        <v>0</v>
      </c>
      <c r="G49" s="1630">
        <v>0.7</v>
      </c>
      <c r="H49" s="1538"/>
      <c r="I49" s="1538"/>
      <c r="J49" s="1538"/>
      <c r="K49" s="1538"/>
      <c r="L49" s="1595"/>
      <c r="M49" s="1538"/>
      <c r="N49" s="1538"/>
    </row>
    <row r="50" spans="1:14" s="1255" customFormat="1" ht="18" customHeight="1">
      <c r="A50" s="1538"/>
      <c r="B50" s="1538"/>
      <c r="C50" s="2120" t="s">
        <v>243</v>
      </c>
      <c r="D50" s="478" t="s">
        <v>225</v>
      </c>
      <c r="E50" s="1635">
        <v>5.7</v>
      </c>
      <c r="F50" s="1635">
        <v>0</v>
      </c>
      <c r="G50" s="1627">
        <v>5.7</v>
      </c>
      <c r="H50" s="1538"/>
      <c r="I50" s="1538"/>
      <c r="J50" s="1538"/>
      <c r="K50" s="1538"/>
      <c r="L50" s="1595"/>
      <c r="M50" s="1538"/>
      <c r="N50" s="1538"/>
    </row>
    <row r="51" spans="1:14" s="1255" customFormat="1" ht="18" customHeight="1">
      <c r="A51" s="1538"/>
      <c r="B51" s="1538"/>
      <c r="C51" s="2121"/>
      <c r="D51" s="1631" t="s">
        <v>119</v>
      </c>
      <c r="E51" s="1632">
        <v>0.8</v>
      </c>
      <c r="F51" s="1632">
        <v>0</v>
      </c>
      <c r="G51" s="1633">
        <v>0.8</v>
      </c>
      <c r="H51" s="1538"/>
      <c r="I51" s="1538"/>
      <c r="J51" s="1538"/>
      <c r="K51" s="1538"/>
      <c r="L51" s="1595"/>
      <c r="M51" s="1538"/>
      <c r="N51" s="1538"/>
    </row>
    <row r="52" spans="1:14" s="1255" customFormat="1" ht="18" customHeight="1">
      <c r="A52" s="1538"/>
      <c r="B52" s="1538"/>
      <c r="C52" s="2121"/>
      <c r="D52" s="479" t="s">
        <v>870</v>
      </c>
      <c r="E52" s="1632">
        <v>0</v>
      </c>
      <c r="F52" s="1632">
        <v>0</v>
      </c>
      <c r="G52" s="1633">
        <v>0</v>
      </c>
      <c r="H52" s="1538"/>
      <c r="I52" s="1538"/>
      <c r="J52" s="1538"/>
      <c r="K52" s="1538"/>
      <c r="L52" s="1595"/>
      <c r="M52" s="1538"/>
      <c r="N52" s="1538"/>
    </row>
    <row r="53" spans="1:14" s="1255" customFormat="1" ht="18" customHeight="1">
      <c r="A53" s="1538"/>
      <c r="B53" s="1538"/>
      <c r="C53" s="2121"/>
      <c r="D53" s="479" t="s">
        <v>224</v>
      </c>
      <c r="E53" s="1632">
        <v>0.3</v>
      </c>
      <c r="F53" s="1632">
        <v>0</v>
      </c>
      <c r="G53" s="1633">
        <v>0.3</v>
      </c>
      <c r="H53" s="1538"/>
      <c r="I53" s="1538"/>
      <c r="J53" s="1538"/>
      <c r="K53" s="1538"/>
      <c r="L53" s="1595"/>
      <c r="M53" s="1538"/>
      <c r="N53" s="1538"/>
    </row>
    <row r="54" spans="1:14" s="1255" customFormat="1" ht="18" customHeight="1">
      <c r="A54" s="1538"/>
      <c r="B54" s="1538"/>
      <c r="C54" s="2121"/>
      <c r="D54" s="479" t="s">
        <v>868</v>
      </c>
      <c r="E54" s="1632">
        <v>1</v>
      </c>
      <c r="F54" s="1632">
        <v>0</v>
      </c>
      <c r="G54" s="1633">
        <v>1</v>
      </c>
      <c r="H54" s="1538"/>
      <c r="I54" s="1538"/>
      <c r="J54" s="1538"/>
      <c r="K54" s="1538"/>
      <c r="L54" s="1595"/>
      <c r="M54" s="1538"/>
      <c r="N54" s="1538"/>
    </row>
    <row r="55" spans="1:14" s="1255" customFormat="1" ht="18" customHeight="1" thickBot="1">
      <c r="A55" s="1538"/>
      <c r="B55" s="1538"/>
      <c r="C55" s="2122"/>
      <c r="D55" s="477" t="s">
        <v>869</v>
      </c>
      <c r="E55" s="1634">
        <v>0.8</v>
      </c>
      <c r="F55" s="1634">
        <v>0</v>
      </c>
      <c r="G55" s="1633">
        <v>0.8</v>
      </c>
      <c r="H55" s="1538"/>
      <c r="I55" s="1538"/>
      <c r="J55" s="1538"/>
      <c r="K55" s="1538"/>
      <c r="L55" s="1595"/>
      <c r="M55" s="1538"/>
      <c r="N55" s="1538"/>
    </row>
    <row r="56" spans="1:14" s="1255" customFormat="1" ht="18" customHeight="1" thickBot="1">
      <c r="A56" s="1538"/>
      <c r="B56" s="1538"/>
      <c r="C56" s="2113" t="s">
        <v>871</v>
      </c>
      <c r="D56" s="2115"/>
      <c r="E56" s="1637">
        <v>35.299999999999997</v>
      </c>
      <c r="F56" s="1637">
        <v>2.5</v>
      </c>
      <c r="G56" s="1637">
        <v>37.799999999999997</v>
      </c>
      <c r="H56" s="1638"/>
      <c r="I56" s="1538"/>
      <c r="J56" s="1538"/>
      <c r="K56" s="1538"/>
      <c r="L56" s="1538"/>
      <c r="M56" s="1595"/>
      <c r="N56" s="1538"/>
    </row>
    <row r="57" spans="1:14" s="1255" customFormat="1" ht="18" customHeight="1" thickBot="1">
      <c r="A57" s="1538"/>
      <c r="B57" s="1538"/>
      <c r="C57" s="2157" t="s">
        <v>838</v>
      </c>
      <c r="D57" s="2158"/>
      <c r="E57" s="1632">
        <v>-1.2</v>
      </c>
      <c r="F57" s="1632"/>
      <c r="G57" s="1633">
        <v>-1.2</v>
      </c>
      <c r="H57" s="1638"/>
      <c r="I57" s="1638"/>
      <c r="J57" s="1638"/>
      <c r="K57" s="1538"/>
      <c r="L57" s="1538"/>
      <c r="M57" s="1595"/>
      <c r="N57" s="1538"/>
    </row>
    <row r="58" spans="1:14" s="1255" customFormat="1" ht="18" customHeight="1" thickBot="1">
      <c r="A58" s="1538"/>
      <c r="B58" s="1538"/>
      <c r="C58" s="2113" t="s">
        <v>872</v>
      </c>
      <c r="D58" s="2115"/>
      <c r="E58" s="1637">
        <v>34.099999999999994</v>
      </c>
      <c r="F58" s="1637">
        <v>2.5</v>
      </c>
      <c r="G58" s="1637">
        <v>36.599999999999994</v>
      </c>
      <c r="H58" s="1538"/>
      <c r="I58" s="1538"/>
      <c r="J58" s="1538"/>
      <c r="K58" s="1538"/>
      <c r="L58" s="1595"/>
      <c r="M58" s="1538"/>
      <c r="N58" s="1538"/>
    </row>
    <row r="59" spans="1:14" s="1255" customFormat="1" ht="18" customHeight="1" thickBot="1">
      <c r="C59" s="2159"/>
      <c r="D59" s="2159"/>
    </row>
    <row r="60" spans="1:14" s="1255" customFormat="1" ht="18" customHeight="1" thickBot="1">
      <c r="A60" s="1538"/>
      <c r="B60" s="1538"/>
      <c r="C60" s="2135" t="s">
        <v>873</v>
      </c>
      <c r="D60" s="2136"/>
      <c r="E60" s="1639" t="s">
        <v>240</v>
      </c>
      <c r="F60" s="1639" t="s">
        <v>239</v>
      </c>
      <c r="G60" s="1639" t="s">
        <v>245</v>
      </c>
      <c r="H60" s="1639" t="s">
        <v>243</v>
      </c>
      <c r="I60" s="1639" t="s">
        <v>246</v>
      </c>
      <c r="J60" s="1538"/>
      <c r="K60" s="1538"/>
      <c r="L60" s="1538"/>
      <c r="M60" s="1595"/>
      <c r="N60" s="1538"/>
    </row>
    <row r="61" spans="1:14" s="1255" customFormat="1" ht="18" customHeight="1" thickBot="1">
      <c r="A61" s="1538"/>
      <c r="B61" s="1538"/>
      <c r="C61" s="2137" t="s">
        <v>83</v>
      </c>
      <c r="D61" s="2138"/>
      <c r="E61" s="1602" t="s">
        <v>157</v>
      </c>
      <c r="F61" s="1602" t="s">
        <v>157</v>
      </c>
      <c r="G61" s="1602" t="s">
        <v>157</v>
      </c>
      <c r="H61" s="1602" t="s">
        <v>157</v>
      </c>
      <c r="I61" s="1602" t="s">
        <v>157</v>
      </c>
      <c r="J61" s="1538"/>
      <c r="K61" s="1538"/>
      <c r="L61" s="1538"/>
      <c r="M61" s="1538"/>
      <c r="N61" s="1595"/>
    </row>
    <row r="62" spans="1:14" s="1255" customFormat="1" ht="18" customHeight="1">
      <c r="A62" s="1538"/>
      <c r="B62" s="1538"/>
      <c r="C62" s="2141" t="s">
        <v>874</v>
      </c>
      <c r="D62" s="2142"/>
      <c r="E62" s="1635">
        <v>0.1</v>
      </c>
      <c r="F62" s="1635">
        <v>2</v>
      </c>
      <c r="G62" s="1635">
        <v>0</v>
      </c>
      <c r="H62" s="1635">
        <v>0</v>
      </c>
      <c r="I62" s="1640">
        <v>2.1</v>
      </c>
      <c r="J62" s="1538"/>
      <c r="K62" s="1538"/>
      <c r="L62" s="1538"/>
      <c r="M62" s="1538"/>
      <c r="N62" s="1595"/>
    </row>
    <row r="63" spans="1:14" s="1255" customFormat="1" ht="18" customHeight="1">
      <c r="A63" s="1538"/>
      <c r="B63" s="1538"/>
      <c r="C63" s="2143" t="s">
        <v>875</v>
      </c>
      <c r="D63" s="2144"/>
      <c r="E63" s="1632">
        <v>0</v>
      </c>
      <c r="F63" s="1632">
        <v>0</v>
      </c>
      <c r="G63" s="1632">
        <v>0</v>
      </c>
      <c r="H63" s="1632">
        <v>0</v>
      </c>
      <c r="I63" s="1641">
        <v>0</v>
      </c>
      <c r="J63" s="1538"/>
      <c r="K63" s="1538"/>
      <c r="L63" s="1538"/>
      <c r="M63" s="1538"/>
      <c r="N63" s="1595"/>
    </row>
    <row r="64" spans="1:14" s="1255" customFormat="1" ht="18" customHeight="1">
      <c r="A64" s="1538"/>
      <c r="B64" s="1538"/>
      <c r="C64" s="2143" t="s">
        <v>121</v>
      </c>
      <c r="D64" s="2144"/>
      <c r="E64" s="1632">
        <v>0</v>
      </c>
      <c r="F64" s="1632">
        <v>0</v>
      </c>
      <c r="G64" s="1632">
        <v>0</v>
      </c>
      <c r="H64" s="1632">
        <v>0</v>
      </c>
      <c r="I64" s="1641">
        <v>0</v>
      </c>
      <c r="J64" s="1538"/>
      <c r="K64" s="1538"/>
      <c r="L64" s="1538"/>
      <c r="M64" s="1538"/>
      <c r="N64" s="1595"/>
    </row>
    <row r="65" spans="1:14" s="1255" customFormat="1" ht="18" customHeight="1">
      <c r="A65" s="1538"/>
      <c r="B65" s="1538"/>
      <c r="C65" s="2143" t="s">
        <v>122</v>
      </c>
      <c r="D65" s="2144"/>
      <c r="E65" s="1632">
        <v>0</v>
      </c>
      <c r="F65" s="1632">
        <v>0</v>
      </c>
      <c r="G65" s="1632">
        <v>0</v>
      </c>
      <c r="H65" s="1632">
        <v>0</v>
      </c>
      <c r="I65" s="1641">
        <v>0</v>
      </c>
      <c r="J65" s="1538"/>
      <c r="K65" s="1538"/>
      <c r="L65" s="1538"/>
      <c r="M65" s="1538"/>
      <c r="N65" s="1595"/>
    </row>
    <row r="66" spans="1:14" s="1255" customFormat="1" ht="18" customHeight="1">
      <c r="A66" s="1538"/>
      <c r="B66" s="1538"/>
      <c r="C66" s="2143" t="s">
        <v>123</v>
      </c>
      <c r="D66" s="2144"/>
      <c r="E66" s="1632">
        <v>0</v>
      </c>
      <c r="F66" s="1632">
        <v>0</v>
      </c>
      <c r="G66" s="1632">
        <v>0</v>
      </c>
      <c r="H66" s="1632">
        <v>0</v>
      </c>
      <c r="I66" s="1641">
        <v>0</v>
      </c>
      <c r="J66" s="1538"/>
      <c r="K66" s="1538"/>
      <c r="L66" s="1538"/>
      <c r="M66" s="1538"/>
      <c r="N66" s="1595"/>
    </row>
    <row r="67" spans="1:14" s="1255" customFormat="1" ht="18" customHeight="1">
      <c r="A67" s="1538"/>
      <c r="B67" s="1538"/>
      <c r="C67" s="2143" t="s">
        <v>124</v>
      </c>
      <c r="D67" s="2144"/>
      <c r="E67" s="1632">
        <v>0</v>
      </c>
      <c r="F67" s="1632">
        <v>0</v>
      </c>
      <c r="G67" s="1632">
        <v>0</v>
      </c>
      <c r="H67" s="1632">
        <v>0</v>
      </c>
      <c r="I67" s="1641">
        <v>0</v>
      </c>
      <c r="J67" s="1538"/>
      <c r="K67" s="1538"/>
      <c r="L67" s="1538"/>
      <c r="M67" s="1538"/>
      <c r="N67" s="1595"/>
    </row>
    <row r="68" spans="1:14" s="1255" customFormat="1" ht="18" customHeight="1">
      <c r="A68" s="1538"/>
      <c r="B68" s="1538"/>
      <c r="C68" s="2143" t="s">
        <v>125</v>
      </c>
      <c r="D68" s="2144"/>
      <c r="E68" s="1632">
        <v>0</v>
      </c>
      <c r="F68" s="1632">
        <v>0</v>
      </c>
      <c r="G68" s="1632">
        <v>0</v>
      </c>
      <c r="H68" s="1632">
        <v>0</v>
      </c>
      <c r="I68" s="1641">
        <v>0</v>
      </c>
      <c r="J68" s="1538"/>
      <c r="K68" s="1538"/>
      <c r="L68" s="1538"/>
      <c r="M68" s="1538"/>
      <c r="N68" s="1595"/>
    </row>
    <row r="69" spans="1:14" s="1255" customFormat="1" ht="18" customHeight="1">
      <c r="A69" s="1538"/>
      <c r="B69" s="1538"/>
      <c r="C69" s="2143" t="s">
        <v>143</v>
      </c>
      <c r="D69" s="2144"/>
      <c r="E69" s="1636">
        <v>0</v>
      </c>
      <c r="F69" s="1636">
        <v>3.4</v>
      </c>
      <c r="G69" s="1636">
        <v>0</v>
      </c>
      <c r="H69" s="1636">
        <v>0</v>
      </c>
      <c r="I69" s="1642">
        <v>3.4</v>
      </c>
      <c r="J69" s="1538"/>
      <c r="K69" s="1538"/>
      <c r="L69" s="1538"/>
      <c r="M69" s="1538"/>
      <c r="N69" s="1595"/>
    </row>
    <row r="70" spans="1:14" s="1255" customFormat="1" ht="18" customHeight="1" thickBot="1">
      <c r="A70" s="1538"/>
      <c r="B70" s="1538"/>
      <c r="C70" s="2149" t="s">
        <v>144</v>
      </c>
      <c r="D70" s="2150"/>
      <c r="E70" s="1636">
        <v>0.8</v>
      </c>
      <c r="F70" s="1636">
        <v>0.8</v>
      </c>
      <c r="G70" s="1636">
        <v>0.3</v>
      </c>
      <c r="H70" s="1636">
        <v>0</v>
      </c>
      <c r="I70" s="1643">
        <v>1.9000000000000001</v>
      </c>
      <c r="J70" s="1538"/>
      <c r="K70" s="1538"/>
      <c r="L70" s="1538"/>
      <c r="M70" s="1538"/>
      <c r="N70" s="1595"/>
    </row>
    <row r="71" spans="1:14" s="1255" customFormat="1" ht="18" customHeight="1" thickBot="1">
      <c r="A71" s="1538"/>
      <c r="B71" s="1538"/>
      <c r="C71" s="2153" t="s">
        <v>135</v>
      </c>
      <c r="D71" s="2154"/>
      <c r="E71" s="1644">
        <v>0.9</v>
      </c>
      <c r="F71" s="1644">
        <v>6.2</v>
      </c>
      <c r="G71" s="1644">
        <v>0.3</v>
      </c>
      <c r="H71" s="1644">
        <v>0</v>
      </c>
      <c r="I71" s="1644">
        <v>7.4</v>
      </c>
      <c r="J71" s="1538"/>
      <c r="K71" s="1538"/>
      <c r="L71" s="1538"/>
      <c r="M71" s="1538"/>
      <c r="N71" s="1595"/>
    </row>
    <row r="72" spans="1:14" s="1255" customFormat="1" ht="18" customHeight="1" thickBot="1">
      <c r="A72" s="1538"/>
      <c r="B72" s="1538"/>
      <c r="C72" s="2151" t="s">
        <v>838</v>
      </c>
      <c r="D72" s="2152"/>
      <c r="E72" s="1632"/>
      <c r="F72" s="1632">
        <v>-0.1</v>
      </c>
      <c r="G72" s="1632"/>
      <c r="H72" s="1632"/>
      <c r="I72" s="1644">
        <v>-0.1</v>
      </c>
      <c r="J72" s="1538"/>
      <c r="K72" s="1538"/>
      <c r="L72" s="1538"/>
      <c r="M72" s="1595"/>
      <c r="N72" s="1538"/>
    </row>
    <row r="73" spans="1:14" s="1255" customFormat="1" ht="18" customHeight="1" thickBot="1">
      <c r="A73" s="1538"/>
      <c r="B73" s="1538"/>
      <c r="C73" s="2153" t="s">
        <v>0</v>
      </c>
      <c r="D73" s="2154"/>
      <c r="E73" s="1646">
        <v>0.9</v>
      </c>
      <c r="F73" s="1646">
        <v>6.1000000000000005</v>
      </c>
      <c r="G73" s="1646">
        <v>0.3</v>
      </c>
      <c r="H73" s="1646">
        <v>0</v>
      </c>
      <c r="I73" s="1646">
        <v>7.3000000000000007</v>
      </c>
      <c r="J73" s="1538"/>
      <c r="K73" s="1538"/>
      <c r="L73" s="1538"/>
      <c r="M73" s="1595"/>
      <c r="N73" s="1538"/>
    </row>
    <row r="74" spans="1:14" s="1255" customFormat="1" ht="18" customHeight="1" thickBot="1">
      <c r="A74" s="1538"/>
      <c r="B74" s="1538"/>
      <c r="C74" s="1531"/>
      <c r="D74" s="1647"/>
      <c r="E74" s="1647"/>
      <c r="F74" s="1647"/>
      <c r="G74" s="1647"/>
      <c r="H74" s="1648"/>
      <c r="I74" s="1648"/>
      <c r="J74" s="1648"/>
      <c r="K74" s="1648"/>
      <c r="L74" s="1538"/>
      <c r="M74" s="1538"/>
      <c r="N74" s="1538"/>
    </row>
    <row r="75" spans="1:14" s="1255" customFormat="1" ht="18" customHeight="1" thickBot="1">
      <c r="A75" s="1538"/>
      <c r="B75" s="1538"/>
      <c r="C75" s="2153" t="s">
        <v>715</v>
      </c>
      <c r="D75" s="2154"/>
      <c r="E75" s="1649">
        <v>45.199999999999996</v>
      </c>
      <c r="F75" s="1638"/>
      <c r="G75" s="1538"/>
      <c r="H75" s="1538"/>
      <c r="I75" s="1538"/>
      <c r="J75" s="1538"/>
      <c r="K75" s="1538"/>
      <c r="L75" s="1538"/>
      <c r="M75" s="1595"/>
      <c r="N75" s="1538"/>
    </row>
    <row r="76" spans="1:14" s="1255" customFormat="1" ht="18" customHeight="1" thickBot="1">
      <c r="A76" s="1538"/>
      <c r="B76" s="1538"/>
      <c r="C76" s="2153" t="s">
        <v>838</v>
      </c>
      <c r="D76" s="2154"/>
      <c r="E76" s="1650">
        <v>-1.3</v>
      </c>
      <c r="F76" s="1638"/>
      <c r="G76" s="1538"/>
      <c r="H76" s="1538"/>
      <c r="I76" s="1538"/>
      <c r="J76" s="1538"/>
      <c r="K76" s="1538"/>
      <c r="L76" s="1538"/>
      <c r="M76" s="1595"/>
      <c r="N76" s="1538"/>
    </row>
    <row r="77" spans="1:14" s="1255" customFormat="1" ht="18" customHeight="1" thickBot="1">
      <c r="A77" s="1538"/>
      <c r="B77" s="1538"/>
      <c r="C77" s="2153" t="s">
        <v>606</v>
      </c>
      <c r="D77" s="2154"/>
      <c r="E77" s="1646">
        <v>43.9</v>
      </c>
      <c r="F77" s="1538"/>
      <c r="G77" s="1538"/>
      <c r="H77" s="1538"/>
      <c r="I77" s="1538"/>
      <c r="J77" s="1538"/>
      <c r="K77" s="1538"/>
      <c r="L77" s="1538"/>
      <c r="M77" s="1595"/>
      <c r="N77" s="1538"/>
    </row>
    <row r="78" spans="1:14" s="1255" customFormat="1" ht="18" customHeight="1" thickBot="1">
      <c r="A78" s="1538"/>
      <c r="B78" s="1538"/>
      <c r="C78" s="1532"/>
      <c r="D78" s="1532"/>
      <c r="E78" s="1532"/>
      <c r="F78" s="1532"/>
      <c r="G78" s="1532"/>
      <c r="H78" s="1532"/>
      <c r="I78" s="1532"/>
      <c r="J78" s="1532"/>
      <c r="K78" s="1532"/>
      <c r="L78" s="1538"/>
      <c r="M78" s="1538"/>
      <c r="N78" s="1538"/>
    </row>
    <row r="79" spans="1:14" s="1255" customFormat="1" ht="18.75" thickBot="1">
      <c r="A79" s="1538"/>
      <c r="B79" s="1538"/>
      <c r="C79" s="480" t="s">
        <v>607</v>
      </c>
      <c r="D79" s="481"/>
      <c r="E79" s="1651"/>
      <c r="F79" s="1651"/>
      <c r="G79" s="1652"/>
      <c r="H79" s="1538"/>
      <c r="I79" s="1538"/>
      <c r="J79" s="1538"/>
      <c r="K79" s="1538"/>
      <c r="L79" s="1538"/>
      <c r="M79" s="1538"/>
      <c r="N79" s="1538"/>
    </row>
    <row r="80" spans="1:14" s="1255" customFormat="1" ht="60.75" thickBot="1">
      <c r="A80" s="1538"/>
      <c r="B80" s="1538"/>
      <c r="C80" s="2145" t="s">
        <v>83</v>
      </c>
      <c r="D80" s="2146"/>
      <c r="E80" s="1653" t="s">
        <v>246</v>
      </c>
      <c r="F80" s="1654" t="s">
        <v>608</v>
      </c>
      <c r="G80" s="1654" t="s">
        <v>609</v>
      </c>
      <c r="H80" s="1538"/>
      <c r="I80" s="1538"/>
      <c r="J80" s="1538"/>
      <c r="K80" s="1538"/>
      <c r="L80" s="1538"/>
      <c r="M80" s="1538"/>
      <c r="N80" s="1538"/>
    </row>
    <row r="81" spans="1:14" s="1255" customFormat="1" ht="15.75" thickBot="1">
      <c r="A81" s="1538"/>
      <c r="B81" s="1538"/>
      <c r="C81" s="2147"/>
      <c r="D81" s="2148"/>
      <c r="E81" s="1620" t="s">
        <v>157</v>
      </c>
      <c r="F81" s="1602" t="s">
        <v>157</v>
      </c>
      <c r="G81" s="1602" t="s">
        <v>157</v>
      </c>
      <c r="H81" s="1538"/>
      <c r="I81" s="1538"/>
      <c r="J81" s="1538"/>
      <c r="K81" s="1538"/>
      <c r="L81" s="1538"/>
      <c r="M81" s="1538"/>
      <c r="N81" s="1538"/>
    </row>
    <row r="82" spans="1:14" s="1255" customFormat="1" ht="18" customHeight="1">
      <c r="A82" s="1538"/>
      <c r="B82" s="1538"/>
      <c r="C82" s="2087" t="s">
        <v>727</v>
      </c>
      <c r="D82" s="2089"/>
      <c r="E82" s="1627">
        <v>8.8000000000000007</v>
      </c>
      <c r="F82" s="1625">
        <v>8.8000000000000007</v>
      </c>
      <c r="G82" s="1625">
        <v>0</v>
      </c>
      <c r="H82" s="1538"/>
      <c r="I82" s="1538"/>
      <c r="J82" s="1538"/>
      <c r="K82" s="1538"/>
      <c r="L82" s="1538"/>
      <c r="M82" s="1538"/>
      <c r="N82" s="1538"/>
    </row>
    <row r="83" spans="1:14" s="1255" customFormat="1" ht="18" customHeight="1">
      <c r="A83" s="1538"/>
      <c r="B83" s="1538"/>
      <c r="C83" s="2155" t="s">
        <v>610</v>
      </c>
      <c r="D83" s="2156"/>
      <c r="E83" s="1633">
        <v>0</v>
      </c>
      <c r="F83" s="1625">
        <v>0</v>
      </c>
      <c r="G83" s="1625">
        <v>0</v>
      </c>
      <c r="H83" s="1538"/>
      <c r="I83" s="1538"/>
      <c r="J83" s="1538"/>
      <c r="K83" s="1538"/>
      <c r="L83" s="1538"/>
      <c r="M83" s="1538"/>
      <c r="N83" s="1538"/>
    </row>
    <row r="84" spans="1:14" s="1255" customFormat="1" ht="18" customHeight="1">
      <c r="A84" s="1538"/>
      <c r="B84" s="1538"/>
      <c r="C84" s="2155" t="s">
        <v>611</v>
      </c>
      <c r="D84" s="2156"/>
      <c r="E84" s="1633">
        <v>2.6</v>
      </c>
      <c r="F84" s="1625">
        <v>2.6</v>
      </c>
      <c r="G84" s="1625">
        <v>0</v>
      </c>
      <c r="H84" s="1538"/>
      <c r="I84" s="1538"/>
      <c r="J84" s="1538"/>
      <c r="K84" s="1538"/>
      <c r="L84" s="1538"/>
      <c r="M84" s="1538"/>
      <c r="N84" s="1538"/>
    </row>
    <row r="85" spans="1:14" s="1255" customFormat="1" ht="18" customHeight="1">
      <c r="A85" s="1538"/>
      <c r="B85" s="1538"/>
      <c r="C85" s="2155" t="s">
        <v>612</v>
      </c>
      <c r="D85" s="2156"/>
      <c r="E85" s="1633">
        <v>0.4</v>
      </c>
      <c r="F85" s="1625">
        <v>0.4</v>
      </c>
      <c r="G85" s="1625">
        <v>0</v>
      </c>
      <c r="H85" s="1538"/>
      <c r="I85" s="1538"/>
      <c r="J85" s="1538"/>
      <c r="K85" s="1538"/>
      <c r="L85" s="1538"/>
      <c r="M85" s="1538"/>
      <c r="N85" s="1538"/>
    </row>
    <row r="86" spans="1:14" s="1255" customFormat="1" ht="18" customHeight="1">
      <c r="A86" s="1538"/>
      <c r="B86" s="1538"/>
      <c r="C86" s="2155" t="s">
        <v>716</v>
      </c>
      <c r="D86" s="2156"/>
      <c r="E86" s="1633">
        <v>2</v>
      </c>
      <c r="F86" s="1625">
        <v>2</v>
      </c>
      <c r="G86" s="1625">
        <v>0</v>
      </c>
      <c r="H86" s="1538"/>
      <c r="I86" s="1538"/>
      <c r="J86" s="1538"/>
      <c r="K86" s="1538"/>
      <c r="L86" s="1538"/>
      <c r="M86" s="1538"/>
      <c r="N86" s="1538"/>
    </row>
    <row r="87" spans="1:14" s="1255" customFormat="1" ht="18" customHeight="1">
      <c r="A87" s="1538"/>
      <c r="B87" s="1538"/>
      <c r="C87" s="2155" t="s">
        <v>134</v>
      </c>
      <c r="D87" s="2156"/>
      <c r="E87" s="1633">
        <v>0.6</v>
      </c>
      <c r="F87" s="1625">
        <v>0.6</v>
      </c>
      <c r="G87" s="1625">
        <v>0</v>
      </c>
      <c r="H87" s="1538"/>
      <c r="I87" s="1538"/>
      <c r="J87" s="1538"/>
      <c r="K87" s="1538"/>
      <c r="L87" s="1538"/>
      <c r="M87" s="1538"/>
      <c r="N87" s="1538"/>
    </row>
    <row r="88" spans="1:14" s="1255" customFormat="1" ht="18" customHeight="1" thickBot="1">
      <c r="A88" s="1538"/>
      <c r="B88" s="1538"/>
      <c r="C88" s="2090" t="s">
        <v>231</v>
      </c>
      <c r="D88" s="2092"/>
      <c r="E88" s="1633">
        <v>0.5</v>
      </c>
      <c r="F88" s="1625">
        <v>0</v>
      </c>
      <c r="G88" s="1625">
        <v>0.5</v>
      </c>
      <c r="H88" s="1638"/>
      <c r="I88" s="1538"/>
      <c r="J88" s="1538"/>
      <c r="K88" s="1538"/>
      <c r="L88" s="1538"/>
      <c r="M88" s="1538"/>
      <c r="N88" s="1538"/>
    </row>
    <row r="89" spans="1:14" s="1255" customFormat="1" ht="18" customHeight="1" thickBot="1">
      <c r="A89" s="1538"/>
      <c r="B89" s="1538"/>
      <c r="C89" s="2113" t="s">
        <v>232</v>
      </c>
      <c r="D89" s="2115"/>
      <c r="E89" s="1644">
        <v>14.9</v>
      </c>
      <c r="F89" s="1644">
        <v>14.4</v>
      </c>
      <c r="G89" s="1644">
        <v>0.5</v>
      </c>
      <c r="H89" s="1638"/>
      <c r="I89" s="1538"/>
      <c r="J89" s="1538"/>
      <c r="K89" s="1538"/>
      <c r="L89" s="1538"/>
      <c r="M89" s="1538"/>
      <c r="N89" s="1538"/>
    </row>
  </sheetData>
  <mergeCells count="57">
    <mergeCell ref="C87:D87"/>
    <mergeCell ref="C88:D88"/>
    <mergeCell ref="C89:D89"/>
    <mergeCell ref="C56:D56"/>
    <mergeCell ref="C57:D57"/>
    <mergeCell ref="C58:D58"/>
    <mergeCell ref="C59:D59"/>
    <mergeCell ref="C82:D82"/>
    <mergeCell ref="C83:D83"/>
    <mergeCell ref="C84:D84"/>
    <mergeCell ref="C85:D85"/>
    <mergeCell ref="C86:D86"/>
    <mergeCell ref="C73:D73"/>
    <mergeCell ref="C75:D75"/>
    <mergeCell ref="C76:D76"/>
    <mergeCell ref="C77:D77"/>
    <mergeCell ref="C80:D81"/>
    <mergeCell ref="C67:D67"/>
    <mergeCell ref="C68:D68"/>
    <mergeCell ref="C69:D69"/>
    <mergeCell ref="C70:D70"/>
    <mergeCell ref="C72:D72"/>
    <mergeCell ref="C71:D71"/>
    <mergeCell ref="C62:D62"/>
    <mergeCell ref="C63:D63"/>
    <mergeCell ref="C64:D64"/>
    <mergeCell ref="C65:D65"/>
    <mergeCell ref="C66:D66"/>
    <mergeCell ref="C7:D7"/>
    <mergeCell ref="C27:D27"/>
    <mergeCell ref="C28:D30"/>
    <mergeCell ref="C60:D60"/>
    <mergeCell ref="C61:D61"/>
    <mergeCell ref="C8:D9"/>
    <mergeCell ref="C10:D10"/>
    <mergeCell ref="C15:D15"/>
    <mergeCell ref="C16:D16"/>
    <mergeCell ref="C44:C49"/>
    <mergeCell ref="C50:C55"/>
    <mergeCell ref="C38:C43"/>
    <mergeCell ref="C24:D24"/>
    <mergeCell ref="E28:F28"/>
    <mergeCell ref="C31:C32"/>
    <mergeCell ref="C33:C34"/>
    <mergeCell ref="C35:C37"/>
    <mergeCell ref="C11:D11"/>
    <mergeCell ref="C12:D12"/>
    <mergeCell ref="C13:D13"/>
    <mergeCell ref="C14:D14"/>
    <mergeCell ref="C17:D17"/>
    <mergeCell ref="C18:D18"/>
    <mergeCell ref="C19:D19"/>
    <mergeCell ref="C20:D20"/>
    <mergeCell ref="C21:D21"/>
    <mergeCell ref="C23:D23"/>
    <mergeCell ref="C25:D25"/>
    <mergeCell ref="C22:D22"/>
  </mergeCells>
  <phoneticPr fontId="0" type="noConversion"/>
  <dataValidations count="1">
    <dataValidation type="decimal" operator="lessThanOrEqual" allowBlank="1" showInputMessage="1" showErrorMessage="1" sqref="K24 E72:I72 E57:F57 E24:G24">
      <formula1>0</formula1>
    </dataValidation>
  </dataValidations>
  <hyperlinks>
    <hyperlink ref="E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C1DFFF"/>
  </sheetPr>
  <dimension ref="A1:M101"/>
  <sheetViews>
    <sheetView topLeftCell="A88" workbookViewId="0">
      <selection sqref="A1:XFD1048576"/>
    </sheetView>
  </sheetViews>
  <sheetFormatPr defaultColWidth="10.140625" defaultRowHeight="12.75"/>
  <cols>
    <col min="1" max="3" width="10.140625" style="1255"/>
    <col min="4" max="6" width="12.28515625" style="1255" customWidth="1"/>
    <col min="7" max="16384" width="10.140625" style="1255"/>
  </cols>
  <sheetData>
    <row r="1" spans="1:13">
      <c r="A1" s="1293" t="s">
        <v>91</v>
      </c>
      <c r="F1" s="1524" t="s">
        <v>216</v>
      </c>
    </row>
    <row r="2" spans="1:13">
      <c r="A2" s="1293"/>
    </row>
    <row r="3" spans="1:13">
      <c r="A3" s="1293" t="s">
        <v>29</v>
      </c>
    </row>
    <row r="5" spans="1:13">
      <c r="A5" s="1655" t="s">
        <v>92</v>
      </c>
      <c r="B5" s="1292"/>
      <c r="C5" s="1292"/>
      <c r="D5" s="1292"/>
      <c r="E5" s="1292"/>
      <c r="F5" s="1656"/>
      <c r="G5" s="1656"/>
      <c r="H5" s="1656"/>
      <c r="I5" s="1656"/>
      <c r="J5" s="1656"/>
      <c r="K5" s="1656"/>
      <c r="L5" s="1656"/>
      <c r="M5" s="1656"/>
    </row>
    <row r="6" spans="1:13" ht="13.5" thickBot="1">
      <c r="A6" s="1657"/>
      <c r="B6" s="1658"/>
      <c r="C6" s="1659"/>
      <c r="D6" s="1660"/>
      <c r="E6" s="1658"/>
      <c r="F6" s="1658"/>
      <c r="G6" s="1657"/>
      <c r="H6" s="1657"/>
      <c r="I6" s="1657"/>
      <c r="J6" s="1657"/>
      <c r="K6" s="1657"/>
      <c r="L6" s="1657"/>
      <c r="M6" s="1657"/>
    </row>
    <row r="7" spans="1:13" ht="13.5" thickBot="1">
      <c r="A7" s="1656"/>
      <c r="B7" s="1661"/>
      <c r="C7" s="1662" t="s">
        <v>156</v>
      </c>
      <c r="D7" s="1663"/>
      <c r="E7" s="1664"/>
      <c r="F7" s="1664"/>
      <c r="G7" s="1664"/>
      <c r="H7" s="1665"/>
      <c r="I7" s="1666"/>
      <c r="J7" s="1656"/>
      <c r="K7" s="1656"/>
      <c r="L7" s="1656"/>
      <c r="M7" s="1656"/>
    </row>
    <row r="8" spans="1:13" ht="13.5" thickBot="1">
      <c r="A8" s="1656"/>
      <c r="B8" s="1667"/>
      <c r="C8" s="1531"/>
      <c r="D8" s="1531"/>
      <c r="E8" s="1656"/>
      <c r="F8" s="1656"/>
      <c r="G8" s="1668" t="s">
        <v>157</v>
      </c>
      <c r="H8" s="1668" t="s">
        <v>157</v>
      </c>
      <c r="I8" s="1669"/>
      <c r="J8" s="1656"/>
      <c r="K8" s="1656"/>
      <c r="L8" s="1656"/>
      <c r="M8" s="1656"/>
    </row>
    <row r="9" spans="1:13">
      <c r="A9" s="1656"/>
      <c r="B9" s="1670"/>
      <c r="C9" s="1662" t="s">
        <v>158</v>
      </c>
      <c r="D9" s="1531"/>
      <c r="E9" s="1671"/>
      <c r="F9" s="1656"/>
      <c r="G9" s="1862"/>
      <c r="H9" s="1863"/>
      <c r="I9" s="1669"/>
      <c r="J9" s="1656"/>
      <c r="K9" s="1656"/>
      <c r="L9" s="1656"/>
      <c r="M9" s="1656"/>
    </row>
    <row r="10" spans="1:13">
      <c r="A10" s="1656"/>
      <c r="B10" s="1672"/>
      <c r="C10" s="1608"/>
      <c r="D10" s="1673" t="s">
        <v>145</v>
      </c>
      <c r="E10" s="1674"/>
      <c r="F10" s="1657"/>
      <c r="G10" s="1864">
        <v>5.1675739700000003</v>
      </c>
      <c r="H10" s="1865"/>
      <c r="I10" s="1675"/>
      <c r="J10" s="1676"/>
      <c r="K10" s="1676"/>
      <c r="L10" s="1676"/>
      <c r="M10" s="1656"/>
    </row>
    <row r="11" spans="1:13">
      <c r="A11" s="1656"/>
      <c r="B11" s="1672"/>
      <c r="C11" s="1608"/>
      <c r="D11" s="1673" t="s">
        <v>146</v>
      </c>
      <c r="E11" s="1674"/>
      <c r="F11" s="1657"/>
      <c r="G11" s="1864">
        <v>0.22460693000000001</v>
      </c>
      <c r="H11" s="1865"/>
      <c r="I11" s="1675"/>
      <c r="J11" s="1676"/>
      <c r="K11" s="1676"/>
      <c r="L11" s="1676"/>
      <c r="M11" s="1656"/>
    </row>
    <row r="12" spans="1:13">
      <c r="A12" s="1656"/>
      <c r="B12" s="1672"/>
      <c r="C12" s="1608"/>
      <c r="D12" s="1673" t="s">
        <v>147</v>
      </c>
      <c r="E12" s="1674"/>
      <c r="F12" s="1543"/>
      <c r="G12" s="1864">
        <v>18.0171204</v>
      </c>
      <c r="H12" s="1865"/>
      <c r="I12" s="1675"/>
      <c r="J12" s="1676"/>
      <c r="K12" s="1676"/>
      <c r="L12" s="1676"/>
      <c r="M12" s="1656"/>
    </row>
    <row r="13" spans="1:13">
      <c r="A13" s="1656"/>
      <c r="B13" s="1672"/>
      <c r="C13" s="1608"/>
      <c r="D13" s="1673" t="s">
        <v>227</v>
      </c>
      <c r="E13" s="1674"/>
      <c r="F13" s="1543"/>
      <c r="G13" s="1864">
        <v>0.71999599999999997</v>
      </c>
      <c r="H13" s="1865"/>
      <c r="I13" s="1675"/>
      <c r="J13" s="1676"/>
      <c r="K13" s="1676"/>
      <c r="L13" s="1676"/>
      <c r="M13" s="1656"/>
    </row>
    <row r="14" spans="1:13">
      <c r="A14" s="1656"/>
      <c r="B14" s="1672"/>
      <c r="C14" s="1608"/>
      <c r="D14" s="1677" t="s">
        <v>228</v>
      </c>
      <c r="E14" s="1674"/>
      <c r="F14" s="1543"/>
      <c r="G14" s="1864">
        <v>0</v>
      </c>
      <c r="H14" s="1865"/>
      <c r="I14" s="1675"/>
      <c r="J14" s="1676"/>
      <c r="K14" s="1676"/>
      <c r="L14" s="1676"/>
      <c r="M14" s="1656"/>
    </row>
    <row r="15" spans="1:13" ht="25.5" customHeight="1">
      <c r="A15" s="1656"/>
      <c r="B15" s="1672"/>
      <c r="C15" s="1674"/>
      <c r="D15" s="2164" t="s">
        <v>882</v>
      </c>
      <c r="E15" s="2164"/>
      <c r="F15" s="2165"/>
      <c r="G15" s="1866">
        <v>0</v>
      </c>
      <c r="H15" s="1865">
        <v>24.129297299999998</v>
      </c>
      <c r="I15" s="1675"/>
      <c r="J15" s="1676"/>
      <c r="K15" s="1676"/>
      <c r="L15" s="1676"/>
      <c r="M15" s="1656"/>
    </row>
    <row r="16" spans="1:13">
      <c r="A16" s="1656"/>
      <c r="B16" s="1672"/>
      <c r="C16" s="1662" t="s">
        <v>148</v>
      </c>
      <c r="D16" s="1677"/>
      <c r="E16" s="1674"/>
      <c r="F16" s="1657"/>
      <c r="G16" s="1867"/>
      <c r="H16" s="1868"/>
      <c r="I16" s="1675"/>
      <c r="J16" s="1676"/>
      <c r="K16" s="1676"/>
      <c r="L16" s="1676"/>
      <c r="M16" s="1656"/>
    </row>
    <row r="17" spans="1:13" ht="25.5" customHeight="1">
      <c r="A17" s="1656"/>
      <c r="B17" s="1672"/>
      <c r="C17" s="1674"/>
      <c r="D17" s="2164" t="s">
        <v>233</v>
      </c>
      <c r="E17" s="2164"/>
      <c r="F17" s="2165"/>
      <c r="G17" s="1864">
        <v>0</v>
      </c>
      <c r="H17" s="1865"/>
      <c r="I17" s="1675"/>
      <c r="J17" s="1676"/>
      <c r="K17" s="1676"/>
      <c r="L17" s="1676"/>
      <c r="M17" s="1656"/>
    </row>
    <row r="18" spans="1:13">
      <c r="A18" s="1656"/>
      <c r="B18" s="1672"/>
      <c r="C18" s="1674"/>
      <c r="D18" s="1677" t="s">
        <v>132</v>
      </c>
      <c r="E18" s="1674"/>
      <c r="F18" s="1657"/>
      <c r="G18" s="1864">
        <v>0</v>
      </c>
      <c r="H18" s="1865"/>
      <c r="I18" s="1675"/>
      <c r="J18" s="1676"/>
      <c r="K18" s="1676"/>
      <c r="L18" s="1676"/>
      <c r="M18" s="1656"/>
    </row>
    <row r="19" spans="1:13">
      <c r="A19" s="1656"/>
      <c r="B19" s="1672"/>
      <c r="C19" s="1674"/>
      <c r="D19" s="1677" t="s">
        <v>133</v>
      </c>
      <c r="E19" s="1674"/>
      <c r="F19" s="1657"/>
      <c r="G19" s="1866">
        <v>0</v>
      </c>
      <c r="H19" s="1865">
        <v>0</v>
      </c>
      <c r="I19" s="1675"/>
      <c r="J19" s="1676"/>
      <c r="K19" s="1676"/>
      <c r="L19" s="1676"/>
      <c r="M19" s="1656"/>
    </row>
    <row r="20" spans="1:13">
      <c r="A20" s="1656"/>
      <c r="B20" s="1672"/>
      <c r="C20" s="1662" t="s">
        <v>93</v>
      </c>
      <c r="D20" s="1677"/>
      <c r="E20" s="1674"/>
      <c r="F20" s="1657"/>
      <c r="G20" s="1867"/>
      <c r="H20" s="1868"/>
      <c r="I20" s="1675"/>
      <c r="J20" s="1676"/>
      <c r="K20" s="1676"/>
      <c r="L20" s="1676"/>
      <c r="M20" s="1656"/>
    </row>
    <row r="21" spans="1:13" ht="27.75" customHeight="1">
      <c r="A21" s="1656"/>
      <c r="B21" s="1672"/>
      <c r="C21" s="1674"/>
      <c r="D21" s="2164" t="s">
        <v>202</v>
      </c>
      <c r="E21" s="2164"/>
      <c r="F21" s="2165"/>
      <c r="G21" s="1864">
        <v>-0.5</v>
      </c>
      <c r="H21" s="1865"/>
      <c r="I21" s="1675"/>
      <c r="J21" s="1676"/>
      <c r="K21" s="1676"/>
      <c r="L21" s="1676"/>
      <c r="M21" s="1656"/>
    </row>
    <row r="22" spans="1:13" ht="26.25" customHeight="1">
      <c r="A22" s="1656"/>
      <c r="B22" s="1672"/>
      <c r="C22" s="1674"/>
      <c r="D22" s="2166" t="s">
        <v>203</v>
      </c>
      <c r="E22" s="2166"/>
      <c r="F22" s="2167"/>
      <c r="G22" s="1864">
        <v>23.1</v>
      </c>
      <c r="H22" s="1865"/>
      <c r="I22" s="1675"/>
      <c r="J22" s="1676"/>
      <c r="K22" s="1676"/>
      <c r="L22" s="1676"/>
      <c r="M22" s="1656"/>
    </row>
    <row r="23" spans="1:13">
      <c r="A23" s="1656"/>
      <c r="B23" s="1672"/>
      <c r="C23" s="1674"/>
      <c r="D23" s="1678" t="s">
        <v>204</v>
      </c>
      <c r="E23" s="1674"/>
      <c r="F23" s="1543"/>
      <c r="G23" s="1866">
        <v>20.5</v>
      </c>
      <c r="H23" s="1865">
        <v>43.1</v>
      </c>
      <c r="I23" s="1675"/>
      <c r="J23" s="1676"/>
      <c r="K23" s="1676"/>
      <c r="L23" s="1676"/>
      <c r="M23" s="1656"/>
    </row>
    <row r="24" spans="1:13">
      <c r="A24" s="1656"/>
      <c r="B24" s="1672"/>
      <c r="C24" s="1674"/>
      <c r="D24" s="1673"/>
      <c r="E24" s="1671"/>
      <c r="F24" s="1543"/>
      <c r="G24" s="1867"/>
      <c r="H24" s="1868"/>
      <c r="I24" s="1675"/>
      <c r="J24" s="1676"/>
      <c r="K24" s="1676"/>
      <c r="L24" s="1676"/>
      <c r="M24" s="1656"/>
    </row>
    <row r="25" spans="1:13" ht="13.5" thickBot="1">
      <c r="A25" s="1656"/>
      <c r="B25" s="1645"/>
      <c r="C25" s="2170" t="s">
        <v>205</v>
      </c>
      <c r="D25" s="2170"/>
      <c r="E25" s="2170"/>
      <c r="F25" s="2171"/>
      <c r="G25" s="1869"/>
      <c r="H25" s="1870">
        <v>67.229297299999999</v>
      </c>
      <c r="I25" s="1675"/>
      <c r="J25" s="1676"/>
      <c r="K25" s="1676"/>
      <c r="L25" s="1676"/>
      <c r="M25" s="1656"/>
    </row>
    <row r="26" spans="1:13" ht="13.5" thickBot="1">
      <c r="A26" s="1656"/>
      <c r="B26" s="1680"/>
      <c r="C26" s="1681"/>
      <c r="D26" s="1681"/>
      <c r="E26" s="1681"/>
      <c r="F26" s="1682"/>
      <c r="G26" s="1683"/>
      <c r="H26" s="1683"/>
      <c r="I26" s="1684"/>
      <c r="J26" s="1676"/>
      <c r="K26" s="1676"/>
      <c r="L26" s="1676"/>
      <c r="M26" s="1656"/>
    </row>
    <row r="27" spans="1:13" ht="13.5" thickBot="1">
      <c r="A27" s="1656"/>
      <c r="B27" s="1658"/>
      <c r="C27" s="1664"/>
      <c r="D27" s="1656"/>
      <c r="E27" s="1679"/>
      <c r="F27" s="1658"/>
      <c r="G27" s="1676"/>
      <c r="H27" s="1676"/>
      <c r="I27" s="1676"/>
      <c r="J27" s="1676"/>
      <c r="K27" s="1676"/>
      <c r="L27" s="1676"/>
      <c r="M27" s="1656"/>
    </row>
    <row r="28" spans="1:13">
      <c r="A28" s="1656"/>
      <c r="B28" s="1661"/>
      <c r="C28" s="1685" t="s">
        <v>206</v>
      </c>
      <c r="D28" s="1664"/>
      <c r="E28" s="1664"/>
      <c r="F28" s="1686"/>
      <c r="G28" s="1687"/>
      <c r="H28" s="1688"/>
      <c r="I28" s="1688"/>
      <c r="J28" s="1688"/>
      <c r="K28" s="1688"/>
      <c r="L28" s="1688"/>
      <c r="M28" s="1666"/>
    </row>
    <row r="29" spans="1:13" ht="13.5" thickBot="1">
      <c r="A29" s="1656"/>
      <c r="B29" s="1667"/>
      <c r="C29" s="1656"/>
      <c r="D29" s="1662" t="s">
        <v>207</v>
      </c>
      <c r="E29" s="1662"/>
      <c r="F29" s="1657"/>
      <c r="G29" s="1689"/>
      <c r="H29" s="1689"/>
      <c r="I29" s="1676"/>
      <c r="J29" s="1676"/>
      <c r="K29" s="1676"/>
      <c r="L29" s="1676"/>
      <c r="M29" s="1669"/>
    </row>
    <row r="30" spans="1:13" ht="13.5" thickBot="1">
      <c r="A30" s="1656"/>
      <c r="B30" s="1690"/>
      <c r="C30" s="1656"/>
      <c r="D30" s="1674" t="s">
        <v>208</v>
      </c>
      <c r="F30" s="1543"/>
      <c r="G30" s="1691" t="s">
        <v>157</v>
      </c>
      <c r="H30" s="1692"/>
      <c r="I30" s="1676"/>
      <c r="J30" s="1676"/>
      <c r="K30" s="1676"/>
      <c r="L30" s="1676"/>
      <c r="M30" s="1669"/>
    </row>
    <row r="31" spans="1:13">
      <c r="A31" s="1656"/>
      <c r="B31" s="1690"/>
      <c r="C31" s="1656"/>
      <c r="D31" s="1677" t="s">
        <v>209</v>
      </c>
      <c r="F31" s="1656"/>
      <c r="G31" s="1871">
        <v>-0.3</v>
      </c>
      <c r="H31" s="1692"/>
      <c r="I31" s="1676"/>
      <c r="J31" s="1676"/>
      <c r="K31" s="1676"/>
      <c r="L31" s="1676"/>
      <c r="M31" s="1669"/>
    </row>
    <row r="32" spans="1:13">
      <c r="A32" s="1656"/>
      <c r="B32" s="1690"/>
      <c r="C32" s="1656"/>
      <c r="D32" s="1677" t="s">
        <v>210</v>
      </c>
      <c r="F32" s="1656"/>
      <c r="G32" s="1871">
        <v>-0.5</v>
      </c>
      <c r="H32" s="1692"/>
      <c r="I32" s="1676"/>
      <c r="J32" s="1676"/>
      <c r="K32" s="1676"/>
      <c r="L32" s="1676"/>
      <c r="M32" s="1669"/>
    </row>
    <row r="33" spans="1:13">
      <c r="A33" s="1657"/>
      <c r="B33" s="1694"/>
      <c r="C33" s="1657"/>
      <c r="D33" s="1677" t="s">
        <v>840</v>
      </c>
      <c r="F33" s="1657"/>
      <c r="G33" s="1871">
        <v>-0.2</v>
      </c>
      <c r="H33" s="1692"/>
      <c r="I33" s="1689"/>
      <c r="J33" s="1689"/>
      <c r="K33" s="1689"/>
      <c r="L33" s="1689"/>
      <c r="M33" s="1695"/>
    </row>
    <row r="34" spans="1:13" ht="13.5" thickBot="1">
      <c r="A34" s="1657"/>
      <c r="B34" s="1694"/>
      <c r="C34" s="1657"/>
      <c r="D34" s="1543"/>
      <c r="E34" s="1696" t="s">
        <v>246</v>
      </c>
      <c r="F34" s="1543"/>
      <c r="G34" s="1872">
        <v>-1</v>
      </c>
      <c r="H34" s="1692"/>
      <c r="I34" s="1689"/>
      <c r="J34" s="1689"/>
      <c r="K34" s="1689"/>
      <c r="L34" s="1689"/>
      <c r="M34" s="1695"/>
    </row>
    <row r="35" spans="1:13" ht="14.25" thickTop="1" thickBot="1">
      <c r="A35" s="1657"/>
      <c r="B35" s="1694"/>
      <c r="C35" s="1660"/>
      <c r="D35" s="1543"/>
      <c r="E35" s="1543"/>
      <c r="F35" s="1543"/>
      <c r="G35" s="1692"/>
      <c r="H35" s="1692"/>
      <c r="I35" s="1689"/>
      <c r="J35" s="1689"/>
      <c r="K35" s="1689"/>
      <c r="L35" s="1689"/>
      <c r="M35" s="1695"/>
    </row>
    <row r="36" spans="1:13" ht="38.25">
      <c r="A36" s="1657"/>
      <c r="B36" s="1645"/>
      <c r="C36" s="1543"/>
      <c r="D36" s="1543"/>
      <c r="E36" s="2168" t="s">
        <v>155</v>
      </c>
      <c r="F36" s="2169"/>
      <c r="G36" s="1782" t="s">
        <v>8</v>
      </c>
      <c r="H36" s="1782" t="s">
        <v>9</v>
      </c>
      <c r="I36" s="1782" t="s">
        <v>10</v>
      </c>
      <c r="J36" s="1782" t="s">
        <v>11</v>
      </c>
      <c r="K36" s="1783" t="s">
        <v>447</v>
      </c>
      <c r="L36" s="2162" t="s">
        <v>12</v>
      </c>
      <c r="M36" s="1695"/>
    </row>
    <row r="37" spans="1:13">
      <c r="A37" s="1657"/>
      <c r="B37" s="1645"/>
      <c r="C37" s="1543"/>
      <c r="D37" s="1543"/>
      <c r="E37" s="2180" t="s">
        <v>13</v>
      </c>
      <c r="F37" s="2181"/>
      <c r="G37" s="1697" t="s">
        <v>14</v>
      </c>
      <c r="H37" s="1697" t="s">
        <v>14</v>
      </c>
      <c r="I37" s="1697" t="s">
        <v>14</v>
      </c>
      <c r="J37" s="1697" t="s">
        <v>14</v>
      </c>
      <c r="K37" s="1784" t="s">
        <v>14</v>
      </c>
      <c r="L37" s="2163"/>
      <c r="M37" s="1695"/>
    </row>
    <row r="38" spans="1:13" ht="14.25">
      <c r="A38" s="1657"/>
      <c r="B38" s="1645"/>
      <c r="C38" s="1543"/>
      <c r="D38" s="1543"/>
      <c r="E38" s="2182"/>
      <c r="F38" s="2183"/>
      <c r="G38" s="1873">
        <v>10.9</v>
      </c>
      <c r="H38" s="1873">
        <v>10.6</v>
      </c>
      <c r="I38" s="1874">
        <v>0.30000000000000071</v>
      </c>
      <c r="J38" s="1873">
        <v>0.3</v>
      </c>
      <c r="K38" s="1874">
        <v>7.2164496600635175E-16</v>
      </c>
      <c r="L38" s="1875"/>
      <c r="M38" s="1695"/>
    </row>
    <row r="39" spans="1:13" ht="14.25">
      <c r="A39" s="1657"/>
      <c r="B39" s="1645"/>
      <c r="C39" s="1543"/>
      <c r="D39" s="1543"/>
      <c r="E39" s="2160"/>
      <c r="F39" s="2161"/>
      <c r="G39" s="1873">
        <v>1.1000000000000001</v>
      </c>
      <c r="H39" s="1873">
        <v>1.1000000000000001</v>
      </c>
      <c r="I39" s="1874">
        <v>0</v>
      </c>
      <c r="J39" s="1873">
        <v>0.5</v>
      </c>
      <c r="K39" s="1874">
        <v>-0.5</v>
      </c>
      <c r="L39" s="1876"/>
      <c r="M39" s="1695"/>
    </row>
    <row r="40" spans="1:13" ht="14.25">
      <c r="A40" s="1657"/>
      <c r="B40" s="1645"/>
      <c r="C40" s="1543"/>
      <c r="D40" s="1543"/>
      <c r="E40" s="2160"/>
      <c r="F40" s="2161"/>
      <c r="G40" s="1873">
        <v>2.9</v>
      </c>
      <c r="H40" s="1873">
        <v>2.7</v>
      </c>
      <c r="I40" s="1874">
        <v>0.19999999999999973</v>
      </c>
      <c r="J40" s="1873">
        <v>0.2</v>
      </c>
      <c r="K40" s="1874">
        <v>-2.7755575615628914E-16</v>
      </c>
      <c r="L40" s="1876"/>
      <c r="M40" s="1695"/>
    </row>
    <row r="41" spans="1:13" ht="14.25">
      <c r="A41" s="1657"/>
      <c r="B41" s="1645"/>
      <c r="C41" s="1543"/>
      <c r="D41" s="1543"/>
      <c r="E41" s="2160"/>
      <c r="F41" s="2161"/>
      <c r="G41" s="1873"/>
      <c r="H41" s="1873"/>
      <c r="I41" s="1874">
        <v>0</v>
      </c>
      <c r="J41" s="1873"/>
      <c r="K41" s="1874">
        <v>0</v>
      </c>
      <c r="L41" s="1876"/>
      <c r="M41" s="1695"/>
    </row>
    <row r="42" spans="1:13" ht="14.25">
      <c r="A42" s="1657"/>
      <c r="B42" s="1645"/>
      <c r="C42" s="1543"/>
      <c r="D42" s="1543"/>
      <c r="E42" s="2160"/>
      <c r="F42" s="2161"/>
      <c r="G42" s="1873"/>
      <c r="H42" s="1873"/>
      <c r="I42" s="1874">
        <v>0</v>
      </c>
      <c r="J42" s="1873"/>
      <c r="K42" s="1874">
        <v>0</v>
      </c>
      <c r="L42" s="1876"/>
      <c r="M42" s="1695"/>
    </row>
    <row r="43" spans="1:13" ht="14.25">
      <c r="A43" s="1657"/>
      <c r="B43" s="1645"/>
      <c r="C43" s="1543"/>
      <c r="D43" s="1543"/>
      <c r="E43" s="2160"/>
      <c r="F43" s="2161"/>
      <c r="G43" s="1873"/>
      <c r="H43" s="1873"/>
      <c r="I43" s="1874">
        <v>0</v>
      </c>
      <c r="J43" s="1873"/>
      <c r="K43" s="1874">
        <v>0</v>
      </c>
      <c r="L43" s="1876"/>
      <c r="M43" s="1695"/>
    </row>
    <row r="44" spans="1:13" ht="14.25">
      <c r="A44" s="1657"/>
      <c r="B44" s="1645"/>
      <c r="C44" s="1543"/>
      <c r="D44" s="1543"/>
      <c r="E44" s="2160"/>
      <c r="F44" s="2161"/>
      <c r="G44" s="1873"/>
      <c r="H44" s="1873"/>
      <c r="I44" s="1874">
        <v>0</v>
      </c>
      <c r="J44" s="1873"/>
      <c r="K44" s="1874">
        <v>0</v>
      </c>
      <c r="L44" s="1876"/>
      <c r="M44" s="1695"/>
    </row>
    <row r="45" spans="1:13" ht="14.25">
      <c r="A45" s="1657"/>
      <c r="B45" s="1645"/>
      <c r="C45" s="1543"/>
      <c r="D45" s="1543"/>
      <c r="E45" s="2160"/>
      <c r="F45" s="2161"/>
      <c r="G45" s="1873"/>
      <c r="H45" s="1873"/>
      <c r="I45" s="1874">
        <v>0</v>
      </c>
      <c r="J45" s="1873"/>
      <c r="K45" s="1874">
        <v>0</v>
      </c>
      <c r="L45" s="1876"/>
      <c r="M45" s="1695"/>
    </row>
    <row r="46" spans="1:13" ht="14.25">
      <c r="A46" s="1657"/>
      <c r="B46" s="1645"/>
      <c r="C46" s="1543"/>
      <c r="D46" s="1543"/>
      <c r="E46" s="2160"/>
      <c r="F46" s="2161"/>
      <c r="G46" s="1873"/>
      <c r="H46" s="1873"/>
      <c r="I46" s="1874">
        <v>0</v>
      </c>
      <c r="J46" s="1873"/>
      <c r="K46" s="1874">
        <v>0</v>
      </c>
      <c r="L46" s="1876"/>
      <c r="M46" s="1695"/>
    </row>
    <row r="47" spans="1:13" ht="14.25">
      <c r="A47" s="1657"/>
      <c r="B47" s="1645"/>
      <c r="C47" s="1543"/>
      <c r="D47" s="1543"/>
      <c r="E47" s="2160"/>
      <c r="F47" s="2161"/>
      <c r="G47" s="1873"/>
      <c r="H47" s="1873"/>
      <c r="I47" s="1874">
        <v>0</v>
      </c>
      <c r="J47" s="1873"/>
      <c r="K47" s="1874">
        <v>0</v>
      </c>
      <c r="L47" s="1876"/>
      <c r="M47" s="1695"/>
    </row>
    <row r="48" spans="1:13" ht="14.25">
      <c r="A48" s="1657"/>
      <c r="B48" s="1645"/>
      <c r="C48" s="1543"/>
      <c r="D48" s="1543"/>
      <c r="E48" s="2160"/>
      <c r="F48" s="2161"/>
      <c r="G48" s="1873"/>
      <c r="H48" s="1873"/>
      <c r="I48" s="1874">
        <v>0</v>
      </c>
      <c r="J48" s="1873"/>
      <c r="K48" s="1874">
        <v>0</v>
      </c>
      <c r="L48" s="1876"/>
      <c r="M48" s="1695"/>
    </row>
    <row r="49" spans="1:13" ht="14.25">
      <c r="A49" s="1657"/>
      <c r="B49" s="1645"/>
      <c r="C49" s="1543"/>
      <c r="D49" s="1543"/>
      <c r="E49" s="2160"/>
      <c r="F49" s="2161"/>
      <c r="G49" s="1873"/>
      <c r="H49" s="1873"/>
      <c r="I49" s="1874">
        <v>0</v>
      </c>
      <c r="J49" s="1873"/>
      <c r="K49" s="1874">
        <v>0</v>
      </c>
      <c r="L49" s="1876"/>
      <c r="M49" s="1695"/>
    </row>
    <row r="50" spans="1:13" ht="14.25">
      <c r="A50" s="1657"/>
      <c r="B50" s="1645"/>
      <c r="C50" s="1543"/>
      <c r="D50" s="1543"/>
      <c r="E50" s="2178"/>
      <c r="F50" s="2179"/>
      <c r="G50" s="1873"/>
      <c r="H50" s="1873"/>
      <c r="I50" s="1874">
        <v>0</v>
      </c>
      <c r="J50" s="1873"/>
      <c r="K50" s="1874">
        <v>0</v>
      </c>
      <c r="L50" s="1877"/>
      <c r="M50" s="1695"/>
    </row>
    <row r="51" spans="1:13" ht="13.5" thickBot="1">
      <c r="A51" s="1657"/>
      <c r="B51" s="1645"/>
      <c r="C51" s="1543"/>
      <c r="D51" s="1543"/>
      <c r="E51" s="1731" t="s">
        <v>246</v>
      </c>
      <c r="F51" s="1731"/>
      <c r="G51" s="1878">
        <v>14.9</v>
      </c>
      <c r="H51" s="1878">
        <v>14.399999999999999</v>
      </c>
      <c r="I51" s="1878">
        <v>0.50000000000000044</v>
      </c>
      <c r="J51" s="1878">
        <v>1</v>
      </c>
      <c r="K51" s="1878">
        <v>-0.49999999999999956</v>
      </c>
      <c r="L51" s="1879"/>
      <c r="M51" s="1695"/>
    </row>
    <row r="52" spans="1:13">
      <c r="A52" s="1657"/>
      <c r="B52" s="1645"/>
      <c r="C52" s="1543"/>
      <c r="D52" s="1543"/>
      <c r="E52" s="1543"/>
      <c r="F52" s="1543"/>
      <c r="G52" s="1657"/>
      <c r="H52" s="1657"/>
      <c r="I52" s="1657"/>
      <c r="J52" s="1698" t="s">
        <v>728</v>
      </c>
      <c r="K52" s="1698" t="s">
        <v>728</v>
      </c>
      <c r="L52" s="1657"/>
      <c r="M52" s="1695"/>
    </row>
    <row r="53" spans="1:13" ht="13.5" thickBot="1">
      <c r="A53" s="1657"/>
      <c r="B53" s="1645"/>
      <c r="C53" s="1543"/>
      <c r="D53" s="1543"/>
      <c r="E53" s="1543"/>
      <c r="F53" s="1543"/>
      <c r="G53" s="1657"/>
      <c r="H53" s="1657"/>
      <c r="I53" s="1657"/>
      <c r="J53" s="1657"/>
      <c r="K53" s="1657"/>
      <c r="L53" s="1657"/>
      <c r="M53" s="1695"/>
    </row>
    <row r="54" spans="1:13" ht="13.5" thickBot="1">
      <c r="A54" s="1657"/>
      <c r="B54" s="1645"/>
      <c r="C54" s="1662" t="s">
        <v>729</v>
      </c>
      <c r="E54" s="1700"/>
      <c r="F54" s="1657"/>
      <c r="G54" s="1691" t="s">
        <v>14</v>
      </c>
      <c r="H54" s="1691" t="s">
        <v>14</v>
      </c>
      <c r="I54" s="1657"/>
      <c r="J54" s="1689"/>
      <c r="K54" s="1689"/>
      <c r="L54" s="1689"/>
      <c r="M54" s="1701"/>
    </row>
    <row r="55" spans="1:13" ht="26.25" thickBot="1">
      <c r="A55" s="1657"/>
      <c r="B55" s="1645"/>
      <c r="C55" s="1543"/>
      <c r="D55" s="1657"/>
      <c r="E55" s="1657"/>
      <c r="F55" s="1657"/>
      <c r="G55" s="1702"/>
      <c r="H55" s="1703" t="s">
        <v>730</v>
      </c>
      <c r="I55" s="1657"/>
      <c r="J55" s="1689"/>
      <c r="K55" s="1689"/>
      <c r="L55" s="1689"/>
      <c r="M55" s="1701"/>
    </row>
    <row r="56" spans="1:13">
      <c r="A56" s="1657"/>
      <c r="B56" s="1645"/>
      <c r="D56" s="1700" t="s">
        <v>731</v>
      </c>
      <c r="F56" s="1657"/>
      <c r="G56" s="1693">
        <v>0</v>
      </c>
      <c r="H56" s="1704">
        <v>0</v>
      </c>
      <c r="I56" s="1657"/>
      <c r="J56" s="1689"/>
      <c r="K56" s="1689"/>
      <c r="L56" s="1689"/>
      <c r="M56" s="1701"/>
    </row>
    <row r="57" spans="1:13" ht="13.5" thickBot="1">
      <c r="A57" s="1657"/>
      <c r="B57" s="1645"/>
      <c r="D57" s="1700" t="s">
        <v>732</v>
      </c>
      <c r="F57" s="1657"/>
      <c r="G57" s="1693">
        <v>0</v>
      </c>
      <c r="H57" s="1705">
        <v>0</v>
      </c>
      <c r="I57" s="1657"/>
      <c r="J57" s="1689"/>
      <c r="K57" s="1689"/>
      <c r="L57" s="1689"/>
      <c r="M57" s="1701"/>
    </row>
    <row r="58" spans="1:13" ht="13.5" thickBot="1">
      <c r="A58" s="1657"/>
      <c r="B58" s="1645"/>
      <c r="C58" s="1543"/>
      <c r="E58" s="1696" t="s">
        <v>733</v>
      </c>
      <c r="F58" s="1657"/>
      <c r="G58" s="1706">
        <v>0</v>
      </c>
      <c r="H58" s="1689"/>
      <c r="I58" s="1657"/>
      <c r="J58" s="1689"/>
      <c r="K58" s="1689"/>
      <c r="L58" s="1689"/>
      <c r="M58" s="1701"/>
    </row>
    <row r="59" spans="1:13" ht="14.25" thickTop="1" thickBot="1">
      <c r="A59" s="1657"/>
      <c r="B59" s="1645"/>
      <c r="C59" s="1543"/>
      <c r="D59" s="1543"/>
      <c r="E59" s="1696"/>
      <c r="F59" s="1657"/>
      <c r="G59" s="1689"/>
      <c r="H59" s="1689"/>
      <c r="I59" s="1657"/>
      <c r="J59" s="1689"/>
      <c r="K59" s="1689"/>
      <c r="L59" s="1689"/>
      <c r="M59" s="1701"/>
    </row>
    <row r="60" spans="1:13" ht="73.5" customHeight="1" thickBot="1">
      <c r="A60" s="1657"/>
      <c r="B60" s="1645"/>
      <c r="C60" s="2172" t="s">
        <v>95</v>
      </c>
      <c r="D60" s="2172"/>
      <c r="E60" s="2172"/>
      <c r="F60" s="1657"/>
      <c r="G60" s="1707" t="s">
        <v>246</v>
      </c>
      <c r="H60" s="1708" t="s">
        <v>96</v>
      </c>
      <c r="I60" s="1708" t="s">
        <v>97</v>
      </c>
      <c r="J60" s="1708" t="s">
        <v>98</v>
      </c>
      <c r="K60" s="1708" t="s">
        <v>99</v>
      </c>
      <c r="L60" s="1689"/>
      <c r="M60" s="1695"/>
    </row>
    <row r="61" spans="1:13" ht="13.5" thickBot="1">
      <c r="A61" s="1657"/>
      <c r="B61" s="1694"/>
      <c r="C61" s="1660"/>
      <c r="D61" s="1662"/>
      <c r="E61" s="1608"/>
      <c r="F61" s="1543"/>
      <c r="G61" s="1691" t="s">
        <v>14</v>
      </c>
      <c r="H61" s="1691" t="s">
        <v>14</v>
      </c>
      <c r="I61" s="1691" t="s">
        <v>14</v>
      </c>
      <c r="J61" s="1691" t="s">
        <v>14</v>
      </c>
      <c r="K61" s="1691" t="s">
        <v>14</v>
      </c>
      <c r="L61" s="1689"/>
      <c r="M61" s="1695"/>
    </row>
    <row r="62" spans="1:13" ht="12.75" customHeight="1">
      <c r="A62" s="1657"/>
      <c r="B62" s="1694"/>
      <c r="D62" s="2166" t="s">
        <v>100</v>
      </c>
      <c r="E62" s="2166"/>
      <c r="F62" s="2167"/>
      <c r="G62" s="1709">
        <v>0</v>
      </c>
      <c r="H62" s="1710">
        <v>0</v>
      </c>
      <c r="I62" s="1711">
        <v>0</v>
      </c>
      <c r="J62" s="1711">
        <v>0</v>
      </c>
      <c r="K62" s="1712">
        <v>0</v>
      </c>
      <c r="L62" s="1689"/>
      <c r="M62" s="1695"/>
    </row>
    <row r="63" spans="1:13" ht="24.75" customHeight="1" thickBot="1">
      <c r="A63" s="1657"/>
      <c r="B63" s="1694"/>
      <c r="D63" s="2166" t="s">
        <v>176</v>
      </c>
      <c r="E63" s="2166"/>
      <c r="F63" s="2167"/>
      <c r="G63" s="1713">
        <v>0</v>
      </c>
      <c r="H63" s="1714">
        <v>0</v>
      </c>
      <c r="I63" s="1715">
        <v>0</v>
      </c>
      <c r="J63" s="1715">
        <v>0</v>
      </c>
      <c r="K63" s="1716">
        <v>0</v>
      </c>
      <c r="L63" s="1689"/>
      <c r="M63" s="1695"/>
    </row>
    <row r="64" spans="1:13" ht="13.5" thickBot="1">
      <c r="A64" s="1657"/>
      <c r="B64" s="1694"/>
      <c r="C64" s="1660"/>
      <c r="D64" s="1543"/>
      <c r="E64" s="1543"/>
      <c r="F64" s="1543"/>
      <c r="G64" s="1692"/>
      <c r="H64" s="1692"/>
      <c r="I64" s="1689"/>
      <c r="J64" s="1689"/>
      <c r="K64" s="1689"/>
      <c r="L64" s="1689"/>
      <c r="M64" s="1695"/>
    </row>
    <row r="65" spans="1:13" ht="90" thickBot="1">
      <c r="A65" s="1657"/>
      <c r="B65" s="1645"/>
      <c r="C65" s="2172" t="s">
        <v>40</v>
      </c>
      <c r="D65" s="2172"/>
      <c r="E65" s="2172"/>
      <c r="F65" s="1657"/>
      <c r="G65" s="1717" t="s">
        <v>246</v>
      </c>
      <c r="H65" s="1718" t="s">
        <v>753</v>
      </c>
      <c r="I65" s="1718" t="s">
        <v>211</v>
      </c>
      <c r="J65" s="1718" t="s">
        <v>212</v>
      </c>
      <c r="K65" s="1718" t="s">
        <v>213</v>
      </c>
      <c r="L65" s="1718" t="s">
        <v>214</v>
      </c>
      <c r="M65" s="1695"/>
    </row>
    <row r="66" spans="1:13" ht="13.5" thickBot="1">
      <c r="A66" s="1657"/>
      <c r="B66" s="1645"/>
      <c r="C66" s="1543"/>
      <c r="D66" s="1700"/>
      <c r="E66" s="1657"/>
      <c r="F66" s="1657"/>
      <c r="G66" s="1691" t="s">
        <v>14</v>
      </c>
      <c r="H66" s="1691" t="s">
        <v>14</v>
      </c>
      <c r="I66" s="1691" t="s">
        <v>14</v>
      </c>
      <c r="J66" s="1691" t="s">
        <v>14</v>
      </c>
      <c r="K66" s="1691" t="s">
        <v>14</v>
      </c>
      <c r="L66" s="1691" t="s">
        <v>14</v>
      </c>
      <c r="M66" s="1695"/>
    </row>
    <row r="67" spans="1:13" ht="14.25">
      <c r="A67" s="1657"/>
      <c r="B67" s="1645"/>
      <c r="D67" s="1678" t="s">
        <v>215</v>
      </c>
      <c r="F67" s="1657"/>
      <c r="G67" s="1719"/>
      <c r="H67" s="1720"/>
      <c r="I67" s="1721"/>
      <c r="J67" s="1721"/>
      <c r="K67" s="1722"/>
      <c r="L67" s="1723"/>
      <c r="M67" s="1695"/>
    </row>
    <row r="68" spans="1:13">
      <c r="A68" s="1657"/>
      <c r="B68" s="1645"/>
      <c r="D68" s="1700" t="s">
        <v>107</v>
      </c>
      <c r="F68" s="1657"/>
      <c r="G68" s="1724"/>
      <c r="H68" s="1725"/>
      <c r="I68" s="1726"/>
      <c r="J68" s="1726"/>
      <c r="K68" s="1722"/>
      <c r="L68" s="1723"/>
      <c r="M68" s="1695"/>
    </row>
    <row r="69" spans="1:13">
      <c r="A69" s="1657"/>
      <c r="B69" s="1645"/>
      <c r="D69" s="1700" t="s">
        <v>108</v>
      </c>
      <c r="F69" s="1657"/>
      <c r="G69" s="1724"/>
      <c r="H69" s="1725"/>
      <c r="I69" s="1726"/>
      <c r="J69" s="1726"/>
      <c r="K69" s="1722"/>
      <c r="L69" s="1723"/>
      <c r="M69" s="1695"/>
    </row>
    <row r="70" spans="1:13">
      <c r="A70" s="1657"/>
      <c r="B70" s="1645"/>
      <c r="D70" s="1700" t="s">
        <v>109</v>
      </c>
      <c r="F70" s="1657"/>
      <c r="G70" s="1724"/>
      <c r="H70" s="1727"/>
      <c r="I70" s="1728"/>
      <c r="J70" s="1728"/>
      <c r="K70" s="1729"/>
      <c r="L70" s="1730"/>
      <c r="M70" s="1695"/>
    </row>
    <row r="71" spans="1:13" ht="13.5" thickBot="1">
      <c r="A71" s="1657"/>
      <c r="B71" s="1645"/>
      <c r="C71" s="1543"/>
      <c r="D71" s="1543"/>
      <c r="E71" s="1696" t="s">
        <v>110</v>
      </c>
      <c r="F71" s="1657"/>
      <c r="G71" s="1731"/>
      <c r="H71" s="1731"/>
      <c r="I71" s="1731"/>
      <c r="J71" s="1731"/>
      <c r="K71" s="1731">
        <v>0</v>
      </c>
      <c r="L71" s="1731">
        <v>0</v>
      </c>
      <c r="M71" s="1695"/>
    </row>
    <row r="72" spans="1:13" ht="13.5" thickBot="1">
      <c r="A72" s="1657"/>
      <c r="B72" s="1732"/>
      <c r="C72" s="1733"/>
      <c r="D72" s="1733"/>
      <c r="E72" s="1734"/>
      <c r="F72" s="1735"/>
      <c r="G72" s="1734"/>
      <c r="H72" s="1736"/>
      <c r="I72" s="1737"/>
      <c r="J72" s="1737"/>
      <c r="K72" s="1737"/>
      <c r="L72" s="1737"/>
      <c r="M72" s="1738"/>
    </row>
    <row r="73" spans="1:13" ht="13.5" thickBot="1">
      <c r="A73" s="1657"/>
      <c r="B73" s="1657"/>
      <c r="C73" s="1735"/>
      <c r="D73" s="1657"/>
      <c r="E73" s="1657"/>
      <c r="F73" s="1657"/>
      <c r="G73" s="1689"/>
      <c r="H73" s="1689"/>
      <c r="I73" s="1689"/>
      <c r="J73" s="1689"/>
      <c r="K73" s="1689"/>
      <c r="L73" s="1689"/>
      <c r="M73" s="1657"/>
    </row>
    <row r="74" spans="1:13">
      <c r="A74" s="1657"/>
      <c r="B74" s="1661"/>
      <c r="C74" s="1662" t="s">
        <v>111</v>
      </c>
      <c r="D74" s="1664"/>
      <c r="E74" s="1739"/>
      <c r="F74" s="1664"/>
      <c r="G74" s="1688"/>
      <c r="H74" s="1688"/>
      <c r="I74" s="1687"/>
      <c r="J74" s="1687"/>
      <c r="K74" s="1687"/>
      <c r="L74" s="1687"/>
      <c r="M74" s="1740"/>
    </row>
    <row r="75" spans="1:13" ht="13.5" thickBot="1">
      <c r="A75" s="1657"/>
      <c r="B75" s="1667"/>
      <c r="C75" s="1699"/>
      <c r="D75" s="1656"/>
      <c r="E75" s="1673"/>
      <c r="F75" s="1656"/>
      <c r="G75" s="1676"/>
      <c r="H75" s="1676"/>
      <c r="I75" s="1689"/>
      <c r="J75" s="1689"/>
      <c r="K75" s="1689"/>
      <c r="L75" s="1689"/>
      <c r="M75" s="1695"/>
    </row>
    <row r="76" spans="1:13" ht="90" customHeight="1" thickBot="1">
      <c r="A76" s="1657"/>
      <c r="B76" s="1645"/>
      <c r="C76" s="2172" t="s">
        <v>94</v>
      </c>
      <c r="D76" s="2172"/>
      <c r="E76" s="2172"/>
      <c r="F76" s="2173"/>
      <c r="G76" s="1717" t="s">
        <v>246</v>
      </c>
      <c r="H76" s="1718" t="s">
        <v>753</v>
      </c>
      <c r="I76" s="1718" t="s">
        <v>211</v>
      </c>
      <c r="J76" s="1718" t="s">
        <v>212</v>
      </c>
      <c r="K76" s="1718" t="s">
        <v>213</v>
      </c>
      <c r="L76" s="1718" t="s">
        <v>214</v>
      </c>
      <c r="M76" s="1695"/>
    </row>
    <row r="77" spans="1:13" ht="13.5" thickBot="1">
      <c r="A77" s="1657"/>
      <c r="B77" s="1645"/>
      <c r="C77" s="1543"/>
      <c r="D77" s="1700"/>
      <c r="E77" s="1657"/>
      <c r="F77" s="1657"/>
      <c r="G77" s="1691" t="s">
        <v>14</v>
      </c>
      <c r="H77" s="1691" t="s">
        <v>14</v>
      </c>
      <c r="I77" s="1691" t="s">
        <v>14</v>
      </c>
      <c r="J77" s="1691" t="s">
        <v>14</v>
      </c>
      <c r="K77" s="1691" t="s">
        <v>14</v>
      </c>
      <c r="L77" s="1691" t="s">
        <v>14</v>
      </c>
      <c r="M77" s="1695"/>
    </row>
    <row r="78" spans="1:13">
      <c r="A78" s="1657"/>
      <c r="B78" s="1645"/>
      <c r="C78" s="1543"/>
      <c r="D78" s="1543" t="s">
        <v>107</v>
      </c>
      <c r="E78" s="1543"/>
      <c r="G78" s="1741">
        <v>0</v>
      </c>
      <c r="H78" s="1742"/>
      <c r="I78" s="1743"/>
      <c r="J78" s="1743"/>
      <c r="K78" s="1744"/>
      <c r="L78" s="1745"/>
      <c r="M78" s="1695"/>
    </row>
    <row r="79" spans="1:13">
      <c r="A79" s="1657"/>
      <c r="B79" s="1645"/>
      <c r="C79" s="1543"/>
      <c r="D79" s="1543" t="s">
        <v>108</v>
      </c>
      <c r="E79" s="1543"/>
      <c r="G79" s="1741">
        <v>0</v>
      </c>
      <c r="H79" s="1742"/>
      <c r="I79" s="1743"/>
      <c r="J79" s="1743"/>
      <c r="K79" s="1744"/>
      <c r="L79" s="1745"/>
      <c r="M79" s="1695"/>
    </row>
    <row r="80" spans="1:13">
      <c r="A80" s="1657"/>
      <c r="B80" s="1645"/>
      <c r="C80" s="1543"/>
      <c r="D80" s="1543" t="s">
        <v>109</v>
      </c>
      <c r="E80" s="1543"/>
      <c r="G80" s="1741">
        <v>0</v>
      </c>
      <c r="H80" s="1746"/>
      <c r="I80" s="1747"/>
      <c r="J80" s="1747"/>
      <c r="K80" s="1748"/>
      <c r="L80" s="1749"/>
      <c r="M80" s="1695"/>
    </row>
    <row r="81" spans="1:13" ht="13.5" thickBot="1">
      <c r="A81" s="1657"/>
      <c r="B81" s="1645"/>
      <c r="C81" s="1543"/>
      <c r="D81" s="1543"/>
      <c r="F81" s="1781" t="s">
        <v>246</v>
      </c>
      <c r="G81" s="1750">
        <v>0</v>
      </c>
      <c r="H81" s="1750">
        <v>0</v>
      </c>
      <c r="I81" s="1750">
        <v>0</v>
      </c>
      <c r="J81" s="1750">
        <v>0</v>
      </c>
      <c r="K81" s="1750">
        <v>0</v>
      </c>
      <c r="L81" s="1750">
        <v>0</v>
      </c>
      <c r="M81" s="1695"/>
    </row>
    <row r="82" spans="1:13" ht="13.5" thickBot="1">
      <c r="A82" s="1657"/>
      <c r="B82" s="1645"/>
      <c r="C82" s="1543"/>
      <c r="D82" s="1543"/>
      <c r="E82" s="1700"/>
      <c r="F82" s="1657"/>
      <c r="G82" s="1751"/>
      <c r="H82" s="1751"/>
      <c r="I82" s="1689"/>
      <c r="J82" s="1689"/>
      <c r="K82" s="1689"/>
      <c r="L82" s="1689"/>
      <c r="M82" s="1695"/>
    </row>
    <row r="83" spans="1:13" ht="27" customHeight="1" thickBot="1">
      <c r="A83" s="1657"/>
      <c r="B83" s="1645"/>
      <c r="C83" s="2176" t="s">
        <v>187</v>
      </c>
      <c r="D83" s="2176"/>
      <c r="E83" s="2176"/>
      <c r="F83" s="2177"/>
      <c r="G83" s="1880">
        <v>0.4</v>
      </c>
      <c r="H83" s="1881"/>
      <c r="I83" s="1882">
        <v>0.4</v>
      </c>
      <c r="J83" s="1753"/>
      <c r="K83" s="1754"/>
      <c r="L83" s="1755"/>
      <c r="M83" s="1695"/>
    </row>
    <row r="84" spans="1:13" ht="13.5" thickBot="1">
      <c r="A84" s="1657"/>
      <c r="B84" s="1732"/>
      <c r="C84" s="1733"/>
      <c r="D84" s="1733"/>
      <c r="E84" s="1756"/>
      <c r="F84" s="1735"/>
      <c r="G84" s="1757"/>
      <c r="H84" s="1758"/>
      <c r="I84" s="1757"/>
      <c r="J84" s="1757"/>
      <c r="K84" s="1757"/>
      <c r="L84" s="1757"/>
      <c r="M84" s="1759"/>
    </row>
    <row r="85" spans="1:13" ht="13.5" thickBot="1">
      <c r="A85" s="1700"/>
      <c r="B85" s="1700"/>
      <c r="C85" s="1702"/>
      <c r="D85" s="1543"/>
      <c r="E85" s="1700"/>
      <c r="F85" s="1657"/>
      <c r="G85" s="1689"/>
      <c r="H85" s="1751"/>
      <c r="I85" s="1689"/>
      <c r="J85" s="1689"/>
      <c r="K85" s="1689"/>
      <c r="L85" s="1689"/>
      <c r="M85" s="1657"/>
    </row>
    <row r="86" spans="1:13" ht="13.5" thickBot="1">
      <c r="A86" s="1657"/>
      <c r="B86" s="1760"/>
      <c r="C86" s="1685" t="s">
        <v>175</v>
      </c>
      <c r="D86" s="1761"/>
      <c r="E86" s="1762"/>
      <c r="F86" s="1763"/>
      <c r="G86" s="1764"/>
      <c r="H86" s="1764"/>
      <c r="I86" s="1765"/>
      <c r="J86" s="1689"/>
      <c r="K86" s="1689"/>
      <c r="L86" s="1689"/>
      <c r="M86" s="1657"/>
    </row>
    <row r="87" spans="1:13" ht="13.5" thickBot="1">
      <c r="A87" s="1657"/>
      <c r="B87" s="1645"/>
      <c r="C87" s="1543"/>
      <c r="D87" s="1543"/>
      <c r="E87" s="1696"/>
      <c r="F87" s="1657"/>
      <c r="G87" s="1691" t="s">
        <v>14</v>
      </c>
      <c r="H87" s="1751"/>
      <c r="I87" s="1701"/>
      <c r="J87" s="1689"/>
      <c r="K87" s="1689"/>
      <c r="L87" s="1689"/>
      <c r="M87" s="1657"/>
    </row>
    <row r="88" spans="1:13" ht="29.25" customHeight="1" thickBot="1">
      <c r="A88" s="1657"/>
      <c r="B88" s="1645"/>
      <c r="C88" s="2172" t="s">
        <v>664</v>
      </c>
      <c r="D88" s="2172"/>
      <c r="E88" s="2172"/>
      <c r="F88" s="2173"/>
      <c r="G88" s="1780"/>
      <c r="H88" s="1689"/>
      <c r="I88" s="1701"/>
      <c r="J88" s="1689"/>
      <c r="K88" s="1689"/>
      <c r="L88" s="1689"/>
      <c r="M88" s="1657"/>
    </row>
    <row r="89" spans="1:13" ht="27" customHeight="1" thickBot="1">
      <c r="A89" s="1657"/>
      <c r="B89" s="1645"/>
      <c r="C89" s="2172" t="s">
        <v>920</v>
      </c>
      <c r="D89" s="2172"/>
      <c r="E89" s="2172"/>
      <c r="F89" s="2173"/>
      <c r="G89" s="1766">
        <v>0</v>
      </c>
      <c r="H89" s="1689"/>
      <c r="I89" s="1701"/>
      <c r="J89" s="1689"/>
      <c r="K89" s="1689"/>
      <c r="L89" s="1689"/>
      <c r="M89" s="1657"/>
    </row>
    <row r="90" spans="1:13" ht="13.5" thickBot="1">
      <c r="A90" s="1657"/>
      <c r="B90" s="1645"/>
      <c r="C90" s="1543"/>
      <c r="D90" s="1543"/>
      <c r="E90" s="1700"/>
      <c r="F90" s="1657"/>
      <c r="G90" s="1689"/>
      <c r="H90" s="1689"/>
      <c r="I90" s="1701"/>
      <c r="J90" s="1689"/>
      <c r="K90" s="1689"/>
      <c r="L90" s="1689"/>
      <c r="M90" s="1657"/>
    </row>
    <row r="91" spans="1:13" ht="13.5" thickBot="1">
      <c r="A91" s="1657"/>
      <c r="B91" s="1645"/>
      <c r="C91" s="1543"/>
      <c r="D91" s="1543"/>
      <c r="E91" s="1752"/>
      <c r="F91" s="1657"/>
      <c r="G91" s="1691" t="s">
        <v>14</v>
      </c>
      <c r="H91" s="1691" t="s">
        <v>177</v>
      </c>
      <c r="I91" s="1767"/>
      <c r="J91" s="1768"/>
      <c r="K91" s="1768"/>
      <c r="L91" s="1689"/>
      <c r="M91" s="1657"/>
    </row>
    <row r="92" spans="1:13" ht="13.5" thickBot="1">
      <c r="A92" s="1657"/>
      <c r="B92" s="1645"/>
      <c r="C92" s="1662" t="s">
        <v>190</v>
      </c>
      <c r="E92" s="1657"/>
      <c r="F92" s="1657"/>
      <c r="G92" s="1769"/>
      <c r="H92" s="1770"/>
      <c r="I92" s="1771"/>
      <c r="J92" s="1772"/>
      <c r="K92" s="1772"/>
      <c r="L92" s="1689"/>
      <c r="M92" s="1657"/>
    </row>
    <row r="93" spans="1:13" ht="14.25" thickTop="1" thickBot="1">
      <c r="A93" s="1657"/>
      <c r="B93" s="1694"/>
      <c r="C93" s="1657"/>
      <c r="D93" s="1773"/>
      <c r="E93" s="1657"/>
      <c r="F93" s="1657"/>
      <c r="G93" s="1657"/>
      <c r="H93" s="1657"/>
      <c r="I93" s="1771"/>
      <c r="J93" s="1774"/>
      <c r="K93" s="1774"/>
      <c r="L93" s="1689"/>
      <c r="M93" s="1657"/>
    </row>
    <row r="94" spans="1:13" ht="27.75" customHeight="1" thickBot="1">
      <c r="A94" s="1657"/>
      <c r="B94" s="1645"/>
      <c r="C94" s="2172" t="s">
        <v>191</v>
      </c>
      <c r="D94" s="2172"/>
      <c r="E94" s="2172"/>
      <c r="F94" s="2173"/>
      <c r="G94" s="1691" t="s">
        <v>14</v>
      </c>
      <c r="H94" s="1691" t="s">
        <v>177</v>
      </c>
      <c r="I94" s="1775"/>
      <c r="J94" s="1774"/>
      <c r="K94" s="1774"/>
      <c r="L94" s="1689"/>
      <c r="M94" s="1657"/>
    </row>
    <row r="95" spans="1:13">
      <c r="A95" s="1657"/>
      <c r="B95" s="1645"/>
      <c r="C95" s="1543"/>
      <c r="D95" s="1700" t="s">
        <v>240</v>
      </c>
      <c r="F95" s="1657"/>
      <c r="G95" s="1693">
        <v>0</v>
      </c>
      <c r="H95" s="1693">
        <v>0</v>
      </c>
      <c r="I95" s="1771"/>
      <c r="J95" s="1772"/>
      <c r="K95" s="1772"/>
      <c r="L95" s="1689"/>
      <c r="M95" s="1657"/>
    </row>
    <row r="96" spans="1:13">
      <c r="A96" s="1657"/>
      <c r="B96" s="1645"/>
      <c r="C96" s="1543"/>
      <c r="D96" s="1700" t="s">
        <v>239</v>
      </c>
      <c r="F96" s="1657"/>
      <c r="G96" s="1693">
        <v>0</v>
      </c>
      <c r="H96" s="1693"/>
      <c r="I96" s="1771"/>
      <c r="J96" s="1772"/>
      <c r="K96" s="1772"/>
      <c r="L96" s="1689"/>
      <c r="M96" s="1657"/>
    </row>
    <row r="97" spans="1:13" ht="13.5" thickBot="1">
      <c r="A97" s="1657"/>
      <c r="B97" s="1645"/>
      <c r="C97" s="1543"/>
      <c r="D97" s="1700" t="s">
        <v>192</v>
      </c>
      <c r="F97" s="1657"/>
      <c r="G97" s="1693">
        <v>0</v>
      </c>
      <c r="H97" s="1705">
        <v>0</v>
      </c>
      <c r="I97" s="1771"/>
      <c r="J97" s="1772"/>
      <c r="K97" s="1772"/>
      <c r="L97" s="1689"/>
      <c r="M97" s="1657"/>
    </row>
    <row r="98" spans="1:13" ht="26.25" customHeight="1">
      <c r="A98" s="1657"/>
      <c r="B98" s="1645"/>
      <c r="C98" s="1543"/>
      <c r="D98" s="2174" t="s">
        <v>193</v>
      </c>
      <c r="E98" s="2174"/>
      <c r="F98" s="2175"/>
      <c r="G98" s="1776">
        <v>0</v>
      </c>
      <c r="H98" s="1777"/>
      <c r="I98" s="1771"/>
      <c r="J98" s="1772"/>
      <c r="K98" s="1774"/>
      <c r="L98" s="1689"/>
      <c r="M98" s="1657"/>
    </row>
    <row r="99" spans="1:13" ht="13.5" thickBot="1">
      <c r="A99" s="1657"/>
      <c r="B99" s="1645"/>
      <c r="C99" s="2170" t="s">
        <v>178</v>
      </c>
      <c r="D99" s="2170"/>
      <c r="E99" s="2170"/>
      <c r="F99" s="2171"/>
      <c r="G99" s="1706">
        <v>0</v>
      </c>
      <c r="H99" s="1706"/>
      <c r="I99" s="1778"/>
      <c r="J99" s="1779"/>
      <c r="K99" s="1779"/>
      <c r="L99" s="1689"/>
      <c r="M99" s="1657"/>
    </row>
    <row r="100" spans="1:13" ht="14.25" thickTop="1" thickBot="1">
      <c r="A100" s="1657"/>
      <c r="B100" s="1732"/>
      <c r="C100" s="1733"/>
      <c r="D100" s="1733"/>
      <c r="E100" s="1733"/>
      <c r="F100" s="1733"/>
      <c r="G100" s="1735"/>
      <c r="H100" s="1735"/>
      <c r="I100" s="1759"/>
      <c r="J100" s="1657"/>
      <c r="K100" s="1657"/>
      <c r="L100" s="1657"/>
      <c r="M100" s="1657"/>
    </row>
    <row r="101" spans="1:13">
      <c r="A101" s="1657"/>
      <c r="B101" s="1530"/>
      <c r="C101" s="1530"/>
      <c r="D101" s="1530"/>
      <c r="E101" s="1530"/>
      <c r="F101" s="1530"/>
      <c r="G101" s="1657"/>
      <c r="H101" s="1657"/>
      <c r="I101" s="1657"/>
      <c r="J101" s="1657"/>
      <c r="K101" s="1657"/>
      <c r="L101" s="1657"/>
      <c r="M101" s="1657"/>
    </row>
  </sheetData>
  <mergeCells count="32">
    <mergeCell ref="D63:F63"/>
    <mergeCell ref="D15:F15"/>
    <mergeCell ref="C25:F25"/>
    <mergeCell ref="C99:F99"/>
    <mergeCell ref="C89:F89"/>
    <mergeCell ref="C88:F88"/>
    <mergeCell ref="C94:F94"/>
    <mergeCell ref="D98:F98"/>
    <mergeCell ref="C76:F76"/>
    <mergeCell ref="C83:F83"/>
    <mergeCell ref="C60:E60"/>
    <mergeCell ref="C65:E65"/>
    <mergeCell ref="D62:F62"/>
    <mergeCell ref="E50:F50"/>
    <mergeCell ref="E37:F37"/>
    <mergeCell ref="E38:F38"/>
    <mergeCell ref="L36:L37"/>
    <mergeCell ref="D17:F17"/>
    <mergeCell ref="D21:F21"/>
    <mergeCell ref="D22:F22"/>
    <mergeCell ref="E36:F36"/>
    <mergeCell ref="E39:F39"/>
    <mergeCell ref="E40:F40"/>
    <mergeCell ref="E41:F41"/>
    <mergeCell ref="E42:F42"/>
    <mergeCell ref="E43:F43"/>
    <mergeCell ref="E49:F49"/>
    <mergeCell ref="E44:F44"/>
    <mergeCell ref="E45:F45"/>
    <mergeCell ref="E46:F46"/>
    <mergeCell ref="E47:F47"/>
    <mergeCell ref="E48:F48"/>
  </mergeCells>
  <phoneticPr fontId="0" type="noConversion"/>
  <dataValidations count="2">
    <dataValidation type="decimal" operator="lessThanOrEqual" allowBlank="1" showInputMessage="1" showErrorMessage="1" sqref="G32:G33">
      <formula1>0</formula1>
    </dataValidation>
    <dataValidation type="decimal" operator="greaterThanOrEqual" allowBlank="1" showInputMessage="1" showErrorMessage="1" sqref="J38:J41 G38:H41">
      <formula1>0</formula1>
    </dataValidation>
  </dataValidations>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C1DFFF"/>
  </sheetPr>
  <dimension ref="A1:J80"/>
  <sheetViews>
    <sheetView topLeftCell="A37" zoomScale="80" workbookViewId="0">
      <selection activeCell="G9" sqref="G9:G74"/>
    </sheetView>
  </sheetViews>
  <sheetFormatPr defaultColWidth="8.85546875" defaultRowHeight="10.5"/>
  <cols>
    <col min="1" max="1" width="8.140625" style="634" customWidth="1"/>
    <col min="2" max="2" width="15.42578125" style="634" customWidth="1"/>
    <col min="3" max="3" width="48.7109375" style="634" bestFit="1" customWidth="1"/>
    <col min="4" max="4" width="16.140625" style="634" customWidth="1"/>
    <col min="5" max="10" width="11" style="634" customWidth="1"/>
    <col min="11" max="16384" width="8.85546875" style="634"/>
  </cols>
  <sheetData>
    <row r="1" spans="1:10" ht="12.75" customHeight="1">
      <c r="A1" s="1786" t="s">
        <v>16</v>
      </c>
      <c r="B1" s="506"/>
      <c r="C1" s="506"/>
      <c r="D1" s="506"/>
      <c r="E1" s="506"/>
      <c r="F1" s="524" t="s">
        <v>216</v>
      </c>
      <c r="G1" s="506"/>
      <c r="H1" s="506"/>
      <c r="I1" s="506"/>
    </row>
    <row r="2" spans="1:10" s="635" customFormat="1" ht="12.75">
      <c r="A2" s="507"/>
      <c r="B2" s="508"/>
      <c r="C2" s="508"/>
      <c r="D2" s="508"/>
      <c r="E2" s="508"/>
      <c r="F2" s="508"/>
      <c r="G2" s="508"/>
      <c r="H2" s="508"/>
      <c r="I2" s="508"/>
    </row>
    <row r="3" spans="1:10" ht="15">
      <c r="A3" s="1786" t="s">
        <v>29</v>
      </c>
      <c r="B3" s="506"/>
      <c r="C3" s="506"/>
      <c r="D3" s="506"/>
      <c r="E3" s="506"/>
      <c r="F3" s="506"/>
      <c r="G3" s="506"/>
      <c r="H3" s="506"/>
      <c r="I3" s="506"/>
    </row>
    <row r="4" spans="1:10" ht="12.75">
      <c r="A4" s="505"/>
      <c r="B4" s="506"/>
      <c r="C4" s="506"/>
      <c r="D4" s="506"/>
      <c r="E4" s="506"/>
      <c r="F4" s="506"/>
      <c r="G4" s="506"/>
      <c r="H4" s="506"/>
      <c r="I4" s="506"/>
    </row>
    <row r="5" spans="1:10" ht="20.25">
      <c r="A5" s="2184" t="s">
        <v>30</v>
      </c>
      <c r="B5" s="2184"/>
      <c r="C5" s="2184"/>
      <c r="D5" s="482"/>
      <c r="E5" s="483"/>
      <c r="F5" s="483"/>
      <c r="G5" s="483"/>
    </row>
    <row r="6" spans="1:10" ht="15" thickBot="1">
      <c r="A6" s="484"/>
      <c r="B6" s="484"/>
      <c r="C6" s="379"/>
      <c r="D6" s="379"/>
      <c r="E6" s="485"/>
      <c r="F6" s="485"/>
      <c r="G6" s="485"/>
    </row>
    <row r="7" spans="1:10" ht="15.75" thickBot="1">
      <c r="A7" s="484"/>
      <c r="B7" s="484"/>
      <c r="C7" s="486"/>
      <c r="D7" s="487" t="s">
        <v>31</v>
      </c>
      <c r="E7" s="487" t="s">
        <v>32</v>
      </c>
      <c r="F7" s="487" t="s">
        <v>33</v>
      </c>
      <c r="G7" s="487" t="s">
        <v>29</v>
      </c>
      <c r="H7" s="487" t="s">
        <v>34</v>
      </c>
      <c r="I7" s="1785" t="s">
        <v>35</v>
      </c>
      <c r="J7" s="1785" t="s">
        <v>118</v>
      </c>
    </row>
    <row r="8" spans="1:10" ht="15">
      <c r="A8" s="484"/>
      <c r="B8" s="484"/>
      <c r="C8" s="488" t="s">
        <v>229</v>
      </c>
      <c r="D8" s="489"/>
      <c r="E8" s="2185" t="s">
        <v>230</v>
      </c>
      <c r="F8" s="2186"/>
      <c r="G8" s="2186"/>
      <c r="H8" s="2187" t="s">
        <v>162</v>
      </c>
      <c r="I8" s="2188"/>
      <c r="J8" s="2189"/>
    </row>
    <row r="9" spans="1:10" ht="14.25">
      <c r="A9" s="484"/>
      <c r="B9" s="484"/>
      <c r="C9" s="490" t="s">
        <v>163</v>
      </c>
      <c r="D9" s="491" t="s">
        <v>164</v>
      </c>
      <c r="E9" s="492"/>
      <c r="F9" s="493"/>
      <c r="G9" s="494">
        <v>1.5045980000000001</v>
      </c>
      <c r="H9" s="492"/>
      <c r="I9" s="493"/>
      <c r="J9" s="1787"/>
    </row>
    <row r="10" spans="1:10" ht="14.25">
      <c r="A10" s="484"/>
      <c r="B10" s="484"/>
      <c r="C10" s="490" t="s">
        <v>165</v>
      </c>
      <c r="D10" s="491" t="s">
        <v>166</v>
      </c>
      <c r="E10" s="492"/>
      <c r="F10" s="493"/>
      <c r="G10" s="494">
        <v>79</v>
      </c>
      <c r="H10" s="492"/>
      <c r="I10" s="493"/>
      <c r="J10" s="1787"/>
    </row>
    <row r="11" spans="1:10" ht="14.25">
      <c r="A11" s="484"/>
      <c r="B11" s="484"/>
      <c r="C11" s="490" t="s">
        <v>47</v>
      </c>
      <c r="D11" s="491" t="s">
        <v>48</v>
      </c>
      <c r="E11" s="492"/>
      <c r="F11" s="493"/>
      <c r="G11" s="494">
        <v>55.6</v>
      </c>
      <c r="H11" s="492"/>
      <c r="I11" s="493"/>
      <c r="J11" s="1787"/>
    </row>
    <row r="12" spans="1:10" ht="15.75" thickBot="1">
      <c r="A12" s="484"/>
      <c r="B12" s="484"/>
      <c r="C12" s="490"/>
      <c r="D12" s="495"/>
      <c r="E12" s="496"/>
      <c r="F12" s="497"/>
      <c r="G12" s="497"/>
      <c r="H12" s="496"/>
      <c r="I12" s="497"/>
      <c r="J12" s="1788"/>
    </row>
    <row r="13" spans="1:10" ht="15">
      <c r="A13" s="484"/>
      <c r="B13" s="484"/>
      <c r="C13" s="498" t="s">
        <v>234</v>
      </c>
      <c r="D13" s="489"/>
      <c r="E13" s="499"/>
      <c r="F13" s="485"/>
      <c r="G13" s="485"/>
      <c r="J13" s="1789"/>
    </row>
    <row r="14" spans="1:10" ht="14.25">
      <c r="A14" s="484"/>
      <c r="B14" s="484"/>
      <c r="C14" s="500"/>
      <c r="D14" s="491"/>
      <c r="E14" s="499"/>
      <c r="F14" s="485"/>
      <c r="G14" s="485"/>
      <c r="J14" s="1789"/>
    </row>
    <row r="15" spans="1:10" ht="14.25">
      <c r="A15" s="484"/>
      <c r="B15" s="484"/>
      <c r="C15" s="501" t="s">
        <v>235</v>
      </c>
      <c r="D15" s="491"/>
      <c r="E15" s="499"/>
      <c r="F15" s="485"/>
      <c r="G15" s="485"/>
      <c r="J15" s="1789"/>
    </row>
    <row r="16" spans="1:10" ht="14.25">
      <c r="A16" s="484"/>
      <c r="B16" s="484"/>
      <c r="C16" s="501" t="s">
        <v>236</v>
      </c>
      <c r="D16" s="491"/>
      <c r="E16" s="499"/>
      <c r="F16" s="485"/>
      <c r="G16" s="485"/>
      <c r="J16" s="1789"/>
    </row>
    <row r="17" spans="1:10" ht="14.25">
      <c r="A17" s="484"/>
      <c r="B17" s="484"/>
      <c r="C17" s="500" t="s">
        <v>237</v>
      </c>
      <c r="D17" s="491" t="s">
        <v>238</v>
      </c>
      <c r="E17" s="492"/>
      <c r="F17" s="493"/>
      <c r="G17" s="494">
        <v>0</v>
      </c>
      <c r="H17" s="492"/>
      <c r="I17" s="493"/>
      <c r="J17" s="1787"/>
    </row>
    <row r="18" spans="1:10" ht="14.25">
      <c r="A18" s="484"/>
      <c r="B18" s="484"/>
      <c r="C18" s="500" t="s">
        <v>239</v>
      </c>
      <c r="D18" s="491" t="s">
        <v>238</v>
      </c>
      <c r="E18" s="492"/>
      <c r="F18" s="493"/>
      <c r="G18" s="494">
        <v>25</v>
      </c>
      <c r="H18" s="492"/>
      <c r="I18" s="493"/>
      <c r="J18" s="1787"/>
    </row>
    <row r="19" spans="1:10" ht="14.25">
      <c r="A19" s="484"/>
      <c r="B19" s="484"/>
      <c r="C19" s="500" t="s">
        <v>240</v>
      </c>
      <c r="D19" s="491" t="s">
        <v>238</v>
      </c>
      <c r="E19" s="492"/>
      <c r="F19" s="493"/>
      <c r="G19" s="494">
        <v>20123</v>
      </c>
      <c r="H19" s="492"/>
      <c r="I19" s="493"/>
      <c r="J19" s="1787"/>
    </row>
    <row r="20" spans="1:10" ht="14.25">
      <c r="A20" s="484"/>
      <c r="B20" s="484"/>
      <c r="C20" s="500" t="s">
        <v>241</v>
      </c>
      <c r="D20" s="491" t="s">
        <v>238</v>
      </c>
      <c r="E20" s="492"/>
      <c r="F20" s="493"/>
      <c r="G20" s="494">
        <v>3</v>
      </c>
      <c r="H20" s="492"/>
      <c r="I20" s="493"/>
      <c r="J20" s="1787"/>
    </row>
    <row r="21" spans="1:10" ht="14.25">
      <c r="A21" s="484"/>
      <c r="B21" s="484"/>
      <c r="C21" s="500"/>
      <c r="D21" s="491"/>
      <c r="E21" s="499"/>
      <c r="F21" s="485"/>
      <c r="G21" s="485"/>
      <c r="H21" s="499"/>
      <c r="I21" s="485"/>
      <c r="J21" s="1790"/>
    </row>
    <row r="22" spans="1:10" ht="14.25">
      <c r="A22" s="484"/>
      <c r="B22" s="484"/>
      <c r="C22" s="501" t="s">
        <v>242</v>
      </c>
      <c r="D22" s="491"/>
      <c r="E22" s="499"/>
      <c r="F22" s="485"/>
      <c r="G22" s="485"/>
      <c r="H22" s="499"/>
      <c r="I22" s="485"/>
      <c r="J22" s="1790"/>
    </row>
    <row r="23" spans="1:10" ht="14.25">
      <c r="A23" s="484"/>
      <c r="B23" s="484"/>
      <c r="C23" s="500" t="s">
        <v>243</v>
      </c>
      <c r="D23" s="491" t="s">
        <v>244</v>
      </c>
      <c r="E23" s="492"/>
      <c r="F23" s="493"/>
      <c r="G23" s="494">
        <v>108.8</v>
      </c>
      <c r="H23" s="492"/>
      <c r="I23" s="493"/>
      <c r="J23" s="1787"/>
    </row>
    <row r="24" spans="1:10" ht="14.25">
      <c r="A24" s="484"/>
      <c r="B24" s="484"/>
      <c r="C24" s="500" t="s">
        <v>245</v>
      </c>
      <c r="D24" s="491" t="s">
        <v>244</v>
      </c>
      <c r="E24" s="492"/>
      <c r="F24" s="493"/>
      <c r="G24" s="494">
        <v>74.2</v>
      </c>
      <c r="H24" s="492"/>
      <c r="I24" s="493"/>
      <c r="J24" s="1787"/>
    </row>
    <row r="25" spans="1:10" ht="14.25">
      <c r="A25" s="484"/>
      <c r="B25" s="484"/>
      <c r="C25" s="500" t="s">
        <v>239</v>
      </c>
      <c r="D25" s="491" t="s">
        <v>244</v>
      </c>
      <c r="E25" s="492"/>
      <c r="F25" s="493"/>
      <c r="G25" s="494">
        <v>172.6</v>
      </c>
      <c r="H25" s="492"/>
      <c r="I25" s="493"/>
      <c r="J25" s="1787"/>
    </row>
    <row r="26" spans="1:10" ht="15" thickBot="1">
      <c r="A26" s="484"/>
      <c r="B26" s="484"/>
      <c r="C26" s="500" t="s">
        <v>240</v>
      </c>
      <c r="D26" s="491" t="s">
        <v>244</v>
      </c>
      <c r="E26" s="492"/>
      <c r="F26" s="493"/>
      <c r="G26" s="494">
        <v>7.3</v>
      </c>
      <c r="H26" s="492"/>
      <c r="I26" s="493"/>
      <c r="J26" s="1787"/>
    </row>
    <row r="27" spans="1:10" ht="15" thickBot="1">
      <c r="A27" s="484"/>
      <c r="B27" s="484"/>
      <c r="C27" s="501" t="s">
        <v>246</v>
      </c>
      <c r="D27" s="491"/>
      <c r="E27" s="1791"/>
      <c r="F27" s="502"/>
      <c r="G27" s="502">
        <v>362.90000000000003</v>
      </c>
      <c r="H27" s="502"/>
      <c r="I27" s="502"/>
      <c r="J27" s="1792"/>
    </row>
    <row r="28" spans="1:10" ht="14.25">
      <c r="A28" s="484"/>
      <c r="B28" s="484"/>
      <c r="C28" s="500"/>
      <c r="D28" s="491"/>
      <c r="E28" s="1793"/>
      <c r="F28" s="66"/>
      <c r="G28" s="66"/>
      <c r="H28" s="66"/>
      <c r="I28" s="66"/>
      <c r="J28" s="1794"/>
    </row>
    <row r="29" spans="1:10" ht="14.25">
      <c r="A29" s="484"/>
      <c r="B29" s="484"/>
      <c r="C29" s="501" t="s">
        <v>247</v>
      </c>
      <c r="D29" s="491"/>
      <c r="E29" s="1793"/>
      <c r="F29" s="66"/>
      <c r="G29" s="66"/>
      <c r="H29" s="66"/>
      <c r="I29" s="66"/>
      <c r="J29" s="1794"/>
    </row>
    <row r="30" spans="1:10" ht="14.25">
      <c r="A30" s="484"/>
      <c r="B30" s="484"/>
      <c r="C30" s="500" t="s">
        <v>17</v>
      </c>
      <c r="D30" s="491" t="s">
        <v>244</v>
      </c>
      <c r="E30" s="492"/>
      <c r="F30" s="493"/>
      <c r="G30" s="494">
        <v>2953.3786</v>
      </c>
      <c r="H30" s="492"/>
      <c r="I30" s="493"/>
      <c r="J30" s="1787"/>
    </row>
    <row r="31" spans="1:10" ht="14.25">
      <c r="A31" s="484"/>
      <c r="B31" s="484"/>
      <c r="C31" s="500" t="s">
        <v>18</v>
      </c>
      <c r="D31" s="491" t="s">
        <v>244</v>
      </c>
      <c r="E31" s="492"/>
      <c r="F31" s="493"/>
      <c r="G31" s="494">
        <v>2953.3786</v>
      </c>
      <c r="H31" s="492"/>
      <c r="I31" s="493"/>
      <c r="J31" s="1787"/>
    </row>
    <row r="32" spans="1:10" ht="14.25">
      <c r="A32" s="484"/>
      <c r="B32" s="484"/>
      <c r="C32" s="500"/>
      <c r="D32" s="491"/>
      <c r="E32" s="1793"/>
      <c r="F32" s="66"/>
      <c r="G32" s="66"/>
      <c r="H32" s="66"/>
      <c r="I32" s="66"/>
      <c r="J32" s="1794"/>
    </row>
    <row r="33" spans="1:10" ht="14.25">
      <c r="A33" s="484"/>
      <c r="B33" s="484"/>
      <c r="C33" s="501" t="s">
        <v>50</v>
      </c>
      <c r="D33" s="491"/>
      <c r="E33" s="1793"/>
      <c r="F33" s="66"/>
      <c r="G33" s="66"/>
      <c r="H33" s="66"/>
      <c r="I33" s="66"/>
      <c r="J33" s="1794"/>
    </row>
    <row r="34" spans="1:10" ht="14.25">
      <c r="A34" s="484"/>
      <c r="B34" s="484"/>
      <c r="C34" s="500" t="s">
        <v>237</v>
      </c>
      <c r="D34" s="491" t="s">
        <v>51</v>
      </c>
      <c r="E34" s="492"/>
      <c r="F34" s="493"/>
      <c r="G34" s="494">
        <v>519.3929296</v>
      </c>
      <c r="H34" s="492"/>
      <c r="I34" s="493"/>
      <c r="J34" s="1787"/>
    </row>
    <row r="35" spans="1:10" ht="14.25">
      <c r="A35" s="484"/>
      <c r="B35" s="484"/>
      <c r="C35" s="500" t="s">
        <v>239</v>
      </c>
      <c r="D35" s="491" t="s">
        <v>51</v>
      </c>
      <c r="E35" s="492"/>
      <c r="F35" s="493"/>
      <c r="G35" s="494">
        <v>3560.4307964999998</v>
      </c>
      <c r="H35" s="492"/>
      <c r="I35" s="493"/>
      <c r="J35" s="1787"/>
    </row>
    <row r="36" spans="1:10" ht="15" thickBot="1">
      <c r="A36" s="484"/>
      <c r="B36" s="484"/>
      <c r="C36" s="500" t="s">
        <v>240</v>
      </c>
      <c r="D36" s="491" t="s">
        <v>51</v>
      </c>
      <c r="E36" s="492"/>
      <c r="F36" s="493"/>
      <c r="G36" s="494">
        <v>11135.698339690003</v>
      </c>
      <c r="H36" s="492"/>
      <c r="I36" s="493"/>
      <c r="J36" s="1787"/>
    </row>
    <row r="37" spans="1:10" ht="15" thickBot="1">
      <c r="A37" s="484"/>
      <c r="B37" s="484"/>
      <c r="C37" s="501" t="s">
        <v>246</v>
      </c>
      <c r="D37" s="491"/>
      <c r="E37" s="1791"/>
      <c r="F37" s="502"/>
      <c r="G37" s="502">
        <v>15215.522065790003</v>
      </c>
      <c r="H37" s="502"/>
      <c r="I37" s="502"/>
      <c r="J37" s="1792"/>
    </row>
    <row r="38" spans="1:10" ht="14.25">
      <c r="A38" s="484"/>
      <c r="B38" s="484"/>
      <c r="C38" s="500"/>
      <c r="D38" s="491"/>
      <c r="E38" s="499"/>
      <c r="F38" s="485"/>
      <c r="G38" s="485"/>
      <c r="H38" s="499"/>
      <c r="I38" s="485"/>
      <c r="J38" s="1790"/>
    </row>
    <row r="39" spans="1:10" ht="14.25">
      <c r="A39" s="484"/>
      <c r="B39" s="484"/>
      <c r="C39" s="501" t="s">
        <v>52</v>
      </c>
      <c r="D39" s="491"/>
      <c r="E39" s="499"/>
      <c r="F39" s="485"/>
      <c r="G39" s="485"/>
      <c r="H39" s="499"/>
      <c r="I39" s="485"/>
      <c r="J39" s="1790"/>
    </row>
    <row r="40" spans="1:10" ht="14.25">
      <c r="A40" s="484"/>
      <c r="B40" s="484"/>
      <c r="C40" s="500" t="s">
        <v>53</v>
      </c>
      <c r="D40" s="491" t="s">
        <v>54</v>
      </c>
      <c r="E40" s="492"/>
      <c r="F40" s="493"/>
      <c r="G40" s="494">
        <v>1023.462</v>
      </c>
      <c r="H40" s="492"/>
      <c r="I40" s="493"/>
      <c r="J40" s="1787"/>
    </row>
    <row r="41" spans="1:10" ht="14.25">
      <c r="A41" s="484"/>
      <c r="B41" s="484"/>
      <c r="C41" s="500" t="s">
        <v>55</v>
      </c>
      <c r="D41" s="491" t="s">
        <v>56</v>
      </c>
      <c r="E41" s="492"/>
      <c r="F41" s="493"/>
      <c r="G41" s="503">
        <v>6.7264336746033368E-2</v>
      </c>
      <c r="H41" s="492"/>
      <c r="I41" s="493"/>
      <c r="J41" s="1795"/>
    </row>
    <row r="42" spans="1:10" ht="14.25">
      <c r="A42" s="484"/>
      <c r="B42" s="484"/>
      <c r="C42" s="500"/>
      <c r="D42" s="491"/>
      <c r="E42" s="1793"/>
      <c r="F42" s="66"/>
      <c r="G42" s="66"/>
      <c r="H42" s="66"/>
      <c r="I42" s="66"/>
      <c r="J42" s="1794"/>
    </row>
    <row r="43" spans="1:10" ht="15.75" thickBot="1">
      <c r="A43" s="484"/>
      <c r="B43" s="484"/>
      <c r="C43" s="490"/>
      <c r="D43" s="495"/>
      <c r="E43" s="496"/>
      <c r="F43" s="497"/>
      <c r="G43" s="497"/>
      <c r="H43" s="497"/>
      <c r="I43" s="497"/>
      <c r="J43" s="1788"/>
    </row>
    <row r="44" spans="1:10" ht="15">
      <c r="A44" s="484"/>
      <c r="B44" s="484"/>
      <c r="C44" s="498" t="s">
        <v>57</v>
      </c>
      <c r="D44" s="491"/>
      <c r="E44" s="1793"/>
      <c r="F44" s="66"/>
      <c r="G44" s="66"/>
      <c r="H44" s="66"/>
      <c r="I44" s="66"/>
      <c r="J44" s="1794"/>
    </row>
    <row r="45" spans="1:10" ht="14.25">
      <c r="A45" s="484"/>
      <c r="B45" s="484"/>
      <c r="C45" s="500"/>
      <c r="D45" s="491"/>
      <c r="E45" s="1793"/>
      <c r="F45" s="66"/>
      <c r="G45" s="66"/>
      <c r="H45" s="66"/>
      <c r="I45" s="66"/>
      <c r="J45" s="1794"/>
    </row>
    <row r="46" spans="1:10" ht="14.25">
      <c r="A46" s="484"/>
      <c r="B46" s="484"/>
      <c r="C46" s="501" t="s">
        <v>169</v>
      </c>
      <c r="D46" s="491"/>
      <c r="E46" s="1793"/>
      <c r="F46" s="66"/>
      <c r="G46" s="66"/>
      <c r="H46" s="66"/>
      <c r="I46" s="66"/>
      <c r="J46" s="1794"/>
    </row>
    <row r="47" spans="1:10" ht="14.25">
      <c r="A47" s="484"/>
      <c r="B47" s="484"/>
      <c r="C47" s="500" t="s">
        <v>243</v>
      </c>
      <c r="D47" s="491" t="s">
        <v>170</v>
      </c>
      <c r="E47" s="492"/>
      <c r="F47" s="493"/>
      <c r="G47" s="504">
        <v>1442.1</v>
      </c>
      <c r="H47" s="492"/>
      <c r="I47" s="493"/>
      <c r="J47" s="1796"/>
    </row>
    <row r="48" spans="1:10" ht="14.25">
      <c r="A48" s="484"/>
      <c r="B48" s="484"/>
      <c r="C48" s="500" t="s">
        <v>245</v>
      </c>
      <c r="D48" s="491" t="s">
        <v>170</v>
      </c>
      <c r="E48" s="492"/>
      <c r="F48" s="493"/>
      <c r="G48" s="504">
        <v>2900</v>
      </c>
      <c r="H48" s="492"/>
      <c r="I48" s="493"/>
      <c r="J48" s="1796"/>
    </row>
    <row r="49" spans="1:10" ht="14.25">
      <c r="A49" s="484"/>
      <c r="B49" s="484"/>
      <c r="C49" s="500" t="s">
        <v>239</v>
      </c>
      <c r="D49" s="491" t="s">
        <v>170</v>
      </c>
      <c r="E49" s="492"/>
      <c r="F49" s="493"/>
      <c r="G49" s="504">
        <v>16591</v>
      </c>
      <c r="H49" s="492"/>
      <c r="I49" s="493"/>
      <c r="J49" s="1796"/>
    </row>
    <row r="50" spans="1:10" ht="15" thickBot="1">
      <c r="A50" s="484"/>
      <c r="B50" s="484"/>
      <c r="C50" s="500" t="s">
        <v>240</v>
      </c>
      <c r="D50" s="491" t="s">
        <v>170</v>
      </c>
      <c r="E50" s="492"/>
      <c r="F50" s="493"/>
      <c r="G50" s="504">
        <v>7460</v>
      </c>
      <c r="H50" s="492"/>
      <c r="I50" s="493"/>
      <c r="J50" s="1796"/>
    </row>
    <row r="51" spans="1:10" ht="15" thickBot="1">
      <c r="A51" s="484"/>
      <c r="B51" s="484"/>
      <c r="C51" s="501" t="s">
        <v>246</v>
      </c>
      <c r="D51" s="491" t="s">
        <v>170</v>
      </c>
      <c r="E51" s="1791"/>
      <c r="F51" s="502"/>
      <c r="G51" s="502">
        <v>28393.1</v>
      </c>
      <c r="H51" s="502"/>
      <c r="I51" s="502"/>
      <c r="J51" s="1792"/>
    </row>
    <row r="52" spans="1:10" ht="14.25">
      <c r="A52" s="484"/>
      <c r="B52" s="484"/>
      <c r="C52" s="500"/>
      <c r="D52" s="491"/>
      <c r="E52" s="1793"/>
      <c r="F52" s="66"/>
      <c r="G52" s="66"/>
      <c r="H52" s="66"/>
      <c r="I52" s="66"/>
      <c r="J52" s="1794"/>
    </row>
    <row r="53" spans="1:10" ht="14.25">
      <c r="A53" s="484"/>
      <c r="B53" s="484"/>
      <c r="C53" s="501" t="s">
        <v>171</v>
      </c>
      <c r="D53" s="491"/>
      <c r="E53" s="1793"/>
      <c r="F53" s="66"/>
      <c r="G53" s="66"/>
      <c r="H53" s="66"/>
      <c r="I53" s="66"/>
      <c r="J53" s="1794"/>
    </row>
    <row r="54" spans="1:10" ht="14.25">
      <c r="A54" s="484"/>
      <c r="B54" s="484"/>
      <c r="C54" s="500" t="s">
        <v>243</v>
      </c>
      <c r="D54" s="491" t="s">
        <v>170</v>
      </c>
      <c r="E54" s="492"/>
      <c r="F54" s="493"/>
      <c r="G54" s="504">
        <v>75.429999999999978</v>
      </c>
      <c r="H54" s="492"/>
      <c r="I54" s="493"/>
      <c r="J54" s="1796"/>
    </row>
    <row r="55" spans="1:10" ht="14.25">
      <c r="A55" s="484"/>
      <c r="B55" s="484"/>
      <c r="C55" s="500" t="s">
        <v>245</v>
      </c>
      <c r="D55" s="491" t="s">
        <v>170</v>
      </c>
      <c r="E55" s="492"/>
      <c r="F55" s="493"/>
      <c r="G55" s="504">
        <v>910.30500000000006</v>
      </c>
      <c r="H55" s="492"/>
      <c r="I55" s="493"/>
      <c r="J55" s="1796"/>
    </row>
    <row r="56" spans="1:10" ht="14.25">
      <c r="A56" s="484"/>
      <c r="B56" s="484"/>
      <c r="C56" s="500" t="s">
        <v>239</v>
      </c>
      <c r="D56" s="491" t="s">
        <v>170</v>
      </c>
      <c r="E56" s="492"/>
      <c r="F56" s="493"/>
      <c r="G56" s="504">
        <v>6485.2999999999984</v>
      </c>
      <c r="H56" s="492"/>
      <c r="I56" s="493"/>
      <c r="J56" s="1796"/>
    </row>
    <row r="57" spans="1:10" ht="15" thickBot="1">
      <c r="A57" s="484"/>
      <c r="B57" s="484"/>
      <c r="C57" s="500" t="s">
        <v>240</v>
      </c>
      <c r="D57" s="491" t="s">
        <v>170</v>
      </c>
      <c r="E57" s="492"/>
      <c r="F57" s="493"/>
      <c r="G57" s="504">
        <v>13748.322</v>
      </c>
      <c r="H57" s="492"/>
      <c r="I57" s="493"/>
      <c r="J57" s="1796"/>
    </row>
    <row r="58" spans="1:10" ht="15" thickBot="1">
      <c r="A58" s="484"/>
      <c r="B58" s="484"/>
      <c r="C58" s="500" t="s">
        <v>246</v>
      </c>
      <c r="D58" s="491" t="s">
        <v>170</v>
      </c>
      <c r="E58" s="1791"/>
      <c r="F58" s="502"/>
      <c r="G58" s="502">
        <v>21219.356999999996</v>
      </c>
      <c r="H58" s="502"/>
      <c r="I58" s="502"/>
      <c r="J58" s="1792"/>
    </row>
    <row r="59" spans="1:10" ht="14.25">
      <c r="A59" s="484"/>
      <c r="B59" s="484"/>
      <c r="C59" s="500"/>
      <c r="D59" s="491"/>
      <c r="E59" s="1793"/>
      <c r="F59" s="66"/>
      <c r="G59" s="66"/>
      <c r="H59" s="66"/>
      <c r="I59" s="66"/>
      <c r="J59" s="1794"/>
    </row>
    <row r="60" spans="1:10" ht="14.25">
      <c r="A60" s="484"/>
      <c r="B60" s="484"/>
      <c r="C60" s="501" t="s">
        <v>172</v>
      </c>
      <c r="D60" s="491"/>
      <c r="E60" s="1793"/>
      <c r="F60" s="66"/>
      <c r="G60" s="66"/>
      <c r="H60" s="66"/>
      <c r="I60" s="66"/>
      <c r="J60" s="1794"/>
    </row>
    <row r="61" spans="1:10" ht="14.25">
      <c r="A61" s="484"/>
      <c r="B61" s="484"/>
      <c r="C61" s="500" t="s">
        <v>243</v>
      </c>
      <c r="D61" s="491" t="s">
        <v>170</v>
      </c>
      <c r="E61" s="1797"/>
      <c r="F61" s="504"/>
      <c r="G61" s="504">
        <v>1517.53</v>
      </c>
      <c r="H61" s="504"/>
      <c r="I61" s="504"/>
      <c r="J61" s="1796"/>
    </row>
    <row r="62" spans="1:10" ht="14.25">
      <c r="A62" s="484"/>
      <c r="B62" s="484"/>
      <c r="C62" s="500" t="s">
        <v>245</v>
      </c>
      <c r="D62" s="491" t="s">
        <v>170</v>
      </c>
      <c r="E62" s="1797"/>
      <c r="F62" s="504"/>
      <c r="G62" s="504">
        <v>3810.3050000000003</v>
      </c>
      <c r="H62" s="504"/>
      <c r="I62" s="504"/>
      <c r="J62" s="1796"/>
    </row>
    <row r="63" spans="1:10" ht="14.25">
      <c r="A63" s="484"/>
      <c r="B63" s="484"/>
      <c r="C63" s="500" t="s">
        <v>239</v>
      </c>
      <c r="D63" s="491" t="s">
        <v>170</v>
      </c>
      <c r="E63" s="1797"/>
      <c r="F63" s="504"/>
      <c r="G63" s="504">
        <v>23076.3</v>
      </c>
      <c r="H63" s="504"/>
      <c r="I63" s="504"/>
      <c r="J63" s="1796"/>
    </row>
    <row r="64" spans="1:10" ht="15" thickBot="1">
      <c r="A64" s="484"/>
      <c r="B64" s="484"/>
      <c r="C64" s="500" t="s">
        <v>240</v>
      </c>
      <c r="D64" s="491" t="s">
        <v>170</v>
      </c>
      <c r="E64" s="1797"/>
      <c r="F64" s="504"/>
      <c r="G64" s="504">
        <v>21208.322</v>
      </c>
      <c r="H64" s="504"/>
      <c r="I64" s="504"/>
      <c r="J64" s="1796"/>
    </row>
    <row r="65" spans="1:10" ht="15" thickBot="1">
      <c r="A65" s="484"/>
      <c r="B65" s="484"/>
      <c r="C65" s="501" t="s">
        <v>246</v>
      </c>
      <c r="D65" s="491" t="s">
        <v>170</v>
      </c>
      <c r="E65" s="1791"/>
      <c r="F65" s="502"/>
      <c r="G65" s="502">
        <v>49612.456999999995</v>
      </c>
      <c r="H65" s="502"/>
      <c r="I65" s="502"/>
      <c r="J65" s="1792"/>
    </row>
    <row r="66" spans="1:10" ht="14.25">
      <c r="A66" s="484"/>
      <c r="B66" s="484"/>
      <c r="C66" s="500"/>
      <c r="D66" s="491"/>
      <c r="E66" s="1793"/>
      <c r="F66" s="66"/>
      <c r="G66" s="66"/>
      <c r="H66" s="66"/>
      <c r="I66" s="66"/>
      <c r="J66" s="1794"/>
    </row>
    <row r="67" spans="1:10" ht="14.25">
      <c r="A67" s="484"/>
      <c r="B67" s="484"/>
      <c r="C67" s="501" t="s">
        <v>173</v>
      </c>
      <c r="D67" s="491"/>
      <c r="E67" s="1793"/>
      <c r="F67" s="66"/>
      <c r="G67" s="66"/>
      <c r="H67" s="66"/>
      <c r="I67" s="66"/>
      <c r="J67" s="1794"/>
    </row>
    <row r="68" spans="1:10" ht="14.25">
      <c r="A68" s="484"/>
      <c r="B68" s="484"/>
      <c r="C68" s="500" t="s">
        <v>243</v>
      </c>
      <c r="D68" s="491" t="s">
        <v>174</v>
      </c>
      <c r="E68" s="492"/>
      <c r="F68" s="493"/>
      <c r="G68" s="494">
        <v>58</v>
      </c>
      <c r="H68" s="492"/>
      <c r="I68" s="493"/>
      <c r="J68" s="1787"/>
    </row>
    <row r="69" spans="1:10" ht="14.25">
      <c r="A69" s="484"/>
      <c r="B69" s="484"/>
      <c r="C69" s="500" t="s">
        <v>87</v>
      </c>
      <c r="D69" s="491" t="s">
        <v>174</v>
      </c>
      <c r="E69" s="492"/>
      <c r="F69" s="493"/>
      <c r="G69" s="494">
        <v>315</v>
      </c>
      <c r="H69" s="492"/>
      <c r="I69" s="493"/>
      <c r="J69" s="1787"/>
    </row>
    <row r="70" spans="1:10" ht="14.25">
      <c r="A70" s="484"/>
      <c r="B70" s="484"/>
      <c r="C70" s="500" t="s">
        <v>88</v>
      </c>
      <c r="D70" s="491" t="s">
        <v>174</v>
      </c>
      <c r="E70" s="492"/>
      <c r="F70" s="493"/>
      <c r="G70" s="494">
        <v>1</v>
      </c>
      <c r="H70" s="492"/>
      <c r="I70" s="493"/>
      <c r="J70" s="1787"/>
    </row>
    <row r="71" spans="1:10" ht="14.25">
      <c r="A71" s="484"/>
      <c r="B71" s="484"/>
      <c r="C71" s="500" t="s">
        <v>89</v>
      </c>
      <c r="D71" s="491" t="s">
        <v>174</v>
      </c>
      <c r="E71" s="492"/>
      <c r="F71" s="493"/>
      <c r="G71" s="494">
        <v>12432</v>
      </c>
      <c r="H71" s="492"/>
      <c r="I71" s="493"/>
      <c r="J71" s="1787"/>
    </row>
    <row r="72" spans="1:10" ht="15" thickBot="1">
      <c r="A72" s="484"/>
      <c r="B72" s="484"/>
      <c r="C72" s="500" t="s">
        <v>90</v>
      </c>
      <c r="D72" s="491" t="s">
        <v>174</v>
      </c>
      <c r="E72" s="492"/>
      <c r="F72" s="493"/>
      <c r="G72" s="494">
        <v>37737</v>
      </c>
      <c r="H72" s="492"/>
      <c r="I72" s="493"/>
      <c r="J72" s="1787"/>
    </row>
    <row r="73" spans="1:10" ht="15" thickBot="1">
      <c r="A73" s="484"/>
      <c r="B73" s="484"/>
      <c r="C73" s="501" t="s">
        <v>246</v>
      </c>
      <c r="D73" s="491" t="s">
        <v>174</v>
      </c>
      <c r="E73" s="1791"/>
      <c r="F73" s="502"/>
      <c r="G73" s="502">
        <v>50543</v>
      </c>
      <c r="H73" s="502"/>
      <c r="I73" s="502"/>
      <c r="J73" s="1792"/>
    </row>
    <row r="74" spans="1:10" ht="15.75" thickBot="1">
      <c r="A74" s="484"/>
      <c r="B74" s="484"/>
      <c r="C74" s="496"/>
      <c r="D74" s="495"/>
      <c r="E74" s="496"/>
      <c r="F74" s="497"/>
      <c r="G74" s="497"/>
      <c r="H74" s="496"/>
      <c r="I74" s="497"/>
      <c r="J74" s="1788"/>
    </row>
    <row r="75" spans="1:10" ht="14.25">
      <c r="A75" s="379"/>
      <c r="B75" s="379"/>
      <c r="C75" s="379"/>
      <c r="D75" s="379"/>
      <c r="E75" s="379"/>
      <c r="F75" s="379"/>
      <c r="G75" s="379"/>
    </row>
    <row r="76" spans="1:10" ht="14.25">
      <c r="A76" s="484"/>
      <c r="B76" s="484"/>
      <c r="C76" s="379"/>
      <c r="D76" s="379"/>
      <c r="E76" s="379"/>
      <c r="F76" s="379"/>
      <c r="G76" s="379"/>
    </row>
    <row r="77" spans="1:10" ht="14.25">
      <c r="A77" s="484"/>
      <c r="B77" s="484"/>
      <c r="C77" s="379"/>
      <c r="D77" s="379"/>
      <c r="E77" s="379"/>
      <c r="F77" s="379"/>
      <c r="G77" s="379"/>
    </row>
    <row r="78" spans="1:10" ht="14.25">
      <c r="A78" s="484"/>
      <c r="B78" s="484"/>
      <c r="C78" s="379"/>
      <c r="D78" s="379"/>
      <c r="E78" s="379"/>
      <c r="F78" s="379"/>
      <c r="G78" s="379"/>
    </row>
    <row r="79" spans="1:10" ht="14.25">
      <c r="A79" s="484"/>
      <c r="B79" s="484"/>
      <c r="C79" s="379"/>
      <c r="D79" s="379"/>
      <c r="E79" s="379"/>
      <c r="F79" s="379"/>
      <c r="G79" s="379"/>
    </row>
    <row r="80" spans="1:10" ht="14.25">
      <c r="A80" s="484"/>
      <c r="B80" s="484"/>
      <c r="C80" s="379"/>
      <c r="D80" s="379"/>
      <c r="E80" s="379"/>
      <c r="F80" s="379"/>
      <c r="G80" s="379"/>
    </row>
  </sheetData>
  <mergeCells count="3">
    <mergeCell ref="A5:C5"/>
    <mergeCell ref="E8:G8"/>
    <mergeCell ref="H8:J8"/>
  </mergeCells>
  <phoneticPr fontId="0" type="noConversion"/>
  <hyperlinks>
    <hyperlink ref="F1" location="Inputs!A1" display="Index"/>
  </hyperlinks>
  <pageMargins left="0.53" right="0.52" top="0.59" bottom="0.41" header="0.23" footer="0.19"/>
  <pageSetup paperSize="9" orientation="landscape" horizontalDpi="4294967293" verticalDpi="4294967293"/>
  <headerFooter alignWithMargins="0">
    <oddHeader>&amp;C&amp;"Verdana,Regular"&amp;16&amp;F&amp;R&amp;G</oddHeader>
    <oddFooter>&amp;L&amp;D&amp;R&amp;6&amp;N</oddFooter>
  </headerFooter>
  <legacyDrawingHF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0000"/>
  </sheetPr>
  <dimension ref="A1:M66"/>
  <sheetViews>
    <sheetView topLeftCell="A40" workbookViewId="0">
      <selection activeCell="J65" sqref="J65"/>
    </sheetView>
  </sheetViews>
  <sheetFormatPr defaultColWidth="8.85546875" defaultRowHeight="12.75"/>
  <cols>
    <col min="1" max="4" width="8.85546875" customWidth="1"/>
    <col min="5" max="5" width="17.42578125" customWidth="1"/>
    <col min="6" max="7" width="8.85546875" customWidth="1"/>
    <col min="8" max="12" width="8.42578125" bestFit="1" customWidth="1"/>
  </cols>
  <sheetData>
    <row r="1" spans="1:12">
      <c r="C1" s="510" t="s">
        <v>544</v>
      </c>
      <c r="J1" s="253" t="s">
        <v>216</v>
      </c>
    </row>
    <row r="8" spans="1:12" ht="15">
      <c r="A8" s="333" t="s">
        <v>545</v>
      </c>
      <c r="B8" s="334"/>
      <c r="C8" s="36"/>
      <c r="D8" s="511"/>
      <c r="E8" s="334"/>
      <c r="F8" s="334"/>
      <c r="G8" s="512"/>
      <c r="H8" s="336" t="s">
        <v>32</v>
      </c>
      <c r="I8" s="336" t="s">
        <v>33</v>
      </c>
      <c r="J8" s="336" t="s">
        <v>29</v>
      </c>
      <c r="K8" s="336" t="s">
        <v>34</v>
      </c>
      <c r="L8" s="336" t="s">
        <v>35</v>
      </c>
    </row>
    <row r="9" spans="1:12" ht="15">
      <c r="H9" s="336">
        <v>16</v>
      </c>
      <c r="I9" s="336">
        <v>17</v>
      </c>
      <c r="J9" s="336">
        <v>18</v>
      </c>
      <c r="K9" s="336">
        <v>19</v>
      </c>
      <c r="L9" s="336">
        <v>20</v>
      </c>
    </row>
    <row r="10" spans="1:12" ht="15">
      <c r="H10" s="336"/>
      <c r="I10" s="336"/>
      <c r="J10" s="336"/>
      <c r="K10" s="336"/>
      <c r="L10" s="336"/>
    </row>
    <row r="11" spans="1:12" ht="14.25">
      <c r="B11" s="512" t="s">
        <v>529</v>
      </c>
      <c r="F11" t="s">
        <v>14</v>
      </c>
      <c r="H11" s="513">
        <v>190.2</v>
      </c>
      <c r="I11" s="513">
        <v>193.48948300000001</v>
      </c>
      <c r="J11" s="513">
        <v>200.65765400000001</v>
      </c>
      <c r="K11" s="513">
        <v>1.882347</v>
      </c>
      <c r="L11" s="513" t="e">
        <v>#DIV/0!</v>
      </c>
    </row>
    <row r="12" spans="1:12" ht="14.25">
      <c r="B12" s="512" t="s">
        <v>524</v>
      </c>
      <c r="F12" t="s">
        <v>14</v>
      </c>
      <c r="H12" s="513">
        <v>1.407349</v>
      </c>
      <c r="I12" s="513">
        <v>-1.3617870000000001</v>
      </c>
      <c r="J12" s="513">
        <v>-3.144495</v>
      </c>
      <c r="K12" s="513">
        <v>-22.663311</v>
      </c>
      <c r="L12" s="513">
        <v>-22.663311</v>
      </c>
    </row>
    <row r="13" spans="1:12" ht="14.25">
      <c r="B13" s="512" t="s">
        <v>525</v>
      </c>
      <c r="F13" t="s">
        <v>14</v>
      </c>
      <c r="H13" s="513">
        <v>13.526795</v>
      </c>
      <c r="I13" s="513">
        <v>9.6839169999999992</v>
      </c>
      <c r="J13" s="513">
        <v>7.4753319999999999</v>
      </c>
      <c r="K13" s="513">
        <v>0</v>
      </c>
      <c r="L13" s="513">
        <v>0</v>
      </c>
    </row>
    <row r="14" spans="1:12" ht="14.25">
      <c r="B14" s="512" t="s">
        <v>526</v>
      </c>
      <c r="F14" t="s">
        <v>14</v>
      </c>
      <c r="H14" s="513">
        <v>-0.93646700000000005</v>
      </c>
      <c r="I14" s="513">
        <v>-6.8244220000000002</v>
      </c>
      <c r="J14" s="513">
        <v>-12.14462</v>
      </c>
      <c r="K14" s="513">
        <v>3.417392</v>
      </c>
      <c r="L14" s="513">
        <v>24.561330999999999</v>
      </c>
    </row>
    <row r="15" spans="1:12" ht="14.25">
      <c r="B15" s="512"/>
      <c r="H15" s="514"/>
      <c r="I15" s="514"/>
      <c r="J15" s="514"/>
      <c r="K15" s="514"/>
      <c r="L15" s="514"/>
    </row>
    <row r="16" spans="1:12" ht="14.25">
      <c r="B16" s="512" t="s">
        <v>527</v>
      </c>
      <c r="F16" t="s">
        <v>14</v>
      </c>
      <c r="H16" s="515">
        <v>206.07061100000001</v>
      </c>
      <c r="I16" s="515">
        <v>208.63603499999999</v>
      </c>
      <c r="J16" s="515">
        <v>217.13311100000001</v>
      </c>
      <c r="K16" s="515">
        <v>-24.198356</v>
      </c>
      <c r="L16" s="515" t="e">
        <v>#DIV/0!</v>
      </c>
    </row>
    <row r="17" spans="1:12" ht="14.25">
      <c r="B17" s="512"/>
      <c r="H17" s="516"/>
      <c r="I17" s="516"/>
      <c r="J17" s="516"/>
      <c r="K17" s="516"/>
      <c r="L17" s="516"/>
    </row>
    <row r="18" spans="1:12" ht="14.25">
      <c r="B18" s="512" t="s">
        <v>528</v>
      </c>
      <c r="F18" t="s">
        <v>14</v>
      </c>
      <c r="H18" s="513">
        <v>199.56</v>
      </c>
      <c r="I18" s="513">
        <v>197.13</v>
      </c>
      <c r="J18" s="513">
        <v>220.5</v>
      </c>
      <c r="K18" s="513">
        <v>0</v>
      </c>
      <c r="L18" s="513">
        <v>0</v>
      </c>
    </row>
    <row r="19" spans="1:12" ht="14.25">
      <c r="B19" s="512" t="s">
        <v>379</v>
      </c>
      <c r="F19" t="s">
        <v>14</v>
      </c>
      <c r="H19" s="513">
        <v>0</v>
      </c>
      <c r="I19" s="513">
        <v>0</v>
      </c>
      <c r="J19" s="513">
        <v>0</v>
      </c>
      <c r="K19" s="513">
        <v>0</v>
      </c>
      <c r="L19" s="513">
        <v>0</v>
      </c>
    </row>
    <row r="20" spans="1:12" ht="14.25">
      <c r="B20" s="512"/>
      <c r="H20" s="514"/>
      <c r="I20" s="514"/>
      <c r="J20" s="514"/>
      <c r="K20" s="514"/>
      <c r="L20" s="514"/>
    </row>
    <row r="21" spans="1:12" ht="14.25">
      <c r="B21" s="512" t="s">
        <v>380</v>
      </c>
      <c r="F21" t="s">
        <v>14</v>
      </c>
      <c r="H21" s="517">
        <v>-6.5106109999999999</v>
      </c>
      <c r="I21" s="517">
        <v>-11.506035000000001</v>
      </c>
      <c r="J21" s="517">
        <v>3.366889</v>
      </c>
      <c r="K21" s="517">
        <v>24.198356</v>
      </c>
      <c r="L21" s="517" t="e">
        <v>#DIV/0!</v>
      </c>
    </row>
    <row r="22" spans="1:12" ht="14.25">
      <c r="H22" s="516"/>
      <c r="I22" s="516"/>
      <c r="J22" s="516"/>
      <c r="K22" s="516"/>
      <c r="L22" s="516"/>
    </row>
    <row r="23" spans="1:12" ht="14.25">
      <c r="H23" s="516"/>
      <c r="I23" s="516"/>
      <c r="J23" s="516"/>
      <c r="K23" s="516"/>
      <c r="L23" s="516"/>
    </row>
    <row r="24" spans="1:12" ht="15">
      <c r="A24" s="333" t="s">
        <v>381</v>
      </c>
      <c r="H24" s="516"/>
      <c r="I24" s="516"/>
      <c r="J24" s="516"/>
      <c r="K24" s="516"/>
      <c r="L24" s="516"/>
    </row>
    <row r="25" spans="1:12" ht="14.25">
      <c r="H25" s="516"/>
      <c r="I25" s="516"/>
      <c r="J25" s="516"/>
      <c r="K25" s="516"/>
      <c r="L25" s="516"/>
    </row>
    <row r="26" spans="1:12" ht="14.25">
      <c r="B26" s="512" t="s">
        <v>382</v>
      </c>
      <c r="F26" t="s">
        <v>14</v>
      </c>
      <c r="H26" s="513">
        <v>5.0000000000000001E-3</v>
      </c>
      <c r="I26" s="513">
        <v>2.0516E-2</v>
      </c>
      <c r="J26" s="513">
        <v>3.1919000000000003E-2</v>
      </c>
      <c r="K26" s="513">
        <v>0</v>
      </c>
      <c r="L26" s="513">
        <v>0</v>
      </c>
    </row>
    <row r="27" spans="1:12" ht="14.25">
      <c r="B27" s="512" t="s">
        <v>383</v>
      </c>
      <c r="F27" t="s">
        <v>14</v>
      </c>
      <c r="H27" s="513">
        <v>0</v>
      </c>
      <c r="I27" s="513">
        <v>0</v>
      </c>
      <c r="J27" s="513">
        <v>0</v>
      </c>
      <c r="K27" s="513">
        <v>0</v>
      </c>
      <c r="L27" s="513">
        <v>0</v>
      </c>
    </row>
    <row r="28" spans="1:12" ht="14.25">
      <c r="B28" s="512" t="s">
        <v>384</v>
      </c>
      <c r="F28" t="s">
        <v>14</v>
      </c>
      <c r="H28" s="513">
        <v>0</v>
      </c>
      <c r="I28" s="513">
        <v>-5.241E-3</v>
      </c>
      <c r="J28" s="513">
        <v>-6.0769999999999999E-3</v>
      </c>
      <c r="K28" s="513">
        <v>2.2334E-2</v>
      </c>
      <c r="L28" s="513">
        <v>2.2669000000000002E-2</v>
      </c>
    </row>
    <row r="29" spans="1:12" ht="14.25">
      <c r="B29" s="512"/>
      <c r="H29" s="514"/>
      <c r="I29" s="514"/>
      <c r="J29" s="514"/>
      <c r="K29" s="514"/>
      <c r="L29" s="514"/>
    </row>
    <row r="30" spans="1:12" ht="14.25">
      <c r="B30" s="335" t="s">
        <v>381</v>
      </c>
      <c r="F30" t="s">
        <v>14</v>
      </c>
      <c r="H30" s="515">
        <v>5.0000000000000001E-3</v>
      </c>
      <c r="I30" s="515">
        <v>2.5756999999999999E-2</v>
      </c>
      <c r="J30" s="515">
        <v>3.7996000000000002E-2</v>
      </c>
      <c r="K30" s="515">
        <v>-2.2334E-2</v>
      </c>
      <c r="L30" s="515">
        <v>-2.2669000000000002E-2</v>
      </c>
    </row>
    <row r="31" spans="1:12" ht="14.25">
      <c r="B31" s="512"/>
      <c r="H31" s="516"/>
      <c r="I31" s="516"/>
      <c r="J31" s="516"/>
      <c r="K31" s="516"/>
      <c r="L31" s="516"/>
    </row>
    <row r="32" spans="1:12" ht="14.25">
      <c r="B32" s="512" t="s">
        <v>346</v>
      </c>
      <c r="F32" t="s">
        <v>14</v>
      </c>
      <c r="H32" s="513">
        <v>0</v>
      </c>
      <c r="I32" s="513">
        <v>0.02</v>
      </c>
      <c r="J32" s="513">
        <v>0.06</v>
      </c>
      <c r="K32" s="513">
        <v>0</v>
      </c>
      <c r="L32" s="513">
        <v>0</v>
      </c>
    </row>
    <row r="33" spans="1:12" ht="14.25">
      <c r="B33" s="512"/>
      <c r="H33" s="516"/>
      <c r="I33" s="516"/>
      <c r="J33" s="516"/>
      <c r="K33" s="516"/>
      <c r="L33" s="516"/>
    </row>
    <row r="34" spans="1:12" ht="14.25">
      <c r="B34" s="512" t="s">
        <v>380</v>
      </c>
      <c r="F34" t="s">
        <v>14</v>
      </c>
      <c r="H34" s="517">
        <v>-5.0000000000000001E-3</v>
      </c>
      <c r="I34" s="517">
        <v>-5.757E-3</v>
      </c>
      <c r="J34" s="517">
        <v>2.2003999999999999E-2</v>
      </c>
      <c r="K34" s="517">
        <v>2.2334E-2</v>
      </c>
      <c r="L34" s="517">
        <v>2.2669000000000002E-2</v>
      </c>
    </row>
    <row r="35" spans="1:12" ht="14.25">
      <c r="H35" s="516"/>
      <c r="I35" s="516"/>
      <c r="J35" s="516"/>
      <c r="K35" s="516"/>
      <c r="L35" s="516"/>
    </row>
    <row r="36" spans="1:12" ht="14.25">
      <c r="H36" s="516"/>
      <c r="I36" s="516"/>
      <c r="J36" s="516"/>
      <c r="K36" s="516"/>
      <c r="L36" s="516"/>
    </row>
    <row r="37" spans="1:12" ht="15">
      <c r="A37" s="333" t="s">
        <v>347</v>
      </c>
      <c r="H37" s="519"/>
      <c r="I37" s="519"/>
      <c r="J37" s="519"/>
      <c r="K37" s="519"/>
      <c r="L37" s="519"/>
    </row>
    <row r="38" spans="1:12" ht="14.25">
      <c r="B38" s="335" t="s">
        <v>328</v>
      </c>
      <c r="F38" t="s">
        <v>14</v>
      </c>
      <c r="H38" s="513">
        <v>4.05</v>
      </c>
      <c r="I38" s="513">
        <v>4.76</v>
      </c>
      <c r="J38" s="513">
        <v>4.66</v>
      </c>
      <c r="K38" s="513">
        <v>0</v>
      </c>
      <c r="L38" s="513">
        <v>0</v>
      </c>
    </row>
    <row r="39" spans="1:12" ht="14.25">
      <c r="B39" s="512" t="s">
        <v>378</v>
      </c>
      <c r="F39" t="s">
        <v>14</v>
      </c>
      <c r="H39" s="513">
        <v>5.0028579999999998</v>
      </c>
      <c r="I39" s="513">
        <v>4.9531080000000003</v>
      </c>
      <c r="J39" s="520">
        <v>0</v>
      </c>
      <c r="K39" s="520">
        <v>0</v>
      </c>
      <c r="L39" s="520">
        <v>0</v>
      </c>
    </row>
    <row r="40" spans="1:12" ht="14.25">
      <c r="C40" s="512"/>
      <c r="H40" s="516"/>
      <c r="I40" s="516"/>
      <c r="J40" s="516"/>
      <c r="K40" s="516"/>
      <c r="L40" s="516"/>
    </row>
    <row r="41" spans="1:12" ht="14.25">
      <c r="H41" s="521">
        <v>9.0528580000000005</v>
      </c>
      <c r="I41" s="521">
        <v>9.7131080000000001</v>
      </c>
      <c r="J41" s="521">
        <v>4.66</v>
      </c>
      <c r="K41" s="521">
        <v>0</v>
      </c>
      <c r="L41" s="521">
        <v>0</v>
      </c>
    </row>
    <row r="42" spans="1:12" ht="14.25">
      <c r="H42" s="519"/>
      <c r="I42" s="519"/>
      <c r="J42" s="519"/>
      <c r="K42" s="519"/>
      <c r="L42" s="519"/>
    </row>
    <row r="43" spans="1:12" ht="14.25">
      <c r="H43" s="519"/>
      <c r="I43" s="519"/>
      <c r="J43" s="519"/>
      <c r="K43" s="519"/>
      <c r="L43" s="519"/>
    </row>
    <row r="44" spans="1:12" ht="15">
      <c r="A44" s="333" t="s">
        <v>370</v>
      </c>
      <c r="H44" s="519"/>
      <c r="I44" s="519"/>
      <c r="J44" s="519"/>
      <c r="K44" s="519"/>
      <c r="L44" s="519"/>
    </row>
    <row r="45" spans="1:12" ht="15">
      <c r="A45" s="333"/>
      <c r="B45" s="512" t="s">
        <v>371</v>
      </c>
      <c r="F45" t="s">
        <v>14</v>
      </c>
      <c r="H45" s="513">
        <v>37.869999999999997</v>
      </c>
      <c r="I45" s="513">
        <v>38.75</v>
      </c>
      <c r="J45" s="513">
        <v>44.91</v>
      </c>
      <c r="K45" s="513">
        <v>0</v>
      </c>
      <c r="L45" s="513">
        <v>0</v>
      </c>
    </row>
    <row r="46" spans="1:12" ht="14.25">
      <c r="B46" s="512" t="s">
        <v>372</v>
      </c>
      <c r="F46" t="s">
        <v>14</v>
      </c>
      <c r="H46" s="522">
        <v>4.3600000000000003</v>
      </c>
      <c r="I46" s="522">
        <v>4.88</v>
      </c>
      <c r="J46" s="522">
        <v>5.39</v>
      </c>
      <c r="K46" s="522">
        <v>0</v>
      </c>
      <c r="L46" s="522">
        <v>0</v>
      </c>
    </row>
    <row r="47" spans="1:12" ht="14.25">
      <c r="B47" s="335" t="s">
        <v>918</v>
      </c>
      <c r="F47" t="s">
        <v>14</v>
      </c>
      <c r="H47" s="522">
        <v>0.59</v>
      </c>
      <c r="I47" s="522">
        <v>5.84</v>
      </c>
      <c r="J47" s="522">
        <v>5.43</v>
      </c>
      <c r="K47" s="522">
        <v>0</v>
      </c>
      <c r="L47" s="522">
        <v>0</v>
      </c>
    </row>
    <row r="48" spans="1:12" ht="14.25">
      <c r="H48" s="519"/>
      <c r="I48" s="519"/>
      <c r="J48" s="519"/>
      <c r="K48" s="519"/>
      <c r="L48" s="519"/>
    </row>
    <row r="49" spans="2:13" ht="14.25">
      <c r="H49" s="517">
        <v>42.82</v>
      </c>
      <c r="I49" s="517">
        <v>49.47</v>
      </c>
      <c r="J49" s="517">
        <v>55.73</v>
      </c>
      <c r="K49" s="517">
        <v>0</v>
      </c>
      <c r="L49" s="517">
        <v>0</v>
      </c>
    </row>
    <row r="50" spans="2:13" ht="14.25">
      <c r="H50" s="512"/>
      <c r="I50" s="512"/>
      <c r="J50" s="512"/>
      <c r="K50" s="512"/>
      <c r="L50" s="512"/>
    </row>
    <row r="51" spans="2:13" ht="14.25">
      <c r="H51" s="523"/>
      <c r="I51" s="523"/>
      <c r="J51" s="523"/>
      <c r="K51" s="523"/>
      <c r="L51" s="523"/>
    </row>
    <row r="52" spans="2:13" ht="14.25">
      <c r="H52" s="512"/>
      <c r="I52" s="512"/>
      <c r="J52" s="512"/>
      <c r="K52" s="512"/>
      <c r="L52" s="512"/>
    </row>
    <row r="54" spans="2:13" ht="15">
      <c r="B54" s="1829" t="s">
        <v>957</v>
      </c>
      <c r="C54" s="1838" t="s">
        <v>958</v>
      </c>
      <c r="D54" s="1838"/>
      <c r="E54" s="1838"/>
      <c r="F54" s="1830"/>
      <c r="G54" s="1830"/>
      <c r="H54" s="1830"/>
      <c r="I54" s="1830"/>
      <c r="J54" s="1830"/>
      <c r="K54" s="1830"/>
      <c r="L54" s="1830"/>
      <c r="M54" s="1830"/>
    </row>
    <row r="55" spans="2:13" ht="30">
      <c r="B55" s="1829" t="s">
        <v>959</v>
      </c>
      <c r="C55" s="1844" t="s">
        <v>960</v>
      </c>
      <c r="D55" s="1839"/>
      <c r="E55" s="1839"/>
      <c r="F55" s="1839"/>
      <c r="G55" s="1839"/>
      <c r="H55" s="1839"/>
      <c r="I55" s="1839"/>
      <c r="J55" s="1839"/>
      <c r="K55" s="1839"/>
      <c r="L55" s="1839"/>
      <c r="M55" s="1839"/>
    </row>
    <row r="56" spans="2:13" ht="15">
      <c r="B56" s="1838" t="s">
        <v>529</v>
      </c>
      <c r="C56" s="1838"/>
      <c r="D56" s="1838"/>
      <c r="E56" s="1838"/>
      <c r="F56" s="1830"/>
      <c r="G56" s="1830"/>
      <c r="H56" s="1830"/>
      <c r="I56" s="1830"/>
      <c r="J56" s="1830"/>
      <c r="K56" s="1830"/>
      <c r="L56" s="1830"/>
      <c r="M56" s="1830"/>
    </row>
    <row r="57" spans="2:13" ht="15.75">
      <c r="B57" s="1831" t="s">
        <v>961</v>
      </c>
      <c r="C57" s="1830"/>
      <c r="D57" s="1831" t="s">
        <v>986</v>
      </c>
      <c r="E57" s="1831"/>
      <c r="F57" s="1831"/>
      <c r="G57" s="1831"/>
      <c r="H57" s="1830"/>
      <c r="I57" s="1830"/>
      <c r="J57" s="1830"/>
      <c r="K57" s="1830"/>
      <c r="L57" s="1830"/>
      <c r="M57" s="1830"/>
    </row>
    <row r="58" spans="2:13">
      <c r="B58" s="1830"/>
      <c r="C58" s="1830"/>
      <c r="D58" s="1830"/>
      <c r="E58" s="1830"/>
      <c r="F58" s="1830"/>
      <c r="G58" s="1830"/>
      <c r="H58" s="1830"/>
      <c r="I58" s="1830"/>
      <c r="J58" s="1833" t="s">
        <v>962</v>
      </c>
      <c r="K58" s="1833"/>
      <c r="L58" s="1830"/>
      <c r="M58" s="1830"/>
    </row>
    <row r="59" spans="2:13" ht="14.25">
      <c r="B59" s="1830"/>
      <c r="C59" s="1830"/>
      <c r="D59" s="1830"/>
      <c r="E59" s="1830"/>
      <c r="F59" s="1830"/>
      <c r="G59" s="1830"/>
      <c r="H59" s="1830"/>
      <c r="I59" s="1830"/>
      <c r="J59" s="1832" t="s">
        <v>29</v>
      </c>
      <c r="K59" s="1830"/>
      <c r="L59" s="1830"/>
      <c r="M59" s="1830"/>
    </row>
    <row r="60" spans="2:13" ht="15">
      <c r="B60" s="1833" t="s">
        <v>963</v>
      </c>
      <c r="C60" s="1833" t="s">
        <v>964</v>
      </c>
      <c r="D60" s="1833"/>
      <c r="E60" s="1833"/>
      <c r="F60" s="1833"/>
      <c r="G60" s="1833"/>
      <c r="H60" s="1830"/>
      <c r="I60" s="1830"/>
      <c r="J60" s="1830"/>
      <c r="K60" s="1838" t="s">
        <v>965</v>
      </c>
      <c r="L60" s="1838"/>
      <c r="M60" s="1838"/>
    </row>
    <row r="61" spans="2:13" ht="15.75">
      <c r="B61" s="1831" t="s">
        <v>987</v>
      </c>
      <c r="C61" s="1831" t="s">
        <v>966</v>
      </c>
      <c r="D61" s="1831"/>
      <c r="E61" s="1831"/>
      <c r="F61" s="1831" t="s">
        <v>14</v>
      </c>
      <c r="G61" s="1830"/>
      <c r="H61" s="1830"/>
      <c r="I61" s="1830"/>
      <c r="J61" s="1834">
        <v>186.89511100000001</v>
      </c>
      <c r="K61" s="1831" t="s">
        <v>967</v>
      </c>
      <c r="L61" s="1830"/>
      <c r="M61" s="1830"/>
    </row>
    <row r="62" spans="2:13" ht="15.75">
      <c r="B62" s="1831" t="s">
        <v>988</v>
      </c>
      <c r="C62" s="1831" t="s">
        <v>968</v>
      </c>
      <c r="D62" s="1831"/>
      <c r="E62" s="1830"/>
      <c r="F62" s="1830"/>
      <c r="G62" s="1830"/>
      <c r="H62" s="1830"/>
      <c r="I62" s="1830"/>
      <c r="J62" s="1834">
        <v>1.06396</v>
      </c>
      <c r="K62" s="1831" t="s">
        <v>969</v>
      </c>
      <c r="L62" s="1830"/>
      <c r="M62" s="1830"/>
    </row>
    <row r="63" spans="2:13" ht="15.75">
      <c r="B63" s="1831" t="s">
        <v>989</v>
      </c>
      <c r="C63" s="1831" t="s">
        <v>970</v>
      </c>
      <c r="D63" s="1831"/>
      <c r="E63" s="1830"/>
      <c r="F63" s="1831" t="s">
        <v>14</v>
      </c>
      <c r="G63" s="1830"/>
      <c r="H63" s="1830"/>
      <c r="I63" s="1830"/>
      <c r="J63" s="1834">
        <v>0</v>
      </c>
      <c r="K63" s="1831" t="s">
        <v>971</v>
      </c>
      <c r="L63" s="1830"/>
      <c r="M63" s="1830"/>
    </row>
    <row r="64" spans="2:13" ht="13.5" thickBot="1">
      <c r="B64" s="1830"/>
      <c r="C64" s="1830"/>
      <c r="D64" s="1830"/>
      <c r="E64" s="1830"/>
      <c r="F64" s="1830"/>
      <c r="G64" s="1830"/>
      <c r="H64" s="1830"/>
      <c r="I64" s="1830"/>
      <c r="J64" s="1830"/>
      <c r="K64" s="1830"/>
      <c r="L64" s="1830"/>
      <c r="M64" s="1830"/>
    </row>
    <row r="65" spans="2:13" ht="19.5" thickBot="1">
      <c r="B65" s="1835" t="s">
        <v>990</v>
      </c>
      <c r="C65" s="1836"/>
      <c r="D65" s="1836"/>
      <c r="E65" s="1836"/>
      <c r="F65" s="1836"/>
      <c r="G65" s="1836"/>
      <c r="H65" s="1836"/>
      <c r="I65" s="1836"/>
      <c r="J65" s="1837">
        <f>((J11+J63)/J62)-J61</f>
        <v>1.6999997184480549</v>
      </c>
      <c r="K65" s="1830"/>
      <c r="L65" s="1830"/>
      <c r="M65" s="1830"/>
    </row>
    <row r="66" spans="2:13">
      <c r="B66" s="1830"/>
      <c r="C66" s="1830"/>
      <c r="D66" s="1830"/>
      <c r="E66" s="1830"/>
      <c r="F66" s="1830"/>
      <c r="G66" s="1830"/>
      <c r="H66" s="1830"/>
      <c r="I66" s="1830"/>
      <c r="J66" s="1830"/>
      <c r="K66" s="1830"/>
      <c r="L66" s="1830"/>
      <c r="M66" s="1830"/>
    </row>
  </sheetData>
  <phoneticPr fontId="0" type="noConversion"/>
  <hyperlinks>
    <hyperlink ref="J1" location="Inputs!A1" display="Index"/>
  </hyperlinks>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FF0000"/>
  </sheetPr>
  <dimension ref="A1:O164"/>
  <sheetViews>
    <sheetView showGridLines="0" zoomScale="80" zoomScaleNormal="75" zoomScalePageLayoutView="75" workbookViewId="0"/>
  </sheetViews>
  <sheetFormatPr defaultColWidth="8.85546875" defaultRowHeight="12.75"/>
  <cols>
    <col min="1" max="1" width="21.7109375" customWidth="1"/>
    <col min="2" max="2" width="9.85546875" customWidth="1"/>
    <col min="3" max="3" width="31.140625" customWidth="1"/>
    <col min="4" max="4" width="8.85546875" customWidth="1"/>
    <col min="5" max="7" width="20.42578125" customWidth="1"/>
    <col min="8" max="9" width="21.85546875" customWidth="1"/>
    <col min="10" max="11" width="20.42578125" style="36" customWidth="1"/>
    <col min="12" max="12" width="21.85546875" style="36" customWidth="1"/>
    <col min="13" max="14" width="9.140625" style="36" customWidth="1"/>
    <col min="15" max="15" width="20.42578125" style="36" customWidth="1"/>
    <col min="16" max="16" width="20.42578125" customWidth="1"/>
    <col min="17" max="17" width="21.85546875" customWidth="1"/>
  </cols>
  <sheetData>
    <row r="1" spans="1:15" s="1" customFormat="1">
      <c r="A1" s="8" t="s">
        <v>460</v>
      </c>
      <c r="F1" s="253" t="s">
        <v>216</v>
      </c>
    </row>
    <row r="2" spans="1:15">
      <c r="J2"/>
      <c r="K2"/>
      <c r="L2"/>
      <c r="M2"/>
      <c r="N2"/>
      <c r="O2"/>
    </row>
    <row r="3" spans="1:15" s="1255" customFormat="1" ht="26.25" customHeight="1">
      <c r="F3" s="2190" t="s">
        <v>373</v>
      </c>
      <c r="G3" s="2191"/>
      <c r="H3" s="2192"/>
    </row>
    <row r="4" spans="1:15" s="1255" customFormat="1" ht="27.75" customHeight="1">
      <c r="F4" s="2193" t="s">
        <v>219</v>
      </c>
      <c r="G4" s="2194"/>
      <c r="H4" s="2195"/>
    </row>
    <row r="5" spans="1:15">
      <c r="F5" s="9"/>
      <c r="G5" s="10" t="s">
        <v>14</v>
      </c>
      <c r="H5" s="27" t="s">
        <v>405</v>
      </c>
      <c r="J5"/>
      <c r="K5"/>
      <c r="L5"/>
      <c r="M5"/>
      <c r="N5"/>
      <c r="O5"/>
    </row>
    <row r="6" spans="1:15">
      <c r="F6" s="4" t="s">
        <v>240</v>
      </c>
      <c r="G6" s="56">
        <f>SUM(I20:I39)</f>
        <v>2542417.2589199999</v>
      </c>
      <c r="H6" s="1283">
        <f>G6/$G$11</f>
        <v>0.4592292182348785</v>
      </c>
      <c r="J6"/>
      <c r="K6"/>
      <c r="L6"/>
      <c r="M6"/>
      <c r="N6"/>
      <c r="O6"/>
    </row>
    <row r="7" spans="1:15">
      <c r="F7" s="4" t="s">
        <v>374</v>
      </c>
      <c r="G7" s="57">
        <f>SUM(I62:I63)+SUM(I69:I70)+SUM(I75:I78)</f>
        <v>404608.13</v>
      </c>
      <c r="H7" s="1284">
        <f>G7/$G$11</f>
        <v>7.3083155245062287E-2</v>
      </c>
      <c r="J7"/>
      <c r="K7"/>
      <c r="L7"/>
      <c r="M7"/>
      <c r="N7"/>
      <c r="O7"/>
    </row>
    <row r="8" spans="1:15">
      <c r="F8" s="4" t="s">
        <v>239</v>
      </c>
      <c r="G8" s="57">
        <f>SUM(I42:I56)+SUM(I59:I61)+SUM(I64:I68)+SUM(I71:I72)+SUM(I158:I163)+SUM(I153:I154)</f>
        <v>1445766.7349999999</v>
      </c>
      <c r="H8" s="1284">
        <f>G8/$G$11</f>
        <v>0.26114451714589082</v>
      </c>
      <c r="J8"/>
      <c r="K8"/>
      <c r="L8"/>
      <c r="M8"/>
      <c r="N8"/>
      <c r="O8"/>
    </row>
    <row r="9" spans="1:15">
      <c r="F9" s="4" t="s">
        <v>245</v>
      </c>
      <c r="G9" s="57">
        <f>'Calc-Drivers'!E32*(SUM(I81:I120)+SUM(I149:I150))</f>
        <v>560136.71575233631</v>
      </c>
      <c r="H9" s="1284">
        <f>G9/$G$11</f>
        <v>0.10117581808301114</v>
      </c>
      <c r="I9" s="18"/>
      <c r="J9"/>
      <c r="K9"/>
      <c r="L9"/>
      <c r="M9"/>
      <c r="N9"/>
      <c r="O9"/>
    </row>
    <row r="10" spans="1:15">
      <c r="F10" s="5" t="s">
        <v>497</v>
      </c>
      <c r="G10" s="58">
        <f>'Calc-Drivers'!E32*SUM(I121:I146)</f>
        <v>583341.84600439528</v>
      </c>
      <c r="H10" s="1285">
        <f>G10/$G$11</f>
        <v>0.10536729129115729</v>
      </c>
      <c r="I10" s="18" t="s">
        <v>619</v>
      </c>
      <c r="J10"/>
      <c r="K10"/>
      <c r="L10"/>
      <c r="M10"/>
      <c r="N10"/>
      <c r="O10"/>
    </row>
    <row r="11" spans="1:15">
      <c r="F11" s="55" t="s">
        <v>246</v>
      </c>
      <c r="G11" s="59">
        <f>SUM(G6:G10)</f>
        <v>5536270.6856767312</v>
      </c>
      <c r="H11" s="60">
        <f>SUM(H6:H10)</f>
        <v>1</v>
      </c>
      <c r="I11" t="str">
        <f>IF(G11=$I$164,"OK", "error")</f>
        <v>error</v>
      </c>
      <c r="J11"/>
      <c r="K11"/>
      <c r="L11"/>
      <c r="M11"/>
      <c r="N11"/>
      <c r="O11"/>
    </row>
    <row r="12" spans="1:15">
      <c r="J12"/>
      <c r="K12"/>
      <c r="L12"/>
      <c r="M12"/>
      <c r="N12"/>
      <c r="O12"/>
    </row>
    <row r="13" spans="1:15">
      <c r="J13"/>
      <c r="K13"/>
      <c r="L13"/>
      <c r="M13"/>
      <c r="N13"/>
      <c r="O13"/>
    </row>
    <row r="14" spans="1:15" s="1" customFormat="1" ht="12" customHeight="1">
      <c r="A14" s="8" t="s">
        <v>712</v>
      </c>
    </row>
    <row r="16" spans="1:15" s="19" customFormat="1" ht="25.5">
      <c r="A16" s="29"/>
      <c r="B16" s="1383"/>
      <c r="C16" s="1384" t="s">
        <v>641</v>
      </c>
      <c r="D16" s="1385" t="s">
        <v>31</v>
      </c>
      <c r="E16" s="1386" t="s">
        <v>876</v>
      </c>
      <c r="F16" s="1386"/>
      <c r="G16" s="1386" t="s">
        <v>713</v>
      </c>
      <c r="H16" s="1386" t="s">
        <v>703</v>
      </c>
      <c r="I16" s="1386" t="s">
        <v>459</v>
      </c>
      <c r="J16" s="37"/>
      <c r="K16" s="32"/>
      <c r="L16" s="32"/>
      <c r="M16" s="32"/>
      <c r="N16" s="38"/>
      <c r="O16" s="39"/>
    </row>
    <row r="17" spans="1:15" ht="54.75" customHeight="1">
      <c r="A17" s="3"/>
      <c r="B17" s="14"/>
      <c r="C17" s="20"/>
      <c r="D17" s="3"/>
      <c r="E17" s="1387" t="s">
        <v>585</v>
      </c>
      <c r="F17" s="1387" t="s">
        <v>217</v>
      </c>
      <c r="G17" s="1387" t="s">
        <v>446</v>
      </c>
      <c r="H17" s="1387" t="s">
        <v>913</v>
      </c>
      <c r="I17" s="1388" t="s">
        <v>883</v>
      </c>
      <c r="J17" s="32"/>
      <c r="K17" s="32"/>
      <c r="L17" s="32"/>
      <c r="M17" s="32"/>
      <c r="N17" s="32"/>
      <c r="O17" s="40"/>
    </row>
    <row r="18" spans="1:15">
      <c r="A18" s="3" t="s">
        <v>465</v>
      </c>
      <c r="B18" s="14"/>
      <c r="C18" s="20"/>
      <c r="D18" s="3"/>
      <c r="E18" s="3"/>
      <c r="F18" s="20"/>
      <c r="G18" s="20"/>
      <c r="H18" s="20"/>
      <c r="I18" s="20"/>
      <c r="J18" s="41"/>
      <c r="K18" s="33"/>
      <c r="L18" s="33"/>
      <c r="M18" s="34"/>
      <c r="N18" s="42"/>
      <c r="O18" s="43"/>
    </row>
    <row r="19" spans="1:15">
      <c r="A19" s="26"/>
      <c r="B19" s="21" t="s">
        <v>225</v>
      </c>
      <c r="C19" s="22"/>
      <c r="D19" s="26"/>
      <c r="E19" s="26"/>
      <c r="F19" s="22"/>
      <c r="G19" s="22"/>
      <c r="H19" s="22"/>
      <c r="I19" s="22"/>
      <c r="J19" s="41"/>
      <c r="K19" s="34"/>
      <c r="L19" s="35"/>
      <c r="M19" s="34"/>
      <c r="N19" s="41"/>
      <c r="O19" s="44"/>
    </row>
    <row r="20" spans="1:15">
      <c r="A20" s="26"/>
      <c r="B20" s="21"/>
      <c r="C20" s="22" t="s">
        <v>466</v>
      </c>
      <c r="D20" s="26" t="s">
        <v>177</v>
      </c>
      <c r="E20" s="4">
        <f>IF(ISNUMBER('FBPQ C2'!J12),'FBPQ C2'!J12,IF(ISNUMBER('FBPQ C2'!I12),'FBPQ C2'!I12,""))</f>
        <v>19.440000000000001</v>
      </c>
      <c r="F20" s="30" t="s">
        <v>218</v>
      </c>
      <c r="G20" s="30">
        <f t="shared" ref="G20:G51" si="0">IF(ISNUMBER(E20),E20,IF(H20&gt;0,F20," "))</f>
        <v>19.440000000000001</v>
      </c>
      <c r="H20" s="22">
        <f>IF(ISBLANK('FBPQ T4'!E12)," ",'FBPQ T4'!AE12)</f>
        <v>7448</v>
      </c>
      <c r="I20" s="22">
        <f>IF(ISERROR(G20*H20)," ",G20*H20)</f>
        <v>144789.12</v>
      </c>
      <c r="J20" s="34"/>
      <c r="K20" s="34"/>
      <c r="L20" s="34"/>
      <c r="M20" s="34"/>
      <c r="N20" s="45"/>
      <c r="O20" s="44"/>
    </row>
    <row r="21" spans="1:15">
      <c r="A21" s="26"/>
      <c r="B21" s="21"/>
      <c r="C21" s="22" t="s">
        <v>467</v>
      </c>
      <c r="D21" s="26" t="s">
        <v>744</v>
      </c>
      <c r="E21" s="4">
        <f>IF(ISNUMBER('FBPQ C2'!J13),'FBPQ C2'!J13,IF(ISNUMBER('FBPQ C2'!I13),'FBPQ C2'!I13,""))</f>
        <v>0.31</v>
      </c>
      <c r="F21" s="30" t="s">
        <v>218</v>
      </c>
      <c r="G21" s="30">
        <f t="shared" si="0"/>
        <v>0.31</v>
      </c>
      <c r="H21" s="22">
        <f>IF(ISBLANK('FBPQ T4'!E13)," ",'FBPQ T4'!AE13)</f>
        <v>442000</v>
      </c>
      <c r="I21" s="22">
        <f t="shared" ref="I21:I84" si="1">IF(ISERROR(G21*H21)," ",G21*H21)</f>
        <v>137020</v>
      </c>
      <c r="J21" s="34"/>
      <c r="K21" s="34"/>
      <c r="L21" s="34"/>
      <c r="M21" s="34"/>
      <c r="N21" s="45"/>
      <c r="O21" s="46"/>
    </row>
    <row r="22" spans="1:15">
      <c r="A22" s="26"/>
      <c r="B22" s="21"/>
      <c r="C22" s="22"/>
      <c r="D22" s="26"/>
      <c r="E22" s="4" t="str">
        <f>IF(ISNUMBER('FBPQ C2'!J14),'FBPQ C2'!J14,IF(ISNUMBER('FBPQ C2'!I14),'FBPQ C2'!I14,""))</f>
        <v/>
      </c>
      <c r="F22" s="30"/>
      <c r="G22" s="30">
        <f t="shared" si="0"/>
        <v>0</v>
      </c>
      <c r="H22" s="22" t="str">
        <f>IF(ISBLANK('FBPQ T4'!E14)," ",'FBPQ T4'!AE14)</f>
        <v xml:space="preserve"> </v>
      </c>
      <c r="I22" s="22" t="str">
        <f t="shared" si="1"/>
        <v xml:space="preserve"> </v>
      </c>
      <c r="J22" s="34"/>
      <c r="K22" s="34"/>
      <c r="L22" s="34"/>
      <c r="M22" s="34"/>
      <c r="N22" s="45"/>
      <c r="O22" s="46"/>
    </row>
    <row r="23" spans="1:15">
      <c r="A23" s="26"/>
      <c r="B23" s="21" t="s">
        <v>745</v>
      </c>
      <c r="C23" s="22"/>
      <c r="D23" s="26"/>
      <c r="E23" s="4" t="str">
        <f>IF(ISNUMBER('FBPQ C2'!J15),'FBPQ C2'!J15,IF(ISNUMBER('FBPQ C2'!I15),'FBPQ C2'!I15,""))</f>
        <v/>
      </c>
      <c r="F23" s="30"/>
      <c r="G23" s="30">
        <f t="shared" si="0"/>
        <v>0</v>
      </c>
      <c r="H23" s="22" t="str">
        <f>IF(ISBLANK('FBPQ T4'!E15)," ",'FBPQ T4'!AE15)</f>
        <v xml:space="preserve"> </v>
      </c>
      <c r="I23" s="22" t="str">
        <f t="shared" si="1"/>
        <v xml:space="preserve"> </v>
      </c>
      <c r="J23" s="34"/>
      <c r="K23" s="34"/>
      <c r="L23" s="35"/>
      <c r="M23" s="34"/>
      <c r="N23" s="45"/>
      <c r="O23" s="44"/>
    </row>
    <row r="24" spans="1:15">
      <c r="A24" s="26"/>
      <c r="B24" s="21"/>
      <c r="C24" s="22" t="s">
        <v>746</v>
      </c>
      <c r="D24" s="26" t="s">
        <v>744</v>
      </c>
      <c r="E24" s="4">
        <f>IF(ISNUMBER('FBPQ C2'!J16),'FBPQ C2'!J16,IF(ISNUMBER('FBPQ C2'!I16),'FBPQ C2'!I16,""))</f>
        <v>1.88</v>
      </c>
      <c r="F24" s="30" t="s">
        <v>218</v>
      </c>
      <c r="G24" s="30">
        <f t="shared" si="0"/>
        <v>1.88</v>
      </c>
      <c r="H24" s="22">
        <f>IF(ISBLANK('FBPQ T4'!E16)," ",'FBPQ T4'!AE16)</f>
        <v>198165</v>
      </c>
      <c r="I24" s="22">
        <f t="shared" si="1"/>
        <v>372550.19999999995</v>
      </c>
      <c r="J24" s="34"/>
      <c r="K24" s="34"/>
      <c r="L24" s="34"/>
      <c r="M24" s="34"/>
      <c r="N24" s="45"/>
      <c r="O24" s="46"/>
    </row>
    <row r="25" spans="1:15">
      <c r="A25" s="26"/>
      <c r="B25" s="21"/>
      <c r="C25" s="22"/>
      <c r="D25" s="26"/>
      <c r="E25" s="4" t="str">
        <f>IF(ISNUMBER('FBPQ C2'!J17),'FBPQ C2'!J17,IF(ISNUMBER('FBPQ C2'!I17),'FBPQ C2'!I17,""))</f>
        <v/>
      </c>
      <c r="F25" s="30"/>
      <c r="G25" s="30">
        <f t="shared" si="0"/>
        <v>0</v>
      </c>
      <c r="H25" s="22" t="str">
        <f>IF(ISBLANK('FBPQ T4'!E17)," ",'FBPQ T4'!AE17)</f>
        <v xml:space="preserve"> </v>
      </c>
      <c r="I25" s="22" t="str">
        <f t="shared" si="1"/>
        <v xml:space="preserve"> </v>
      </c>
      <c r="J25" s="34"/>
      <c r="K25" s="34"/>
      <c r="L25" s="34"/>
      <c r="M25" s="34"/>
      <c r="N25" s="45"/>
      <c r="O25" s="46"/>
    </row>
    <row r="26" spans="1:15">
      <c r="A26" s="26"/>
      <c r="B26" s="21" t="s">
        <v>878</v>
      </c>
      <c r="C26" s="22"/>
      <c r="D26" s="26"/>
      <c r="E26" s="4" t="str">
        <f>IF(ISNUMBER('FBPQ C2'!J18),'FBPQ C2'!J18,IF(ISNUMBER('FBPQ C2'!I18),'FBPQ C2'!I18,""))</f>
        <v/>
      </c>
      <c r="F26" s="30"/>
      <c r="G26" s="30">
        <f t="shared" si="0"/>
        <v>0</v>
      </c>
      <c r="H26" s="22" t="str">
        <f>IF(ISBLANK('FBPQ T4'!E18)," ",'FBPQ T4'!AE18)</f>
        <v xml:space="preserve"> </v>
      </c>
      <c r="I26" s="22" t="str">
        <f t="shared" si="1"/>
        <v xml:space="preserve"> </v>
      </c>
      <c r="J26" s="34"/>
      <c r="K26" s="34"/>
      <c r="L26" s="35"/>
      <c r="M26" s="34"/>
      <c r="N26" s="45"/>
      <c r="O26" s="44"/>
    </row>
    <row r="27" spans="1:15">
      <c r="A27" s="26"/>
      <c r="B27" s="21"/>
      <c r="C27" s="22" t="s">
        <v>773</v>
      </c>
      <c r="D27" s="26" t="s">
        <v>177</v>
      </c>
      <c r="E27" s="4">
        <f>IF(ISNUMBER('FBPQ C2'!J19),'FBPQ C2'!J19,IF(ISNUMBER('FBPQ C2'!I19),'FBPQ C2'!I19,""))</f>
        <v>75.86</v>
      </c>
      <c r="F27" s="30" t="s">
        <v>218</v>
      </c>
      <c r="G27" s="30">
        <f t="shared" si="0"/>
        <v>75.86</v>
      </c>
      <c r="H27" s="22">
        <f>IF(ISBLANK('FBPQ T4'!E19)," ",'FBPQ T4'!AE19)</f>
        <v>2727.8220000000001</v>
      </c>
      <c r="I27" s="22">
        <f t="shared" si="1"/>
        <v>206932.57692000002</v>
      </c>
      <c r="J27" s="34"/>
      <c r="K27" s="34"/>
      <c r="L27" s="35"/>
      <c r="M27" s="34"/>
      <c r="N27" s="45"/>
      <c r="O27" s="44"/>
    </row>
    <row r="28" spans="1:15">
      <c r="A28" s="26"/>
      <c r="B28" s="21"/>
      <c r="C28" s="22" t="s">
        <v>634</v>
      </c>
      <c r="D28" s="26" t="s">
        <v>177</v>
      </c>
      <c r="E28" s="4">
        <f>IF(ISNUMBER('FBPQ C2'!J20),'FBPQ C2'!J20,IF(ISNUMBER('FBPQ C2'!I20),'FBPQ C2'!I20,""))</f>
        <v>67.22</v>
      </c>
      <c r="F28" s="30" t="s">
        <v>218</v>
      </c>
      <c r="G28" s="30">
        <f t="shared" si="0"/>
        <v>67.22</v>
      </c>
      <c r="H28" s="22">
        <f>IF(ISBLANK('FBPQ T4'!E20)," ",'FBPQ T4'!AE20)</f>
        <v>4957.2</v>
      </c>
      <c r="I28" s="22">
        <f t="shared" si="1"/>
        <v>333222.984</v>
      </c>
      <c r="J28" s="34"/>
      <c r="K28" s="34"/>
      <c r="L28" s="35"/>
      <c r="M28" s="34"/>
      <c r="N28" s="45"/>
      <c r="O28" s="44"/>
    </row>
    <row r="29" spans="1:15">
      <c r="A29" s="26"/>
      <c r="B29" s="21"/>
      <c r="C29" s="22" t="s">
        <v>635</v>
      </c>
      <c r="D29" s="26" t="s">
        <v>177</v>
      </c>
      <c r="E29" s="4">
        <f>IF(ISNUMBER('FBPQ C2'!J21),'FBPQ C2'!J21,IF(ISNUMBER('FBPQ C2'!I21),'FBPQ C2'!I21,""))</f>
        <v>75.86</v>
      </c>
      <c r="F29" s="30" t="s">
        <v>218</v>
      </c>
      <c r="G29" s="30">
        <f t="shared" si="0"/>
        <v>75.86</v>
      </c>
      <c r="H29" s="22">
        <f>IF(ISBLANK('FBPQ T4'!E21)," ",'FBPQ T4'!AE21)</f>
        <v>6391.3</v>
      </c>
      <c r="I29" s="22">
        <f t="shared" si="1"/>
        <v>484844.01799999998</v>
      </c>
      <c r="J29" s="34"/>
      <c r="K29" s="34"/>
      <c r="L29" s="35"/>
      <c r="M29" s="34"/>
      <c r="N29" s="45"/>
      <c r="O29" s="44"/>
    </row>
    <row r="30" spans="1:15">
      <c r="A30" s="26"/>
      <c r="B30" s="21"/>
      <c r="C30" s="22" t="s">
        <v>636</v>
      </c>
      <c r="D30" s="26" t="s">
        <v>744</v>
      </c>
      <c r="E30" s="4">
        <f>IF(ISNUMBER('FBPQ C2'!J22),'FBPQ C2'!J22,IF(ISNUMBER('FBPQ C2'!I22),'FBPQ C2'!I22,""))</f>
        <v>0.7</v>
      </c>
      <c r="F30" s="30" t="s">
        <v>218</v>
      </c>
      <c r="G30" s="30">
        <f t="shared" si="0"/>
        <v>0.7</v>
      </c>
      <c r="H30" s="22">
        <f>IF(ISBLANK('FBPQ T4'!E22)," ",'FBPQ T4'!AE22)</f>
        <v>1091923</v>
      </c>
      <c r="I30" s="22">
        <f t="shared" si="1"/>
        <v>764346.1</v>
      </c>
      <c r="J30" s="34"/>
      <c r="K30" s="34"/>
      <c r="L30" s="35"/>
      <c r="M30" s="34"/>
      <c r="N30" s="45"/>
      <c r="O30" s="46"/>
    </row>
    <row r="31" spans="1:15">
      <c r="A31" s="26"/>
      <c r="B31" s="21"/>
      <c r="C31" s="22"/>
      <c r="D31" s="26"/>
      <c r="E31" s="4" t="str">
        <f>IF(ISNUMBER('FBPQ C2'!J23),'FBPQ C2'!J23,IF(ISNUMBER('FBPQ C2'!I23),'FBPQ C2'!I23,""))</f>
        <v/>
      </c>
      <c r="F31" s="30"/>
      <c r="G31" s="30">
        <f t="shared" si="0"/>
        <v>0</v>
      </c>
      <c r="H31" s="22" t="str">
        <f>IF(ISBLANK('FBPQ T4'!E23)," ",'FBPQ T4'!AE23)</f>
        <v xml:space="preserve"> </v>
      </c>
      <c r="I31" s="22" t="str">
        <f t="shared" si="1"/>
        <v xml:space="preserve"> </v>
      </c>
      <c r="J31" s="34"/>
      <c r="K31" s="34"/>
      <c r="L31" s="34"/>
      <c r="M31" s="34"/>
      <c r="N31" s="45"/>
      <c r="O31" s="46"/>
    </row>
    <row r="32" spans="1:15">
      <c r="A32" s="26"/>
      <c r="B32" s="21" t="s">
        <v>637</v>
      </c>
      <c r="C32" s="22"/>
      <c r="D32" s="26"/>
      <c r="E32" s="4" t="str">
        <f>IF(ISNUMBER('FBPQ C2'!J24),'FBPQ C2'!J24,IF(ISNUMBER('FBPQ C2'!I24),'FBPQ C2'!I24,""))</f>
        <v/>
      </c>
      <c r="F32" s="30"/>
      <c r="G32" s="30">
        <f t="shared" si="0"/>
        <v>0</v>
      </c>
      <c r="H32" s="22" t="str">
        <f>IF(ISBLANK('FBPQ T4'!E24)," ",'FBPQ T4'!AE24)</f>
        <v xml:space="preserve"> </v>
      </c>
      <c r="I32" s="22" t="str">
        <f t="shared" si="1"/>
        <v xml:space="preserve"> </v>
      </c>
      <c r="J32" s="34"/>
      <c r="K32"/>
      <c r="L32"/>
      <c r="M32"/>
      <c r="N32"/>
      <c r="O32"/>
    </row>
    <row r="33" spans="1:15">
      <c r="A33" s="26"/>
      <c r="B33" s="21"/>
      <c r="C33" s="22" t="s">
        <v>638</v>
      </c>
      <c r="D33" s="26" t="s">
        <v>744</v>
      </c>
      <c r="E33" s="4">
        <f>IF(ISNUMBER('FBPQ C2'!J25),'FBPQ C2'!J25,IF(ISNUMBER('FBPQ C2'!I25),'FBPQ C2'!I25,""))</f>
        <v>7.94</v>
      </c>
      <c r="F33" s="30" t="s">
        <v>218</v>
      </c>
      <c r="G33" s="30">
        <f t="shared" si="0"/>
        <v>7.94</v>
      </c>
      <c r="H33" s="22">
        <f>IF(ISBLANK('FBPQ T4'!E25)," ",'FBPQ T4'!AE25)</f>
        <v>6864</v>
      </c>
      <c r="I33" s="22">
        <f t="shared" si="1"/>
        <v>54500.160000000003</v>
      </c>
      <c r="J33" s="203"/>
      <c r="K33"/>
      <c r="L33"/>
      <c r="M33"/>
      <c r="N33"/>
      <c r="O33"/>
    </row>
    <row r="34" spans="1:15">
      <c r="A34" s="26"/>
      <c r="B34" s="21"/>
      <c r="C34" s="22" t="s">
        <v>639</v>
      </c>
      <c r="D34" s="26" t="s">
        <v>744</v>
      </c>
      <c r="E34" s="4">
        <f>IF(ISNUMBER('FBPQ C2'!J26),'FBPQ C2'!J26,IF(ISNUMBER('FBPQ C2'!I26),'FBPQ C2'!I26,""))</f>
        <v>8.36</v>
      </c>
      <c r="F34" s="30" t="s">
        <v>218</v>
      </c>
      <c r="G34" s="30">
        <f t="shared" si="0"/>
        <v>8.36</v>
      </c>
      <c r="H34" s="22">
        <f>IF(ISBLANK('FBPQ T4'!E26)," ",'FBPQ T4'!AE26)</f>
        <v>3328</v>
      </c>
      <c r="I34" s="22">
        <f t="shared" si="1"/>
        <v>27822.079999999998</v>
      </c>
      <c r="J34" s="34"/>
      <c r="K34"/>
      <c r="L34"/>
      <c r="M34"/>
      <c r="N34"/>
      <c r="O34"/>
    </row>
    <row r="35" spans="1:15">
      <c r="A35" s="26"/>
      <c r="B35" s="21"/>
      <c r="C35" s="22" t="s">
        <v>758</v>
      </c>
      <c r="D35" s="26" t="s">
        <v>744</v>
      </c>
      <c r="E35" s="4">
        <f>IF(ISNUMBER('FBPQ C2'!J27),'FBPQ C2'!J27,IF(ISNUMBER('FBPQ C2'!I27),'FBPQ C2'!I27,""))</f>
        <v>10.38</v>
      </c>
      <c r="F35" s="30" t="s">
        <v>218</v>
      </c>
      <c r="G35" s="30">
        <f t="shared" si="0"/>
        <v>10.38</v>
      </c>
      <c r="H35" s="22">
        <f>IF(ISBLANK('FBPQ T4'!E27)," ",'FBPQ T4'!AE27)</f>
        <v>1579</v>
      </c>
      <c r="I35" s="22">
        <f t="shared" si="1"/>
        <v>16390.02</v>
      </c>
      <c r="J35" s="34"/>
      <c r="K35"/>
      <c r="L35"/>
      <c r="M35"/>
      <c r="N35"/>
      <c r="O35"/>
    </row>
    <row r="36" spans="1:15">
      <c r="A36" s="26"/>
      <c r="B36" s="21"/>
      <c r="C36" s="22" t="s">
        <v>759</v>
      </c>
      <c r="D36" s="26" t="s">
        <v>744</v>
      </c>
      <c r="E36" s="4" t="str">
        <f>IF(ISNUMBER('FBPQ C2'!J28),'FBPQ C2'!J28,IF(ISNUMBER('FBPQ C2'!I28),'FBPQ C2'!I28,""))</f>
        <v/>
      </c>
      <c r="F36" s="30" t="s">
        <v>218</v>
      </c>
      <c r="G36" s="30" t="str">
        <f t="shared" si="0"/>
        <v>DATA</v>
      </c>
      <c r="H36" s="22">
        <f>IF(ISBLANK('FBPQ T4'!E28)," ",'FBPQ T4'!AE28)</f>
        <v>11751</v>
      </c>
      <c r="I36" s="22" t="str">
        <f t="shared" si="1"/>
        <v xml:space="preserve"> </v>
      </c>
      <c r="J36" s="34"/>
      <c r="K36"/>
      <c r="L36"/>
      <c r="M36"/>
      <c r="N36"/>
      <c r="O36"/>
    </row>
    <row r="37" spans="1:15">
      <c r="A37" s="26"/>
      <c r="B37" s="21"/>
      <c r="C37" s="22" t="s">
        <v>41</v>
      </c>
      <c r="D37" s="26" t="s">
        <v>744</v>
      </c>
      <c r="E37" s="4" t="str">
        <f>IF(ISNUMBER('FBPQ C2'!J29),'FBPQ C2'!J29,IF(ISNUMBER('FBPQ C2'!I29),'FBPQ C2'!I29,""))</f>
        <v/>
      </c>
      <c r="F37" s="30" t="s">
        <v>218</v>
      </c>
      <c r="G37" s="30" t="str">
        <f t="shared" si="0"/>
        <v>DATA</v>
      </c>
      <c r="H37" s="22">
        <f>IF(ISBLANK('FBPQ T4'!E29)," ",'FBPQ T4'!AE29)</f>
        <v>37881</v>
      </c>
      <c r="I37" s="22" t="str">
        <f t="shared" si="1"/>
        <v xml:space="preserve"> </v>
      </c>
      <c r="J37" s="34"/>
      <c r="K37"/>
      <c r="L37"/>
      <c r="M37"/>
      <c r="N37"/>
      <c r="O37"/>
    </row>
    <row r="38" spans="1:15">
      <c r="A38" s="26"/>
      <c r="B38" s="21"/>
      <c r="C38" s="22" t="s">
        <v>42</v>
      </c>
      <c r="D38" s="26" t="s">
        <v>744</v>
      </c>
      <c r="E38" s="4" t="str">
        <f>IF(ISNUMBER('FBPQ C2'!J30),'FBPQ C2'!J30,IF(ISNUMBER('FBPQ C2'!I30),'FBPQ C2'!I30,""))</f>
        <v/>
      </c>
      <c r="F38" s="30" t="s">
        <v>218</v>
      </c>
      <c r="G38" s="30" t="str">
        <f t="shared" si="0"/>
        <v>DATA</v>
      </c>
      <c r="H38" s="22">
        <f>IF(ISBLANK('FBPQ T4'!E30)," ",'FBPQ T4'!AE30)</f>
        <v>858</v>
      </c>
      <c r="I38" s="22" t="str">
        <f t="shared" si="1"/>
        <v xml:space="preserve"> </v>
      </c>
      <c r="J38" s="34"/>
      <c r="K38"/>
      <c r="L38"/>
      <c r="M38"/>
      <c r="N38"/>
      <c r="O38"/>
    </row>
    <row r="39" spans="1:15">
      <c r="A39" s="26"/>
      <c r="B39" s="21"/>
      <c r="C39" s="22"/>
      <c r="D39" s="26"/>
      <c r="E39" s="4" t="str">
        <f>IF(ISNUMBER('FBPQ C2'!J31),'FBPQ C2'!J31,IF(ISNUMBER('FBPQ C2'!I31),'FBPQ C2'!I31,""))</f>
        <v/>
      </c>
      <c r="F39" s="30"/>
      <c r="G39" s="30">
        <f t="shared" si="0"/>
        <v>0</v>
      </c>
      <c r="H39" s="22" t="str">
        <f>IF(ISBLANK('FBPQ T4'!E31)," ",'FBPQ T4'!AE31)</f>
        <v xml:space="preserve"> </v>
      </c>
      <c r="I39" s="22" t="str">
        <f t="shared" si="1"/>
        <v xml:space="preserve"> </v>
      </c>
      <c r="J39" s="48"/>
      <c r="K39"/>
      <c r="L39"/>
      <c r="M39"/>
      <c r="N39"/>
      <c r="O39"/>
    </row>
    <row r="40" spans="1:15">
      <c r="A40" s="26" t="s">
        <v>43</v>
      </c>
      <c r="B40" s="21"/>
      <c r="C40" s="22"/>
      <c r="D40" s="26"/>
      <c r="E40" s="4" t="str">
        <f>IF(ISNUMBER('FBPQ C2'!J32),'FBPQ C2'!J32,IF(ISNUMBER('FBPQ C2'!I32),'FBPQ C2'!I32,""))</f>
        <v/>
      </c>
      <c r="F40" s="30"/>
      <c r="G40" s="30">
        <f t="shared" si="0"/>
        <v>0</v>
      </c>
      <c r="H40" s="22" t="str">
        <f>IF(ISBLANK('FBPQ T4'!E32)," ",'FBPQ T4'!AE32)</f>
        <v xml:space="preserve"> </v>
      </c>
      <c r="I40" s="22" t="str">
        <f t="shared" si="1"/>
        <v xml:space="preserve"> </v>
      </c>
      <c r="J40" s="34"/>
      <c r="K40"/>
      <c r="L40"/>
      <c r="M40"/>
      <c r="N40"/>
      <c r="O40"/>
    </row>
    <row r="41" spans="1:15">
      <c r="A41" s="26"/>
      <c r="B41" s="21" t="s">
        <v>225</v>
      </c>
      <c r="C41" s="22"/>
      <c r="D41" s="26"/>
      <c r="E41" s="4" t="str">
        <f>IF(ISNUMBER('FBPQ C2'!J33),'FBPQ C2'!J33,IF(ISNUMBER('FBPQ C2'!I33),'FBPQ C2'!I33,""))</f>
        <v/>
      </c>
      <c r="F41" s="30"/>
      <c r="G41" s="30">
        <f t="shared" si="0"/>
        <v>0</v>
      </c>
      <c r="H41" s="22" t="str">
        <f>IF(ISBLANK('FBPQ T4'!E33)," ",'FBPQ T4'!AE33)</f>
        <v xml:space="preserve"> </v>
      </c>
      <c r="I41" s="22" t="str">
        <f t="shared" si="1"/>
        <v xml:space="preserve"> </v>
      </c>
      <c r="J41" s="34"/>
      <c r="K41"/>
      <c r="L41"/>
      <c r="M41"/>
      <c r="N41"/>
      <c r="O41"/>
    </row>
    <row r="42" spans="1:15">
      <c r="A42" s="26"/>
      <c r="B42" s="21"/>
      <c r="C42" s="22" t="s">
        <v>44</v>
      </c>
      <c r="D42" s="26" t="s">
        <v>177</v>
      </c>
      <c r="E42" s="4">
        <f>IF(ISNUMBER('FBPQ C2'!J34),'FBPQ C2'!J34,IF(ISNUMBER('FBPQ C2'!I34),'FBPQ C2'!I34,""))</f>
        <v>20.78</v>
      </c>
      <c r="F42" s="30" t="s">
        <v>218</v>
      </c>
      <c r="G42" s="30">
        <f t="shared" si="0"/>
        <v>20.78</v>
      </c>
      <c r="H42" s="22">
        <f>IF(ISBLANK('FBPQ T4'!E34)," ",'FBPQ T4'!AE34)</f>
        <v>16591</v>
      </c>
      <c r="I42" s="22">
        <f t="shared" si="1"/>
        <v>344760.98000000004</v>
      </c>
      <c r="J42" s="34"/>
      <c r="K42"/>
      <c r="L42"/>
      <c r="M42"/>
      <c r="N42"/>
      <c r="O42"/>
    </row>
    <row r="43" spans="1:15">
      <c r="A43" s="26"/>
      <c r="B43" s="21"/>
      <c r="C43" s="22" t="s">
        <v>45</v>
      </c>
      <c r="D43" s="26" t="s">
        <v>177</v>
      </c>
      <c r="E43" s="4" t="str">
        <f>IF(ISNUMBER('FBPQ C2'!J35),'FBPQ C2'!J35,IF(ISNUMBER('FBPQ C2'!I35),'FBPQ C2'!I35,""))</f>
        <v/>
      </c>
      <c r="F43" s="30" t="s">
        <v>218</v>
      </c>
      <c r="G43" s="30" t="str">
        <f t="shared" si="0"/>
        <v xml:space="preserve"> </v>
      </c>
      <c r="H43" s="22">
        <f>IF(ISBLANK('FBPQ T4'!E35)," ",'FBPQ T4'!AE35)</f>
        <v>0</v>
      </c>
      <c r="I43" s="22" t="str">
        <f t="shared" si="1"/>
        <v xml:space="preserve"> </v>
      </c>
      <c r="J43" s="34"/>
      <c r="K43"/>
      <c r="L43"/>
      <c r="M43"/>
      <c r="N43"/>
      <c r="O43"/>
    </row>
    <row r="44" spans="1:15">
      <c r="A44" s="26"/>
      <c r="B44" s="21"/>
      <c r="C44" s="22" t="s">
        <v>46</v>
      </c>
      <c r="D44" s="26" t="s">
        <v>177</v>
      </c>
      <c r="E44" s="4" t="str">
        <f>IF(ISNUMBER('FBPQ C2'!J36),'FBPQ C2'!J36,IF(ISNUMBER('FBPQ C2'!I36),'FBPQ C2'!I36,""))</f>
        <v/>
      </c>
      <c r="F44" s="30" t="s">
        <v>218</v>
      </c>
      <c r="G44" s="30" t="str">
        <f t="shared" si="0"/>
        <v xml:space="preserve"> </v>
      </c>
      <c r="H44" s="22">
        <f>IF(ISBLANK('FBPQ T4'!E36)," ",'FBPQ T4'!AE36)</f>
        <v>0</v>
      </c>
      <c r="I44" s="22" t="str">
        <f t="shared" si="1"/>
        <v xml:space="preserve"> </v>
      </c>
      <c r="J44" s="34"/>
      <c r="K44" s="34"/>
      <c r="L44" s="34"/>
      <c r="M44" s="34"/>
      <c r="N44" s="45"/>
      <c r="O44" s="44"/>
    </row>
    <row r="45" spans="1:15">
      <c r="A45" s="26"/>
      <c r="B45" s="21"/>
      <c r="C45" s="22" t="s">
        <v>649</v>
      </c>
      <c r="D45" s="26" t="s">
        <v>177</v>
      </c>
      <c r="E45" s="4" t="str">
        <f>IF(ISNUMBER('FBPQ C2'!J37),'FBPQ C2'!J37,IF(ISNUMBER('FBPQ C2'!I37),'FBPQ C2'!I37,""))</f>
        <v/>
      </c>
      <c r="F45" s="30" t="s">
        <v>218</v>
      </c>
      <c r="G45" s="30" t="str">
        <f t="shared" si="0"/>
        <v xml:space="preserve"> </v>
      </c>
      <c r="H45" s="22">
        <f>IF(ISBLANK('FBPQ T4'!E37)," ",'FBPQ T4'!AE37)</f>
        <v>0</v>
      </c>
      <c r="I45" s="22" t="str">
        <f t="shared" si="1"/>
        <v xml:space="preserve"> </v>
      </c>
      <c r="J45" s="34"/>
      <c r="K45" s="34"/>
      <c r="L45" s="34"/>
      <c r="M45" s="34"/>
      <c r="N45" s="45"/>
      <c r="O45" s="46"/>
    </row>
    <row r="46" spans="1:15">
      <c r="A46" s="26"/>
      <c r="B46" s="21"/>
      <c r="C46" s="22"/>
      <c r="D46" s="26"/>
      <c r="E46" s="4" t="str">
        <f>IF(ISNUMBER('FBPQ C2'!J38),'FBPQ C2'!J38,IF(ISNUMBER('FBPQ C2'!I38),'FBPQ C2'!I38,""))</f>
        <v/>
      </c>
      <c r="F46" s="30"/>
      <c r="G46" s="30">
        <f t="shared" si="0"/>
        <v>0</v>
      </c>
      <c r="H46" s="22" t="str">
        <f>IF(ISBLANK('FBPQ T4'!E38)," ",'FBPQ T4'!AE38)</f>
        <v xml:space="preserve"> </v>
      </c>
      <c r="I46" s="22" t="str">
        <f t="shared" si="1"/>
        <v xml:space="preserve"> </v>
      </c>
      <c r="J46" s="34"/>
      <c r="K46" s="34"/>
      <c r="L46" s="34"/>
      <c r="M46" s="34"/>
      <c r="N46" s="45"/>
      <c r="O46" s="46"/>
    </row>
    <row r="47" spans="1:15">
      <c r="A47" s="26"/>
      <c r="B47" s="21" t="s">
        <v>745</v>
      </c>
      <c r="C47" s="22"/>
      <c r="D47" s="26"/>
      <c r="E47" s="4" t="str">
        <f>IF(ISNUMBER('FBPQ C2'!J39),'FBPQ C2'!J39,IF(ISNUMBER('FBPQ C2'!I39),'FBPQ C2'!I39,""))</f>
        <v/>
      </c>
      <c r="F47" s="30"/>
      <c r="G47" s="30">
        <f t="shared" si="0"/>
        <v>0</v>
      </c>
      <c r="H47" s="22" t="str">
        <f>IF(ISBLANK('FBPQ T4'!E39)," ",'FBPQ T4'!AE39)</f>
        <v xml:space="preserve"> </v>
      </c>
      <c r="I47" s="22" t="str">
        <f t="shared" si="1"/>
        <v xml:space="preserve"> </v>
      </c>
      <c r="J47" s="34"/>
      <c r="K47" s="34"/>
      <c r="L47" s="35"/>
      <c r="M47" s="34"/>
      <c r="N47" s="45"/>
      <c r="O47" s="44"/>
    </row>
    <row r="48" spans="1:15">
      <c r="A48" s="26"/>
      <c r="B48" s="21"/>
      <c r="C48" s="22" t="s">
        <v>767</v>
      </c>
      <c r="D48" s="26" t="s">
        <v>744</v>
      </c>
      <c r="E48" s="4">
        <f>IF(ISNUMBER('FBPQ C2'!J40),'FBPQ C2'!J40,IF(ISNUMBER('FBPQ C2'!I40),'FBPQ C2'!I40,""))</f>
        <v>2</v>
      </c>
      <c r="F48" s="30" t="s">
        <v>218</v>
      </c>
      <c r="G48" s="30">
        <f t="shared" si="0"/>
        <v>2</v>
      </c>
      <c r="H48" s="22">
        <f>IF(ISBLANK('FBPQ T4'!E40)," ",'FBPQ T4'!AE40)</f>
        <v>213168</v>
      </c>
      <c r="I48" s="22">
        <f t="shared" si="1"/>
        <v>426336</v>
      </c>
      <c r="J48" s="34"/>
      <c r="K48" s="34"/>
      <c r="L48" s="50"/>
      <c r="M48" s="34"/>
      <c r="N48" s="45"/>
      <c r="O48" s="44"/>
    </row>
    <row r="49" spans="1:15">
      <c r="A49" s="26"/>
      <c r="B49" s="21"/>
      <c r="C49" s="22" t="s">
        <v>768</v>
      </c>
      <c r="D49" s="26" t="s">
        <v>744</v>
      </c>
      <c r="E49" s="4" t="str">
        <f>IF(ISNUMBER('FBPQ C2'!J41),'FBPQ C2'!J41,IF(ISNUMBER('FBPQ C2'!I41),'FBPQ C2'!I41,""))</f>
        <v/>
      </c>
      <c r="F49" s="30" t="s">
        <v>218</v>
      </c>
      <c r="G49" s="30" t="str">
        <f t="shared" si="0"/>
        <v xml:space="preserve"> </v>
      </c>
      <c r="H49" s="22">
        <f>IF(ISBLANK('FBPQ T4'!E41)," ",'FBPQ T4'!AE41)</f>
        <v>0</v>
      </c>
      <c r="I49" s="22" t="str">
        <f t="shared" si="1"/>
        <v xml:space="preserve"> </v>
      </c>
      <c r="J49" s="34"/>
      <c r="K49" s="34"/>
      <c r="L49" s="35"/>
      <c r="M49" s="34"/>
      <c r="N49" s="45"/>
      <c r="O49" s="46"/>
    </row>
    <row r="50" spans="1:15">
      <c r="A50" s="26"/>
      <c r="B50" s="21"/>
      <c r="C50" s="22"/>
      <c r="D50" s="26"/>
      <c r="E50" s="4" t="str">
        <f>IF(ISNUMBER('FBPQ C2'!J42),'FBPQ C2'!J42,IF(ISNUMBER('FBPQ C2'!I42),'FBPQ C2'!I42,""))</f>
        <v/>
      </c>
      <c r="F50" s="30" t="s">
        <v>218</v>
      </c>
      <c r="G50" s="30" t="str">
        <f t="shared" si="0"/>
        <v>DATA</v>
      </c>
      <c r="H50" s="22" t="str">
        <f>IF(ISBLANK('FBPQ T4'!E42)," ",'FBPQ T4'!AE42)</f>
        <v xml:space="preserve"> </v>
      </c>
      <c r="I50" s="22" t="str">
        <f t="shared" si="1"/>
        <v xml:space="preserve"> </v>
      </c>
      <c r="J50" s="34"/>
      <c r="K50" s="34"/>
      <c r="L50" s="34"/>
      <c r="M50" s="34"/>
      <c r="N50" s="45"/>
      <c r="O50" s="46"/>
    </row>
    <row r="51" spans="1:15">
      <c r="A51" s="26"/>
      <c r="B51" s="21" t="s">
        <v>769</v>
      </c>
      <c r="C51" s="22"/>
      <c r="D51" s="26"/>
      <c r="E51" s="4" t="str">
        <f>IF(ISNUMBER('FBPQ C2'!J43),'FBPQ C2'!J43,IF(ISNUMBER('FBPQ C2'!I43),'FBPQ C2'!I43,""))</f>
        <v/>
      </c>
      <c r="F51" s="30"/>
      <c r="G51" s="30">
        <f t="shared" si="0"/>
        <v>0</v>
      </c>
      <c r="H51" s="22" t="str">
        <f>IF(ISBLANK('FBPQ T4'!E43)," ",'FBPQ T4'!AE43)</f>
        <v xml:space="preserve"> </v>
      </c>
      <c r="I51" s="22" t="str">
        <f t="shared" si="1"/>
        <v xml:space="preserve"> </v>
      </c>
      <c r="J51" s="34"/>
      <c r="K51" s="34"/>
      <c r="L51" s="35"/>
      <c r="M51" s="34"/>
      <c r="N51" s="45"/>
      <c r="O51" s="44"/>
    </row>
    <row r="52" spans="1:15">
      <c r="A52" s="26"/>
      <c r="B52" s="21"/>
      <c r="C52" s="22" t="s">
        <v>770</v>
      </c>
      <c r="D52" s="26" t="s">
        <v>177</v>
      </c>
      <c r="E52" s="4">
        <f>IF(ISNUMBER('FBPQ C2'!J44),'FBPQ C2'!J44,IF(ISNUMBER('FBPQ C2'!I44),'FBPQ C2'!I44,""))</f>
        <v>84.05</v>
      </c>
      <c r="F52" s="30" t="s">
        <v>218</v>
      </c>
      <c r="G52" s="30">
        <f t="shared" ref="G52:G83" si="2">IF(ISNUMBER(E52),E52,IF(H52&gt;0,F52," "))</f>
        <v>84.05</v>
      </c>
      <c r="H52" s="22">
        <f>IF(ISBLANK('FBPQ T4'!E44)," ",'FBPQ T4'!AE44)</f>
        <v>6617.3</v>
      </c>
      <c r="I52" s="22">
        <f t="shared" si="1"/>
        <v>556184.06499999994</v>
      </c>
      <c r="J52" s="34"/>
      <c r="K52" s="34"/>
      <c r="L52" s="35"/>
      <c r="M52" s="34"/>
      <c r="N52" s="45"/>
      <c r="O52" s="44"/>
    </row>
    <row r="53" spans="1:15">
      <c r="A53" s="26"/>
      <c r="B53" s="21"/>
      <c r="C53" s="22" t="s">
        <v>771</v>
      </c>
      <c r="D53" s="26" t="s">
        <v>177</v>
      </c>
      <c r="E53" s="4" t="str">
        <f>IF(ISNUMBER('FBPQ C2'!J45),'FBPQ C2'!J45,IF(ISNUMBER('FBPQ C2'!I45),'FBPQ C2'!I45,""))</f>
        <v/>
      </c>
      <c r="F53" s="30" t="s">
        <v>218</v>
      </c>
      <c r="G53" s="30" t="str">
        <f t="shared" si="2"/>
        <v xml:space="preserve"> </v>
      </c>
      <c r="H53" s="22">
        <f>IF(ISBLANK('FBPQ T4'!E45)," ",'FBPQ T4'!AE45)</f>
        <v>0</v>
      </c>
      <c r="I53" s="22" t="str">
        <f t="shared" si="1"/>
        <v xml:space="preserve"> </v>
      </c>
      <c r="J53" s="34"/>
      <c r="K53" s="34"/>
      <c r="L53" s="35"/>
      <c r="M53" s="34"/>
      <c r="N53" s="45"/>
      <c r="O53" s="46"/>
    </row>
    <row r="54" spans="1:15">
      <c r="A54" s="26"/>
      <c r="B54" s="21"/>
      <c r="C54" s="22"/>
      <c r="D54" s="26"/>
      <c r="E54" s="4" t="str">
        <f>IF(ISNUMBER('FBPQ C2'!J46),'FBPQ C2'!J46,IF(ISNUMBER('FBPQ C2'!I46),'FBPQ C2'!I46,""))</f>
        <v/>
      </c>
      <c r="F54" s="30"/>
      <c r="G54" s="30">
        <f t="shared" si="2"/>
        <v>0</v>
      </c>
      <c r="H54" s="22" t="str">
        <f>IF(ISBLANK('FBPQ T4'!E46)," ",'FBPQ T4'!AE46)</f>
        <v xml:space="preserve"> </v>
      </c>
      <c r="I54" s="22" t="str">
        <f t="shared" si="1"/>
        <v xml:space="preserve"> </v>
      </c>
      <c r="J54" s="34"/>
      <c r="K54" s="34"/>
      <c r="L54" s="35"/>
      <c r="M54" s="34"/>
      <c r="N54" s="45"/>
      <c r="O54" s="46"/>
    </row>
    <row r="55" spans="1:15">
      <c r="A55" s="26"/>
      <c r="B55" s="21" t="s">
        <v>68</v>
      </c>
      <c r="C55" s="22"/>
      <c r="D55" s="26"/>
      <c r="E55" s="4" t="str">
        <f>IF(ISNUMBER('FBPQ C2'!J47),'FBPQ C2'!J47,IF(ISNUMBER('FBPQ C2'!I47),'FBPQ C2'!I47,""))</f>
        <v/>
      </c>
      <c r="F55" s="30"/>
      <c r="G55" s="30">
        <f t="shared" si="2"/>
        <v>0</v>
      </c>
      <c r="H55" s="22" t="str">
        <f>IF(ISBLANK('FBPQ T4'!E47)," ",'FBPQ T4'!AE47)</f>
        <v xml:space="preserve"> </v>
      </c>
      <c r="I55" s="22" t="str">
        <f t="shared" si="1"/>
        <v xml:space="preserve"> </v>
      </c>
      <c r="J55" s="34"/>
      <c r="K55" s="34"/>
      <c r="L55" s="35"/>
      <c r="M55" s="34"/>
      <c r="N55" s="45"/>
      <c r="O55" s="44"/>
    </row>
    <row r="56" spans="1:15">
      <c r="A56" s="26"/>
      <c r="B56" s="21"/>
      <c r="C56" s="22" t="s">
        <v>69</v>
      </c>
      <c r="D56" s="26" t="s">
        <v>177</v>
      </c>
      <c r="E56" s="4">
        <f>IF(ISNUMBER('FBPQ C2'!J48),'FBPQ C2'!J48,IF(ISNUMBER('FBPQ C2'!I48),'FBPQ C2'!I48,""))</f>
        <v>535</v>
      </c>
      <c r="F56" s="30" t="s">
        <v>218</v>
      </c>
      <c r="G56" s="30">
        <f t="shared" si="2"/>
        <v>535</v>
      </c>
      <c r="H56" s="22">
        <f>IF(ISBLANK('FBPQ T4'!E48)," ",'FBPQ T4'!AE48)</f>
        <v>20</v>
      </c>
      <c r="I56" s="22">
        <f t="shared" si="1"/>
        <v>10700</v>
      </c>
      <c r="J56" s="34"/>
      <c r="K56" s="34"/>
      <c r="L56" s="35"/>
      <c r="M56" s="34"/>
      <c r="N56" s="45"/>
      <c r="O56" s="46"/>
    </row>
    <row r="57" spans="1:15">
      <c r="A57" s="26"/>
      <c r="B57" s="21"/>
      <c r="C57" s="22"/>
      <c r="D57" s="26"/>
      <c r="E57" s="4" t="str">
        <f>IF(ISNUMBER('FBPQ C2'!J49),'FBPQ C2'!J49,IF(ISNUMBER('FBPQ C2'!I49),'FBPQ C2'!I49,""))</f>
        <v/>
      </c>
      <c r="F57" s="30" t="s">
        <v>218</v>
      </c>
      <c r="G57" s="30" t="str">
        <f t="shared" si="2"/>
        <v>DATA</v>
      </c>
      <c r="H57" s="22" t="str">
        <f>IF(ISBLANK('FBPQ T4'!E49)," ",'FBPQ T4'!AE49)</f>
        <v xml:space="preserve"> </v>
      </c>
      <c r="I57" s="22" t="str">
        <f t="shared" si="1"/>
        <v xml:space="preserve"> </v>
      </c>
      <c r="J57" s="34"/>
      <c r="K57" s="34"/>
      <c r="L57" s="35"/>
      <c r="M57" s="34"/>
      <c r="N57" s="45"/>
      <c r="O57" s="46"/>
    </row>
    <row r="58" spans="1:15">
      <c r="A58" s="26"/>
      <c r="B58" s="21" t="s">
        <v>637</v>
      </c>
      <c r="C58" s="22"/>
      <c r="D58" s="26"/>
      <c r="E58" s="4" t="str">
        <f>IF(ISNUMBER('FBPQ C2'!J50),'FBPQ C2'!J50,IF(ISNUMBER('FBPQ C2'!I50),'FBPQ C2'!I50,""))</f>
        <v/>
      </c>
      <c r="F58" s="30"/>
      <c r="G58" s="30">
        <f t="shared" si="2"/>
        <v>0</v>
      </c>
      <c r="H58" s="22" t="str">
        <f>IF(ISBLANK('FBPQ T4'!E50)," ",'FBPQ T4'!AE50)</f>
        <v xml:space="preserve"> </v>
      </c>
      <c r="I58" s="22" t="str">
        <f t="shared" si="1"/>
        <v xml:space="preserve"> </v>
      </c>
      <c r="J58" s="34"/>
      <c r="K58" s="34"/>
      <c r="L58" s="35"/>
      <c r="M58" s="34"/>
      <c r="N58" s="45"/>
      <c r="O58" s="44"/>
    </row>
    <row r="59" spans="1:15">
      <c r="A59" s="26"/>
      <c r="B59" s="21"/>
      <c r="C59" s="22" t="s">
        <v>70</v>
      </c>
      <c r="D59" s="26" t="s">
        <v>744</v>
      </c>
      <c r="E59" s="4">
        <f>IF(ISNUMBER('FBPQ C2'!J51),'FBPQ C2'!J51,IF(ISNUMBER('FBPQ C2'!I51),'FBPQ C2'!I51,""))</f>
        <v>8.23</v>
      </c>
      <c r="F59" s="30" t="s">
        <v>218</v>
      </c>
      <c r="G59" s="30">
        <f t="shared" si="2"/>
        <v>8.23</v>
      </c>
      <c r="H59" s="22">
        <f>IF(ISBLANK('FBPQ T4'!E51)," ",'FBPQ T4'!AE51)</f>
        <v>697</v>
      </c>
      <c r="I59" s="22">
        <f t="shared" si="1"/>
        <v>5736.31</v>
      </c>
      <c r="J59" s="34"/>
      <c r="K59" s="34"/>
      <c r="L59" s="35"/>
      <c r="M59" s="34"/>
      <c r="N59" s="45"/>
      <c r="O59" s="44"/>
    </row>
    <row r="60" spans="1:15">
      <c r="A60" s="26"/>
      <c r="B60" s="21"/>
      <c r="C60" s="22" t="s">
        <v>80</v>
      </c>
      <c r="D60" s="26" t="s">
        <v>744</v>
      </c>
      <c r="E60" s="4">
        <f>IF(ISNUMBER('FBPQ C2'!J52),'FBPQ C2'!J52,IF(ISNUMBER('FBPQ C2'!I52),'FBPQ C2'!I52,""))</f>
        <v>24.46</v>
      </c>
      <c r="F60" s="30" t="s">
        <v>218</v>
      </c>
      <c r="G60" s="30">
        <f t="shared" si="2"/>
        <v>24.46</v>
      </c>
      <c r="H60" s="22">
        <f>IF(ISBLANK('FBPQ T4'!E52)," ",'FBPQ T4'!AE52)</f>
        <v>4133</v>
      </c>
      <c r="I60" s="22">
        <f t="shared" si="1"/>
        <v>101093.18000000001</v>
      </c>
      <c r="J60" s="34"/>
      <c r="K60" s="34"/>
      <c r="L60" s="35"/>
      <c r="M60" s="34"/>
      <c r="N60" s="45"/>
      <c r="O60" s="44"/>
    </row>
    <row r="61" spans="1:15">
      <c r="A61" s="26"/>
      <c r="B61" s="21"/>
      <c r="C61" s="22" t="s">
        <v>81</v>
      </c>
      <c r="D61" s="26" t="s">
        <v>744</v>
      </c>
      <c r="E61" s="4">
        <f>IF(ISNUMBER('FBPQ C2'!J53),'FBPQ C2'!J53,IF(ISNUMBER('FBPQ C2'!I53),'FBPQ C2'!I53,""))</f>
        <v>6.83</v>
      </c>
      <c r="F61" s="30" t="s">
        <v>218</v>
      </c>
      <c r="G61" s="30">
        <f t="shared" si="2"/>
        <v>6.83</v>
      </c>
      <c r="H61" s="22">
        <f>IF(ISBLANK('FBPQ T4'!E53)," ",'FBPQ T4'!AE53)</f>
        <v>140</v>
      </c>
      <c r="I61" s="22">
        <f t="shared" si="1"/>
        <v>956.2</v>
      </c>
      <c r="J61" s="34"/>
      <c r="K61" s="34"/>
      <c r="L61" s="35"/>
      <c r="M61" s="34"/>
      <c r="N61" s="45"/>
      <c r="O61" s="44"/>
    </row>
    <row r="62" spans="1:15">
      <c r="A62" s="26"/>
      <c r="B62" s="21"/>
      <c r="C62" s="22" t="s">
        <v>82</v>
      </c>
      <c r="D62" s="26" t="s">
        <v>744</v>
      </c>
      <c r="E62" s="4">
        <f>IF(ISNUMBER('FBPQ C2'!J54),'FBPQ C2'!J54,IF(ISNUMBER('FBPQ C2'!I54),'FBPQ C2'!I54,""))</f>
        <v>10.02</v>
      </c>
      <c r="F62" s="30" t="s">
        <v>218</v>
      </c>
      <c r="G62" s="30">
        <f t="shared" si="2"/>
        <v>10.02</v>
      </c>
      <c r="H62" s="22">
        <f>IF(ISBLANK('FBPQ T4'!E54)," ",'FBPQ T4'!AE54)</f>
        <v>8698</v>
      </c>
      <c r="I62" s="22">
        <f t="shared" si="1"/>
        <v>87153.959999999992</v>
      </c>
      <c r="J62" s="34"/>
      <c r="K62" s="34"/>
      <c r="L62" s="35"/>
      <c r="M62" s="34"/>
      <c r="N62" s="45"/>
      <c r="O62" s="44"/>
    </row>
    <row r="63" spans="1:15">
      <c r="A63" s="26"/>
      <c r="B63" s="21"/>
      <c r="C63" s="22" t="s">
        <v>782</v>
      </c>
      <c r="D63" s="26" t="s">
        <v>744</v>
      </c>
      <c r="E63" s="4">
        <f>IF(ISNUMBER('FBPQ C2'!J55),'FBPQ C2'!J55,IF(ISNUMBER('FBPQ C2'!I55),'FBPQ C2'!I55,""))</f>
        <v>12.15</v>
      </c>
      <c r="F63" s="30" t="s">
        <v>218</v>
      </c>
      <c r="G63" s="30">
        <f t="shared" si="2"/>
        <v>12.15</v>
      </c>
      <c r="H63" s="22">
        <f>IF(ISBLANK('FBPQ T4'!E55)," ",'FBPQ T4'!AE55)</f>
        <v>7141</v>
      </c>
      <c r="I63" s="22">
        <f t="shared" si="1"/>
        <v>86763.150000000009</v>
      </c>
      <c r="J63" s="34"/>
      <c r="K63" s="34"/>
      <c r="L63" s="35"/>
      <c r="M63" s="34"/>
      <c r="N63" s="45"/>
      <c r="O63" s="47"/>
    </row>
    <row r="64" spans="1:15">
      <c r="A64" s="26"/>
      <c r="B64" s="21"/>
      <c r="C64" s="22" t="s">
        <v>783</v>
      </c>
      <c r="D64" s="26" t="s">
        <v>744</v>
      </c>
      <c r="E64" s="4" t="str">
        <f>IF(ISNUMBER('FBPQ C2'!J56),'FBPQ C2'!J56,IF(ISNUMBER('FBPQ C2'!I56),'FBPQ C2'!I56,""))</f>
        <v/>
      </c>
      <c r="F64" s="30" t="s">
        <v>218</v>
      </c>
      <c r="G64" s="30" t="str">
        <f t="shared" si="2"/>
        <v>DATA</v>
      </c>
      <c r="H64" s="22">
        <f>IF(ISBLANK('FBPQ T4'!E56)," ",'FBPQ T4'!AE56)</f>
        <v>23664</v>
      </c>
      <c r="I64" s="22" t="str">
        <f t="shared" si="1"/>
        <v xml:space="preserve"> </v>
      </c>
      <c r="J64" s="34"/>
      <c r="K64" s="34"/>
      <c r="L64" s="35"/>
      <c r="M64" s="34"/>
      <c r="N64" s="45"/>
      <c r="O64" s="47"/>
    </row>
    <row r="65" spans="1:15">
      <c r="A65" s="26"/>
      <c r="B65" s="21"/>
      <c r="C65" s="22" t="s">
        <v>72</v>
      </c>
      <c r="D65" s="26" t="s">
        <v>744</v>
      </c>
      <c r="E65" s="4" t="str">
        <f>IF(ISNUMBER('FBPQ C2'!J57),'FBPQ C2'!J57,IF(ISNUMBER('FBPQ C2'!I57),'FBPQ C2'!I57,""))</f>
        <v/>
      </c>
      <c r="F65" s="30" t="s">
        <v>218</v>
      </c>
      <c r="G65" s="30" t="str">
        <f t="shared" si="2"/>
        <v>DATA</v>
      </c>
      <c r="H65" s="22">
        <f>IF(ISBLANK('FBPQ T4'!E57)," ",'FBPQ T4'!AE57)</f>
        <v>21</v>
      </c>
      <c r="I65" s="22" t="str">
        <f t="shared" si="1"/>
        <v xml:space="preserve"> </v>
      </c>
      <c r="J65" s="34"/>
      <c r="K65" s="34"/>
      <c r="L65" s="35"/>
      <c r="M65" s="34"/>
      <c r="N65" s="45"/>
      <c r="O65" s="44"/>
    </row>
    <row r="66" spans="1:15">
      <c r="A66" s="26"/>
      <c r="B66" s="21"/>
      <c r="C66" s="22" t="s">
        <v>662</v>
      </c>
      <c r="D66" s="26" t="s">
        <v>744</v>
      </c>
      <c r="E66" s="4" t="str">
        <f>IF(ISNUMBER('FBPQ C2'!J58),'FBPQ C2'!J58,IF(ISNUMBER('FBPQ C2'!I58),'FBPQ C2'!I58,""))</f>
        <v/>
      </c>
      <c r="F66" s="30" t="s">
        <v>218</v>
      </c>
      <c r="G66" s="30" t="str">
        <f t="shared" si="2"/>
        <v xml:space="preserve"> </v>
      </c>
      <c r="H66" s="22">
        <f>IF(ISBLANK('FBPQ T4'!E58)," ",'FBPQ T4'!AE58)</f>
        <v>0</v>
      </c>
      <c r="I66" s="22" t="str">
        <f t="shared" si="1"/>
        <v xml:space="preserve"> </v>
      </c>
      <c r="J66" s="34"/>
      <c r="K66" s="34"/>
      <c r="L66" s="34"/>
      <c r="M66" s="34"/>
      <c r="N66" s="45"/>
      <c r="O66" s="44"/>
    </row>
    <row r="67" spans="1:15">
      <c r="A67" s="26"/>
      <c r="B67" s="21"/>
      <c r="C67" s="22" t="s">
        <v>501</v>
      </c>
      <c r="D67" s="26" t="s">
        <v>744</v>
      </c>
      <c r="E67" s="4" t="str">
        <f>IF(ISNUMBER('FBPQ C2'!J59),'FBPQ C2'!J59,IF(ISNUMBER('FBPQ C2'!I59),'FBPQ C2'!I59,""))</f>
        <v/>
      </c>
      <c r="F67" s="30" t="s">
        <v>218</v>
      </c>
      <c r="G67" s="30" t="str">
        <f t="shared" si="2"/>
        <v xml:space="preserve"> </v>
      </c>
      <c r="H67" s="22">
        <f>IF(ISBLANK('FBPQ T4'!E59)," ",'FBPQ T4'!AE59)</f>
        <v>0</v>
      </c>
      <c r="I67" s="22" t="str">
        <f t="shared" si="1"/>
        <v xml:space="preserve"> </v>
      </c>
      <c r="J67" s="34"/>
      <c r="K67" s="34"/>
      <c r="L67" s="34"/>
      <c r="M67" s="34"/>
      <c r="N67" s="45"/>
      <c r="O67" s="44"/>
    </row>
    <row r="68" spans="1:15">
      <c r="A68" s="26"/>
      <c r="B68" s="21"/>
      <c r="C68" s="22" t="s">
        <v>502</v>
      </c>
      <c r="D68" s="26" t="s">
        <v>744</v>
      </c>
      <c r="E68" s="4" t="str">
        <f>IF(ISNUMBER('FBPQ C2'!J60),'FBPQ C2'!J60,IF(ISNUMBER('FBPQ C2'!I60),'FBPQ C2'!I60,""))</f>
        <v/>
      </c>
      <c r="F68" s="30" t="s">
        <v>218</v>
      </c>
      <c r="G68" s="30" t="str">
        <f t="shared" si="2"/>
        <v xml:space="preserve"> </v>
      </c>
      <c r="H68" s="22">
        <f>IF(ISBLANK('FBPQ T4'!E60)," ",'FBPQ T4'!AE60)</f>
        <v>0</v>
      </c>
      <c r="I68" s="22" t="str">
        <f t="shared" si="1"/>
        <v xml:space="preserve"> </v>
      </c>
      <c r="J68" s="34"/>
      <c r="K68" s="34"/>
      <c r="L68" s="35"/>
      <c r="M68" s="34"/>
      <c r="N68" s="45"/>
      <c r="O68" s="44"/>
    </row>
    <row r="69" spans="1:15">
      <c r="A69" s="26"/>
      <c r="B69" s="21"/>
      <c r="C69" s="22" t="s">
        <v>503</v>
      </c>
      <c r="D69" s="26" t="s">
        <v>744</v>
      </c>
      <c r="E69" s="4" t="str">
        <f>IF(ISNUMBER('FBPQ C2'!J61),'FBPQ C2'!J61,IF(ISNUMBER('FBPQ C2'!I61),'FBPQ C2'!I61,""))</f>
        <v/>
      </c>
      <c r="F69" s="30" t="s">
        <v>218</v>
      </c>
      <c r="G69" s="30" t="str">
        <f t="shared" si="2"/>
        <v xml:space="preserve"> </v>
      </c>
      <c r="H69" s="22">
        <f>IF(ISBLANK('FBPQ T4'!E61)," ",'FBPQ T4'!AE61)</f>
        <v>0</v>
      </c>
      <c r="I69" s="22" t="str">
        <f t="shared" si="1"/>
        <v xml:space="preserve"> </v>
      </c>
      <c r="J69" s="34"/>
      <c r="K69" s="34"/>
      <c r="L69" s="35"/>
      <c r="M69" s="34"/>
      <c r="N69" s="45"/>
      <c r="O69" s="44"/>
    </row>
    <row r="70" spans="1:15">
      <c r="A70" s="26"/>
      <c r="B70" s="21"/>
      <c r="C70" s="22" t="s">
        <v>506</v>
      </c>
      <c r="D70" s="26" t="s">
        <v>744</v>
      </c>
      <c r="E70" s="4" t="str">
        <f>IF(ISNUMBER('FBPQ C2'!J62),'FBPQ C2'!J62,IF(ISNUMBER('FBPQ C2'!I62),'FBPQ C2'!I62,""))</f>
        <v/>
      </c>
      <c r="F70" s="30" t="s">
        <v>218</v>
      </c>
      <c r="G70" s="30" t="str">
        <f t="shared" si="2"/>
        <v xml:space="preserve"> </v>
      </c>
      <c r="H70" s="22">
        <f>IF(ISBLANK('FBPQ T4'!E62)," ",'FBPQ T4'!AE62)</f>
        <v>0</v>
      </c>
      <c r="I70" s="22" t="str">
        <f t="shared" si="1"/>
        <v xml:space="preserve"> </v>
      </c>
      <c r="J70" s="34"/>
      <c r="K70" s="34"/>
      <c r="L70" s="35"/>
      <c r="M70" s="34"/>
      <c r="N70" s="45"/>
      <c r="O70" s="47"/>
    </row>
    <row r="71" spans="1:15">
      <c r="A71" s="26"/>
      <c r="B71" s="21"/>
      <c r="C71" s="22" t="s">
        <v>665</v>
      </c>
      <c r="D71" s="26" t="s">
        <v>744</v>
      </c>
      <c r="E71" s="4" t="str">
        <f>IF(ISNUMBER('FBPQ C2'!J63),'FBPQ C2'!J63,IF(ISNUMBER('FBPQ C2'!I63),'FBPQ C2'!I63,""))</f>
        <v/>
      </c>
      <c r="F71" s="30" t="s">
        <v>218</v>
      </c>
      <c r="G71" s="30" t="str">
        <f t="shared" si="2"/>
        <v xml:space="preserve"> </v>
      </c>
      <c r="H71" s="22">
        <f>IF(ISBLANK('FBPQ T4'!E63)," ",'FBPQ T4'!AE63)</f>
        <v>0</v>
      </c>
      <c r="I71" s="22" t="str">
        <f t="shared" si="1"/>
        <v xml:space="preserve"> </v>
      </c>
      <c r="J71" s="34"/>
      <c r="K71" s="34"/>
      <c r="L71" s="35"/>
      <c r="M71" s="34"/>
      <c r="N71" s="45"/>
      <c r="O71" s="47"/>
    </row>
    <row r="72" spans="1:15">
      <c r="A72" s="26"/>
      <c r="B72" s="21"/>
      <c r="C72" s="22" t="s">
        <v>511</v>
      </c>
      <c r="D72" s="26" t="s">
        <v>744</v>
      </c>
      <c r="E72" s="4" t="str">
        <f>IF(ISNUMBER('FBPQ C2'!J64),'FBPQ C2'!J64,IF(ISNUMBER('FBPQ C2'!I64),'FBPQ C2'!I64,""))</f>
        <v/>
      </c>
      <c r="F72" s="30" t="s">
        <v>218</v>
      </c>
      <c r="G72" s="30" t="str">
        <f t="shared" si="2"/>
        <v xml:space="preserve"> </v>
      </c>
      <c r="H72" s="22">
        <f>IF(ISBLANK('FBPQ T4'!E64)," ",'FBPQ T4'!AE64)</f>
        <v>0</v>
      </c>
      <c r="I72" s="22" t="str">
        <f t="shared" si="1"/>
        <v xml:space="preserve"> </v>
      </c>
      <c r="J72" s="34"/>
      <c r="K72" s="34"/>
      <c r="L72" s="35"/>
      <c r="M72" s="34"/>
      <c r="N72" s="45"/>
      <c r="O72" s="46"/>
    </row>
    <row r="73" spans="1:15">
      <c r="A73" s="26"/>
      <c r="B73" s="21"/>
      <c r="C73" s="22"/>
      <c r="D73" s="26"/>
      <c r="E73" s="4" t="str">
        <f>IF(ISNUMBER('FBPQ C2'!J65),'FBPQ C2'!J65,IF(ISNUMBER('FBPQ C2'!I65),'FBPQ C2'!I65,""))</f>
        <v/>
      </c>
      <c r="F73" s="30"/>
      <c r="G73" s="30">
        <f t="shared" si="2"/>
        <v>0</v>
      </c>
      <c r="H73" s="22" t="str">
        <f>IF(ISBLANK('FBPQ T4'!E65)," ",'FBPQ T4'!AE65)</f>
        <v xml:space="preserve"> </v>
      </c>
      <c r="I73" s="22" t="str">
        <f t="shared" si="1"/>
        <v xml:space="preserve"> </v>
      </c>
      <c r="J73" s="34"/>
      <c r="K73" s="34"/>
      <c r="L73" s="35"/>
      <c r="M73" s="34"/>
      <c r="N73" s="45"/>
      <c r="O73" s="46"/>
    </row>
    <row r="74" spans="1:15">
      <c r="A74" s="26"/>
      <c r="B74" s="21" t="s">
        <v>512</v>
      </c>
      <c r="C74" s="22"/>
      <c r="D74" s="26"/>
      <c r="E74" s="4" t="str">
        <f>IF(ISNUMBER('FBPQ C2'!J66),'FBPQ C2'!J66,IF(ISNUMBER('FBPQ C2'!I66),'FBPQ C2'!I66,""))</f>
        <v/>
      </c>
      <c r="F74" s="30"/>
      <c r="G74" s="30">
        <f t="shared" si="2"/>
        <v>0</v>
      </c>
      <c r="H74" s="22" t="str">
        <f>IF(ISBLANK('FBPQ T4'!E66)," ",'FBPQ T4'!AE66)</f>
        <v xml:space="preserve"> </v>
      </c>
      <c r="I74" s="22" t="str">
        <f t="shared" si="1"/>
        <v xml:space="preserve"> </v>
      </c>
      <c r="J74" s="34"/>
      <c r="K74" s="34"/>
      <c r="L74" s="35"/>
      <c r="M74" s="34"/>
      <c r="N74" s="45"/>
      <c r="O74" s="44"/>
    </row>
    <row r="75" spans="1:15">
      <c r="A75" s="26"/>
      <c r="B75" s="21"/>
      <c r="C75" s="22" t="s">
        <v>513</v>
      </c>
      <c r="D75" s="26" t="s">
        <v>744</v>
      </c>
      <c r="E75" s="4">
        <f>IF(ISNUMBER('FBPQ C2'!J67),'FBPQ C2'!J67,IF(ISNUMBER('FBPQ C2'!I67),'FBPQ C2'!I67,""))</f>
        <v>1.74</v>
      </c>
      <c r="F75" s="30" t="s">
        <v>218</v>
      </c>
      <c r="G75" s="30">
        <f t="shared" si="2"/>
        <v>1.74</v>
      </c>
      <c r="H75" s="22">
        <f>IF(ISBLANK('FBPQ T4'!E67)," ",'FBPQ T4'!AE67)</f>
        <v>38122</v>
      </c>
      <c r="I75" s="22">
        <f t="shared" si="1"/>
        <v>66332.28</v>
      </c>
      <c r="J75" s="34"/>
      <c r="K75" s="34"/>
      <c r="L75" s="35"/>
      <c r="M75" s="34"/>
      <c r="N75" s="45"/>
      <c r="O75" s="44"/>
    </row>
    <row r="76" spans="1:15">
      <c r="A76" s="26"/>
      <c r="B76" s="21"/>
      <c r="C76" s="22" t="s">
        <v>514</v>
      </c>
      <c r="D76" s="26" t="s">
        <v>744</v>
      </c>
      <c r="E76" s="4">
        <f>IF(ISNUMBER('FBPQ C2'!J68),'FBPQ C2'!J68,IF(ISNUMBER('FBPQ C2'!I68),'FBPQ C2'!I68,""))</f>
        <v>12.74</v>
      </c>
      <c r="F76" s="30" t="s">
        <v>218</v>
      </c>
      <c r="G76" s="30">
        <f t="shared" si="2"/>
        <v>12.74</v>
      </c>
      <c r="H76" s="22">
        <f>IF(ISBLANK('FBPQ T4'!E68)," ",'FBPQ T4'!AE68)</f>
        <v>12901</v>
      </c>
      <c r="I76" s="22">
        <f t="shared" si="1"/>
        <v>164358.74</v>
      </c>
      <c r="J76" s="34"/>
      <c r="K76" s="34"/>
      <c r="L76" s="35"/>
      <c r="M76" s="34"/>
      <c r="N76" s="45"/>
      <c r="O76" s="44"/>
    </row>
    <row r="77" spans="1:15">
      <c r="A77" s="26"/>
      <c r="B77" s="21"/>
      <c r="C77" s="22" t="s">
        <v>515</v>
      </c>
      <c r="D77" s="26" t="s">
        <v>744</v>
      </c>
      <c r="E77" s="4" t="str">
        <f>IF(ISNUMBER('FBPQ C2'!J69),'FBPQ C2'!J69,IF(ISNUMBER('FBPQ C2'!I69),'FBPQ C2'!I69,""))</f>
        <v/>
      </c>
      <c r="F77" s="30" t="s">
        <v>218</v>
      </c>
      <c r="G77" s="30" t="str">
        <f t="shared" si="2"/>
        <v xml:space="preserve"> </v>
      </c>
      <c r="H77" s="22">
        <f>IF(ISBLANK('FBPQ T4'!E69)," ",'FBPQ T4'!AE69)</f>
        <v>0</v>
      </c>
      <c r="I77" s="22" t="str">
        <f t="shared" si="1"/>
        <v xml:space="preserve"> </v>
      </c>
      <c r="J77" s="34"/>
      <c r="K77" s="34"/>
      <c r="L77" s="35"/>
      <c r="M77" s="34"/>
      <c r="N77" s="45"/>
      <c r="O77" s="44"/>
    </row>
    <row r="78" spans="1:15">
      <c r="A78" s="26"/>
      <c r="B78" s="21"/>
      <c r="C78" s="22" t="s">
        <v>516</v>
      </c>
      <c r="D78" s="26" t="s">
        <v>744</v>
      </c>
      <c r="E78" s="4" t="str">
        <f>IF(ISNUMBER('FBPQ C2'!J70),'FBPQ C2'!J70,IF(ISNUMBER('FBPQ C2'!I70),'FBPQ C2'!I70,""))</f>
        <v/>
      </c>
      <c r="F78" s="30" t="s">
        <v>218</v>
      </c>
      <c r="G78" s="30" t="str">
        <f t="shared" si="2"/>
        <v xml:space="preserve"> </v>
      </c>
      <c r="H78" s="22">
        <f>IF(ISBLANK('FBPQ T4'!E70)," ",'FBPQ T4'!AE70)</f>
        <v>0</v>
      </c>
      <c r="I78" s="22" t="str">
        <f t="shared" si="1"/>
        <v xml:space="preserve"> </v>
      </c>
      <c r="J78" s="34"/>
      <c r="K78" s="34"/>
      <c r="L78" s="35"/>
      <c r="M78" s="34"/>
      <c r="N78" s="45"/>
      <c r="O78" s="46"/>
    </row>
    <row r="79" spans="1:15">
      <c r="A79" s="26"/>
      <c r="B79" s="21"/>
      <c r="C79" s="22"/>
      <c r="D79" s="26"/>
      <c r="E79" s="4" t="str">
        <f>IF(ISNUMBER('FBPQ C2'!J71),'FBPQ C2'!J71,IF(ISNUMBER('FBPQ C2'!I71),'FBPQ C2'!I71,""))</f>
        <v/>
      </c>
      <c r="F79" s="30"/>
      <c r="G79" s="30">
        <f t="shared" si="2"/>
        <v>0</v>
      </c>
      <c r="H79" s="22" t="str">
        <f>IF(ISBLANK('FBPQ T4'!E71)," ",'FBPQ T4'!AE71)</f>
        <v xml:space="preserve"> </v>
      </c>
      <c r="I79" s="22" t="str">
        <f t="shared" si="1"/>
        <v xml:space="preserve"> </v>
      </c>
      <c r="J79" s="48"/>
      <c r="K79" s="48"/>
      <c r="L79" s="48"/>
      <c r="M79" s="48"/>
      <c r="N79" s="49"/>
      <c r="O79" s="46"/>
    </row>
    <row r="80" spans="1:15">
      <c r="A80" s="26" t="s">
        <v>530</v>
      </c>
      <c r="B80" s="21"/>
      <c r="C80" s="22"/>
      <c r="D80" s="26"/>
      <c r="E80" s="4" t="str">
        <f>IF(ISNUMBER('FBPQ C2'!J72),'FBPQ C2'!J72,IF(ISNUMBER('FBPQ C2'!I72),'FBPQ C2'!I72,""))</f>
        <v/>
      </c>
      <c r="F80" s="30"/>
      <c r="G80" s="30">
        <f t="shared" si="2"/>
        <v>0</v>
      </c>
      <c r="H80" s="22" t="str">
        <f>IF(ISBLANK('FBPQ T4'!E72)," ",'FBPQ T4'!AE72)</f>
        <v xml:space="preserve"> </v>
      </c>
      <c r="I80" s="22" t="str">
        <f t="shared" si="1"/>
        <v xml:space="preserve"> </v>
      </c>
      <c r="J80" s="34"/>
      <c r="K80" s="33"/>
      <c r="L80" s="33"/>
      <c r="M80" s="50"/>
      <c r="N80" s="45"/>
      <c r="O80" s="46"/>
    </row>
    <row r="81" spans="1:15">
      <c r="A81" s="26"/>
      <c r="B81" s="21" t="s">
        <v>225</v>
      </c>
      <c r="C81" s="22"/>
      <c r="D81" s="26"/>
      <c r="E81" s="4" t="str">
        <f>IF(ISNUMBER('FBPQ C2'!J73),'FBPQ C2'!J73,IF(ISNUMBER('FBPQ C2'!I73),'FBPQ C2'!I73,""))</f>
        <v/>
      </c>
      <c r="F81" s="30"/>
      <c r="G81" s="30">
        <f t="shared" si="2"/>
        <v>0</v>
      </c>
      <c r="H81" s="22" t="str">
        <f>IF(ISBLANK('FBPQ T4'!E73)," ",'FBPQ T4'!AE73)</f>
        <v xml:space="preserve"> </v>
      </c>
      <c r="I81" s="22" t="str">
        <f t="shared" si="1"/>
        <v xml:space="preserve"> </v>
      </c>
      <c r="J81" s="34"/>
      <c r="K81" s="34"/>
      <c r="L81" s="35"/>
      <c r="M81" s="34"/>
      <c r="N81" s="45"/>
      <c r="O81" s="44"/>
    </row>
    <row r="82" spans="1:15">
      <c r="A82" s="26"/>
      <c r="B82" s="21"/>
      <c r="C82" s="22" t="s">
        <v>531</v>
      </c>
      <c r="D82" s="26" t="s">
        <v>177</v>
      </c>
      <c r="E82" s="4">
        <f>IF(ISNUMBER('FBPQ C2'!J74),'FBPQ C2'!J74,IF(ISNUMBER('FBPQ C2'!I74),'FBPQ C2'!I74,""))</f>
        <v>26.87</v>
      </c>
      <c r="F82" s="30" t="s">
        <v>218</v>
      </c>
      <c r="G82" s="30">
        <f t="shared" si="2"/>
        <v>26.87</v>
      </c>
      <c r="H82" s="22">
        <f>IF(ISBLANK('FBPQ T4'!E74)," ",'FBPQ T4'!AE74)</f>
        <v>2808</v>
      </c>
      <c r="I82" s="22">
        <f t="shared" si="1"/>
        <v>75450.960000000006</v>
      </c>
      <c r="J82" s="34"/>
      <c r="K82" s="34"/>
      <c r="L82" s="34"/>
      <c r="M82" s="34"/>
      <c r="N82" s="45"/>
      <c r="O82" s="44"/>
    </row>
    <row r="83" spans="1:15">
      <c r="A83" s="26"/>
      <c r="B83" s="21"/>
      <c r="C83" s="22" t="s">
        <v>532</v>
      </c>
      <c r="D83" s="26" t="s">
        <v>177</v>
      </c>
      <c r="E83" s="4">
        <f>IF(ISNUMBER('FBPQ C2'!J75),'FBPQ C2'!J75,IF(ISNUMBER('FBPQ C2'!I75),'FBPQ C2'!I75,""))</f>
        <v>29.82</v>
      </c>
      <c r="F83" s="30" t="s">
        <v>218</v>
      </c>
      <c r="G83" s="30">
        <f t="shared" si="2"/>
        <v>29.82</v>
      </c>
      <c r="H83" s="22">
        <f>IF(ISBLANK('FBPQ T4'!E75)," ",'FBPQ T4'!AE75)</f>
        <v>101</v>
      </c>
      <c r="I83" s="22">
        <f t="shared" si="1"/>
        <v>3011.82</v>
      </c>
      <c r="J83" s="34"/>
      <c r="K83" s="34"/>
      <c r="L83" s="35"/>
      <c r="M83" s="34"/>
      <c r="N83" s="45"/>
      <c r="O83" s="44"/>
    </row>
    <row r="84" spans="1:15">
      <c r="A84" s="26"/>
      <c r="B84" s="21"/>
      <c r="C84" s="22" t="s">
        <v>533</v>
      </c>
      <c r="D84" s="26" t="s">
        <v>177</v>
      </c>
      <c r="E84" s="4" t="str">
        <f>IF(ISNUMBER('FBPQ C2'!J76),'FBPQ C2'!J76,IF(ISNUMBER('FBPQ C2'!I76),'FBPQ C2'!I76,""))</f>
        <v/>
      </c>
      <c r="F84" s="30" t="s">
        <v>218</v>
      </c>
      <c r="G84" s="30" t="str">
        <f t="shared" ref="G84:G115" si="3">IF(ISNUMBER(E84),E84,IF(H84&gt;0,F84," "))</f>
        <v xml:space="preserve"> </v>
      </c>
      <c r="H84" s="22">
        <f>IF(ISBLANK('FBPQ T4'!E76)," ",'FBPQ T4'!AE76)</f>
        <v>0</v>
      </c>
      <c r="I84" s="22" t="str">
        <f t="shared" si="1"/>
        <v xml:space="preserve"> </v>
      </c>
      <c r="J84" s="34"/>
      <c r="K84" s="34"/>
      <c r="L84" s="35"/>
      <c r="M84" s="34"/>
      <c r="N84" s="45"/>
      <c r="O84" s="44"/>
    </row>
    <row r="85" spans="1:15">
      <c r="A85" s="26"/>
      <c r="B85" s="21"/>
      <c r="C85" s="22" t="s">
        <v>534</v>
      </c>
      <c r="D85" s="26" t="s">
        <v>177</v>
      </c>
      <c r="E85" s="4" t="str">
        <f>IF(ISNUMBER('FBPQ C2'!J77),'FBPQ C2'!J77,IF(ISNUMBER('FBPQ C2'!I77),'FBPQ C2'!I77,""))</f>
        <v/>
      </c>
      <c r="F85" s="30" t="s">
        <v>218</v>
      </c>
      <c r="G85" s="30" t="str">
        <f t="shared" si="3"/>
        <v xml:space="preserve"> </v>
      </c>
      <c r="H85" s="22">
        <f>IF(ISBLANK('FBPQ T4'!E77)," ",'FBPQ T4'!AE77)</f>
        <v>0</v>
      </c>
      <c r="I85" s="22" t="str">
        <f t="shared" ref="I85:I148" si="4">IF(ISERROR(G85*H85)," ",G85*H85)</f>
        <v xml:space="preserve"> </v>
      </c>
      <c r="J85" s="34"/>
      <c r="K85" s="34"/>
      <c r="L85" s="35"/>
      <c r="M85" s="34"/>
      <c r="N85" s="45"/>
      <c r="O85" s="46"/>
    </row>
    <row r="86" spans="1:15">
      <c r="A86" s="26"/>
      <c r="B86" s="21"/>
      <c r="C86" s="22"/>
      <c r="D86" s="26"/>
      <c r="E86" s="4" t="str">
        <f>IF(ISNUMBER('FBPQ C2'!J78),'FBPQ C2'!J78,IF(ISNUMBER('FBPQ C2'!I78),'FBPQ C2'!I78,""))</f>
        <v/>
      </c>
      <c r="F86" s="30"/>
      <c r="G86" s="30">
        <f t="shared" si="3"/>
        <v>0</v>
      </c>
      <c r="H86" s="22" t="str">
        <f>IF(ISBLANK('FBPQ T4'!E78)," ",'FBPQ T4'!AE78)</f>
        <v xml:space="preserve"> </v>
      </c>
      <c r="I86" s="22" t="str">
        <f t="shared" si="4"/>
        <v xml:space="preserve"> </v>
      </c>
      <c r="J86" s="34"/>
      <c r="K86" s="34"/>
      <c r="L86" s="35"/>
      <c r="M86" s="34"/>
      <c r="N86" s="45"/>
      <c r="O86" s="46"/>
    </row>
    <row r="87" spans="1:15">
      <c r="A87" s="26"/>
      <c r="B87" s="21" t="s">
        <v>745</v>
      </c>
      <c r="C87" s="22"/>
      <c r="D87" s="26"/>
      <c r="E87" s="4" t="str">
        <f>IF(ISNUMBER('FBPQ C2'!J79),'FBPQ C2'!J79,IF(ISNUMBER('FBPQ C2'!I79),'FBPQ C2'!I79,""))</f>
        <v/>
      </c>
      <c r="F87" s="30"/>
      <c r="G87" s="30">
        <f t="shared" si="3"/>
        <v>0</v>
      </c>
      <c r="H87" s="22" t="str">
        <f>IF(ISBLANK('FBPQ T4'!E79)," ",'FBPQ T4'!AE79)</f>
        <v xml:space="preserve"> </v>
      </c>
      <c r="I87" s="22" t="str">
        <f t="shared" si="4"/>
        <v xml:space="preserve"> </v>
      </c>
      <c r="J87" s="34"/>
      <c r="K87" s="34"/>
      <c r="L87" s="35"/>
      <c r="M87" s="34"/>
      <c r="N87" s="45"/>
      <c r="O87" s="44"/>
    </row>
    <row r="88" spans="1:15">
      <c r="A88" s="26"/>
      <c r="B88" s="21"/>
      <c r="C88" s="22" t="s">
        <v>535</v>
      </c>
      <c r="D88" s="26" t="s">
        <v>744</v>
      </c>
      <c r="E88" s="4">
        <f>IF(ISNUMBER('FBPQ C2'!J80),'FBPQ C2'!J80,IF(ISNUMBER('FBPQ C2'!I80),'FBPQ C2'!I80,""))</f>
        <v>2.56</v>
      </c>
      <c r="F88" s="30" t="s">
        <v>218</v>
      </c>
      <c r="G88" s="30">
        <f t="shared" si="3"/>
        <v>2.56</v>
      </c>
      <c r="H88" s="22">
        <f>IF(ISBLANK('FBPQ T4'!E80)," ",'FBPQ T4'!AE80)</f>
        <v>29358</v>
      </c>
      <c r="I88" s="22">
        <f t="shared" si="4"/>
        <v>75156.479999999996</v>
      </c>
      <c r="J88" s="34"/>
      <c r="K88" s="34"/>
      <c r="L88" s="34"/>
      <c r="M88" s="34"/>
      <c r="N88" s="45"/>
      <c r="O88" s="44"/>
    </row>
    <row r="89" spans="1:15">
      <c r="A89" s="26"/>
      <c r="B89" s="21"/>
      <c r="C89" s="22" t="s">
        <v>536</v>
      </c>
      <c r="D89" s="26" t="s">
        <v>744</v>
      </c>
      <c r="E89" s="4">
        <f>IF(ISNUMBER('FBPQ C2'!J81),'FBPQ C2'!J81,IF(ISNUMBER('FBPQ C2'!I81),'FBPQ C2'!I81,""))</f>
        <v>45.14</v>
      </c>
      <c r="F89" s="30" t="s">
        <v>218</v>
      </c>
      <c r="G89" s="30">
        <f t="shared" si="3"/>
        <v>45.14</v>
      </c>
      <c r="H89" s="22">
        <f>IF(ISBLANK('FBPQ T4'!E81)," ",'FBPQ T4'!AE81)</f>
        <v>431</v>
      </c>
      <c r="I89" s="22">
        <f t="shared" si="4"/>
        <v>19455.34</v>
      </c>
      <c r="J89" s="34"/>
      <c r="K89" s="34"/>
      <c r="L89" s="34"/>
      <c r="M89" s="34"/>
      <c r="N89" s="45"/>
      <c r="O89" s="44"/>
    </row>
    <row r="90" spans="1:15">
      <c r="A90" s="26"/>
      <c r="B90" s="21"/>
      <c r="C90" s="22" t="s">
        <v>537</v>
      </c>
      <c r="D90" s="26" t="s">
        <v>744</v>
      </c>
      <c r="E90" s="4" t="str">
        <f>IF(ISNUMBER('FBPQ C2'!J82),'FBPQ C2'!J82,IF(ISNUMBER('FBPQ C2'!I82),'FBPQ C2'!I82,""))</f>
        <v/>
      </c>
      <c r="F90" s="30" t="s">
        <v>218</v>
      </c>
      <c r="G90" s="30" t="str">
        <f t="shared" si="3"/>
        <v xml:space="preserve"> </v>
      </c>
      <c r="H90" s="22">
        <f>IF(ISBLANK('FBPQ T4'!E82)," ",'FBPQ T4'!AE82)</f>
        <v>0</v>
      </c>
      <c r="I90" s="22" t="str">
        <f t="shared" si="4"/>
        <v xml:space="preserve"> </v>
      </c>
      <c r="J90" s="34"/>
      <c r="K90" s="34"/>
      <c r="L90" s="35"/>
      <c r="M90" s="34"/>
      <c r="N90" s="45"/>
      <c r="O90" s="44"/>
    </row>
    <row r="91" spans="1:15">
      <c r="A91" s="26"/>
      <c r="B91" s="21"/>
      <c r="C91" s="22" t="s">
        <v>538</v>
      </c>
      <c r="D91" s="26" t="s">
        <v>744</v>
      </c>
      <c r="E91" s="4" t="str">
        <f>IF(ISNUMBER('FBPQ C2'!J83),'FBPQ C2'!J83,IF(ISNUMBER('FBPQ C2'!I83),'FBPQ C2'!I83,""))</f>
        <v/>
      </c>
      <c r="F91" s="30" t="s">
        <v>218</v>
      </c>
      <c r="G91" s="30" t="str">
        <f t="shared" si="3"/>
        <v xml:space="preserve"> </v>
      </c>
      <c r="H91" s="22">
        <f>IF(ISBLANK('FBPQ T4'!E83)," ",'FBPQ T4'!AE83)</f>
        <v>0</v>
      </c>
      <c r="I91" s="22" t="str">
        <f t="shared" si="4"/>
        <v xml:space="preserve"> </v>
      </c>
      <c r="J91" s="34"/>
      <c r="K91" s="34"/>
      <c r="L91" s="35"/>
      <c r="M91" s="34"/>
      <c r="N91" s="45"/>
      <c r="O91" s="46"/>
    </row>
    <row r="92" spans="1:15">
      <c r="A92" s="26"/>
      <c r="B92" s="21"/>
      <c r="C92" s="22"/>
      <c r="D92" s="26"/>
      <c r="E92" s="4" t="str">
        <f>IF(ISNUMBER('FBPQ C2'!J84),'FBPQ C2'!J84,IF(ISNUMBER('FBPQ C2'!I84),'FBPQ C2'!I84,""))</f>
        <v/>
      </c>
      <c r="F92" s="30"/>
      <c r="G92" s="30">
        <f t="shared" si="3"/>
        <v>0</v>
      </c>
      <c r="H92" s="22" t="str">
        <f>IF(ISBLANK('FBPQ T4'!E84)," ",'FBPQ T4'!AE84)</f>
        <v xml:space="preserve"> </v>
      </c>
      <c r="I92" s="22" t="str">
        <f t="shared" si="4"/>
        <v xml:space="preserve"> </v>
      </c>
      <c r="J92" s="34"/>
      <c r="K92" s="34"/>
      <c r="L92" s="34"/>
      <c r="M92" s="34"/>
      <c r="N92" s="45"/>
      <c r="O92" s="46"/>
    </row>
    <row r="93" spans="1:15">
      <c r="A93" s="26"/>
      <c r="B93" s="21" t="s">
        <v>769</v>
      </c>
      <c r="C93" s="22"/>
      <c r="D93" s="26"/>
      <c r="E93" s="4" t="str">
        <f>IF(ISNUMBER('FBPQ C2'!J85),'FBPQ C2'!J85,IF(ISNUMBER('FBPQ C2'!I85),'FBPQ C2'!I85,""))</f>
        <v/>
      </c>
      <c r="F93" s="30"/>
      <c r="G93" s="30">
        <f t="shared" si="3"/>
        <v>0</v>
      </c>
      <c r="H93" s="22" t="str">
        <f>IF(ISBLANK('FBPQ T4'!E85)," ",'FBPQ T4'!AE85)</f>
        <v xml:space="preserve"> </v>
      </c>
      <c r="I93" s="22" t="str">
        <f t="shared" si="4"/>
        <v xml:space="preserve"> </v>
      </c>
      <c r="J93" s="41"/>
      <c r="K93" s="34"/>
      <c r="L93" s="35"/>
      <c r="M93" s="34"/>
      <c r="N93" s="45"/>
      <c r="O93" s="44"/>
    </row>
    <row r="94" spans="1:15">
      <c r="A94" s="26"/>
      <c r="B94" s="21"/>
      <c r="C94" s="22" t="s">
        <v>417</v>
      </c>
      <c r="D94" s="26" t="s">
        <v>177</v>
      </c>
      <c r="E94" s="4">
        <f>IF(ISNUMBER('FBPQ C2'!J86),'FBPQ C2'!J86,IF(ISNUMBER('FBPQ C2'!I86),'FBPQ C2'!I86,""))</f>
        <v>172.86</v>
      </c>
      <c r="F94" s="30" t="s">
        <v>218</v>
      </c>
      <c r="G94" s="30">
        <f t="shared" si="3"/>
        <v>172.86</v>
      </c>
      <c r="H94" s="22">
        <f>IF(ISBLANK('FBPQ T4'!E86)," ",'FBPQ T4'!AE86)</f>
        <v>767.17</v>
      </c>
      <c r="I94" s="22">
        <f t="shared" si="4"/>
        <v>132613.0062</v>
      </c>
      <c r="J94" s="41"/>
      <c r="K94" s="34"/>
      <c r="L94" s="35"/>
      <c r="M94" s="34"/>
      <c r="N94" s="45"/>
      <c r="O94" s="44"/>
    </row>
    <row r="95" spans="1:15">
      <c r="A95" s="26"/>
      <c r="B95" s="21"/>
      <c r="C95" s="22" t="s">
        <v>418</v>
      </c>
      <c r="D95" s="26" t="s">
        <v>177</v>
      </c>
      <c r="E95" s="4">
        <f>IF(ISNUMBER('FBPQ C2'!J87),'FBPQ C2'!J87,IF(ISNUMBER('FBPQ C2'!I87),'FBPQ C2'!I87,""))</f>
        <v>173.08</v>
      </c>
      <c r="F95" s="30" t="s">
        <v>218</v>
      </c>
      <c r="G95" s="30">
        <f t="shared" si="3"/>
        <v>173.08</v>
      </c>
      <c r="H95" s="22">
        <f>IF(ISBLANK('FBPQ T4'!E87)," ",'FBPQ T4'!AE87)</f>
        <v>63.135000000000005</v>
      </c>
      <c r="I95" s="22">
        <f t="shared" si="4"/>
        <v>10927.405800000002</v>
      </c>
      <c r="J95" s="41"/>
      <c r="K95" s="34"/>
      <c r="L95" s="35"/>
      <c r="M95" s="34"/>
      <c r="N95" s="45"/>
      <c r="O95" s="44"/>
    </row>
    <row r="96" spans="1:15">
      <c r="A96" s="26"/>
      <c r="B96" s="21"/>
      <c r="C96" s="22" t="s">
        <v>419</v>
      </c>
      <c r="D96" s="26" t="s">
        <v>177</v>
      </c>
      <c r="E96" s="4">
        <f>IF(ISNUMBER('FBPQ C2'!J88),'FBPQ C2'!J88,IF(ISNUMBER('FBPQ C2'!I88),'FBPQ C2'!I88,""))</f>
        <v>172.81</v>
      </c>
      <c r="F96" s="30" t="s">
        <v>218</v>
      </c>
      <c r="G96" s="30">
        <f t="shared" si="3"/>
        <v>172.81</v>
      </c>
      <c r="H96" s="22">
        <f>IF(ISBLANK('FBPQ T4'!E88)," ",'FBPQ T4'!AE88)</f>
        <v>34</v>
      </c>
      <c r="I96" s="22">
        <f t="shared" si="4"/>
        <v>5875.54</v>
      </c>
      <c r="J96" s="41"/>
      <c r="K96" s="34"/>
      <c r="L96" s="35"/>
      <c r="M96" s="34"/>
      <c r="N96" s="45"/>
      <c r="O96" s="44"/>
    </row>
    <row r="97" spans="1:15">
      <c r="A97" s="26"/>
      <c r="B97" s="21"/>
      <c r="C97" s="22" t="s">
        <v>543</v>
      </c>
      <c r="D97" s="26" t="s">
        <v>177</v>
      </c>
      <c r="E97" s="4" t="str">
        <f>IF(ISNUMBER('FBPQ C2'!J89),'FBPQ C2'!J89,IF(ISNUMBER('FBPQ C2'!I89),'FBPQ C2'!I89,""))</f>
        <v/>
      </c>
      <c r="F97" s="30" t="s">
        <v>218</v>
      </c>
      <c r="G97" s="30" t="str">
        <f t="shared" si="3"/>
        <v xml:space="preserve"> </v>
      </c>
      <c r="H97" s="22">
        <f>IF(ISBLANK('FBPQ T4'!E89)," ",'FBPQ T4'!AE89)</f>
        <v>0</v>
      </c>
      <c r="I97" s="22" t="str">
        <f t="shared" si="4"/>
        <v xml:space="preserve"> </v>
      </c>
      <c r="J97" s="41"/>
      <c r="K97" s="34"/>
      <c r="L97" s="35"/>
      <c r="M97" s="34"/>
      <c r="N97" s="45"/>
      <c r="O97" s="44"/>
    </row>
    <row r="98" spans="1:15">
      <c r="A98" s="26"/>
      <c r="B98" s="21"/>
      <c r="C98" s="22" t="s">
        <v>429</v>
      </c>
      <c r="D98" s="26" t="s">
        <v>177</v>
      </c>
      <c r="E98" s="4" t="str">
        <f>IF(ISNUMBER('FBPQ C2'!J90),'FBPQ C2'!J90,IF(ISNUMBER('FBPQ C2'!I90),'FBPQ C2'!I90,""))</f>
        <v/>
      </c>
      <c r="F98" s="30" t="s">
        <v>218</v>
      </c>
      <c r="G98" s="30" t="str">
        <f t="shared" si="3"/>
        <v xml:space="preserve"> </v>
      </c>
      <c r="H98" s="22">
        <f>IF(ISBLANK('FBPQ T4'!E90)," ",'FBPQ T4'!AE90)</f>
        <v>0</v>
      </c>
      <c r="I98" s="22" t="str">
        <f t="shared" si="4"/>
        <v xml:space="preserve"> </v>
      </c>
      <c r="J98" s="41"/>
      <c r="K98" s="34"/>
      <c r="L98" s="35"/>
      <c r="M98" s="34"/>
      <c r="N98" s="45"/>
      <c r="O98" s="44"/>
    </row>
    <row r="99" spans="1:15">
      <c r="A99" s="26"/>
      <c r="B99" s="21"/>
      <c r="C99" s="22" t="s">
        <v>430</v>
      </c>
      <c r="D99" s="26" t="s">
        <v>177</v>
      </c>
      <c r="E99" s="4" t="str">
        <f>IF(ISNUMBER('FBPQ C2'!J91),'FBPQ C2'!J91,IF(ISNUMBER('FBPQ C2'!I91),'FBPQ C2'!I91,""))</f>
        <v/>
      </c>
      <c r="F99" s="30" t="s">
        <v>218</v>
      </c>
      <c r="G99" s="30" t="str">
        <f t="shared" si="3"/>
        <v xml:space="preserve"> </v>
      </c>
      <c r="H99" s="22">
        <f>IF(ISBLANK('FBPQ T4'!E91)," ",'FBPQ T4'!AE91)</f>
        <v>0</v>
      </c>
      <c r="I99" s="22" t="str">
        <f t="shared" si="4"/>
        <v xml:space="preserve"> </v>
      </c>
      <c r="J99" s="41"/>
      <c r="K99" s="34"/>
      <c r="L99" s="35"/>
      <c r="M99" s="34"/>
      <c r="N99" s="45"/>
      <c r="O99" s="46"/>
    </row>
    <row r="100" spans="1:15">
      <c r="A100" s="26"/>
      <c r="B100" s="21"/>
      <c r="C100" s="22"/>
      <c r="D100" s="26"/>
      <c r="E100" s="4" t="str">
        <f>IF(ISNUMBER('FBPQ C2'!J92),'FBPQ C2'!J92,IF(ISNUMBER('FBPQ C2'!I92),'FBPQ C2'!I92,""))</f>
        <v/>
      </c>
      <c r="F100" s="30"/>
      <c r="G100" s="30">
        <f t="shared" si="3"/>
        <v>0</v>
      </c>
      <c r="H100" s="22" t="str">
        <f>IF(ISBLANK('FBPQ T4'!E92)," ",'FBPQ T4'!AE92)</f>
        <v xml:space="preserve"> </v>
      </c>
      <c r="I100" s="22" t="str">
        <f t="shared" si="4"/>
        <v xml:space="preserve"> </v>
      </c>
      <c r="J100" s="41"/>
      <c r="K100" s="34"/>
      <c r="L100" s="34"/>
      <c r="M100" s="34"/>
      <c r="N100" s="45"/>
      <c r="O100" s="46"/>
    </row>
    <row r="101" spans="1:15">
      <c r="A101" s="26"/>
      <c r="B101" s="21" t="s">
        <v>68</v>
      </c>
      <c r="C101" s="22"/>
      <c r="D101" s="26"/>
      <c r="E101" s="4" t="str">
        <f>IF(ISNUMBER('FBPQ C2'!J93),'FBPQ C2'!J93,IF(ISNUMBER('FBPQ C2'!I93),'FBPQ C2'!I93,""))</f>
        <v/>
      </c>
      <c r="F101" s="30"/>
      <c r="G101" s="30">
        <f t="shared" si="3"/>
        <v>0</v>
      </c>
      <c r="H101" s="22" t="str">
        <f>IF(ISBLANK('FBPQ T4'!E93)," ",'FBPQ T4'!AE93)</f>
        <v xml:space="preserve"> </v>
      </c>
      <c r="I101" s="22" t="str">
        <f t="shared" si="4"/>
        <v xml:space="preserve"> </v>
      </c>
      <c r="J101" s="41"/>
      <c r="K101" s="34"/>
      <c r="L101" s="35"/>
      <c r="M101" s="34"/>
      <c r="N101" s="45"/>
      <c r="O101" s="44"/>
    </row>
    <row r="102" spans="1:15">
      <c r="A102" s="26"/>
      <c r="B102" s="21"/>
      <c r="C102" s="22" t="s">
        <v>389</v>
      </c>
      <c r="D102" s="26" t="s">
        <v>177</v>
      </c>
      <c r="E102" s="4">
        <f>IF(ISNUMBER('FBPQ C2'!J94),'FBPQ C2'!J94,IF(ISNUMBER('FBPQ C2'!I94),'FBPQ C2'!I94,""))</f>
        <v>1136.02</v>
      </c>
      <c r="F102" s="30" t="s">
        <v>218</v>
      </c>
      <c r="G102" s="30">
        <f t="shared" si="3"/>
        <v>1136.02</v>
      </c>
      <c r="H102" s="22">
        <f>IF(ISBLANK('FBPQ T4'!E94)," ",'FBPQ T4'!AE94)</f>
        <v>66</v>
      </c>
      <c r="I102" s="22">
        <f t="shared" si="4"/>
        <v>74977.319999999992</v>
      </c>
      <c r="J102" s="41"/>
      <c r="K102" s="34"/>
      <c r="L102" s="34"/>
      <c r="M102" s="34"/>
      <c r="N102" s="45"/>
      <c r="O102" s="46"/>
    </row>
    <row r="103" spans="1:15">
      <c r="A103" s="26"/>
      <c r="B103" s="21"/>
      <c r="C103" s="22"/>
      <c r="D103" s="26"/>
      <c r="E103" s="4" t="str">
        <f>IF(ISNUMBER('FBPQ C2'!J95),'FBPQ C2'!J95,IF(ISNUMBER('FBPQ C2'!I95),'FBPQ C2'!I95,""))</f>
        <v/>
      </c>
      <c r="F103" s="30"/>
      <c r="G103" s="30">
        <f t="shared" si="3"/>
        <v>0</v>
      </c>
      <c r="H103" s="22" t="str">
        <f>IF(ISBLANK('FBPQ T4'!E95)," ",'FBPQ T4'!AE95)</f>
        <v xml:space="preserve"> </v>
      </c>
      <c r="I103" s="22" t="str">
        <f t="shared" si="4"/>
        <v xml:space="preserve"> </v>
      </c>
      <c r="J103" s="41"/>
      <c r="K103" s="34"/>
      <c r="L103" s="35"/>
      <c r="M103" s="34"/>
      <c r="N103" s="45"/>
      <c r="O103" s="46"/>
    </row>
    <row r="104" spans="1:15">
      <c r="A104" s="26"/>
      <c r="B104" s="21" t="s">
        <v>637</v>
      </c>
      <c r="C104" s="22"/>
      <c r="D104" s="26"/>
      <c r="E104" s="4" t="str">
        <f>IF(ISNUMBER('FBPQ C2'!J96),'FBPQ C2'!J96,IF(ISNUMBER('FBPQ C2'!I96),'FBPQ C2'!I96,""))</f>
        <v/>
      </c>
      <c r="F104" s="30"/>
      <c r="G104" s="30">
        <f t="shared" si="3"/>
        <v>0</v>
      </c>
      <c r="H104" s="22" t="str">
        <f>IF(ISBLANK('FBPQ T4'!E96)," ",'FBPQ T4'!AE96)</f>
        <v xml:space="preserve"> </v>
      </c>
      <c r="I104" s="22" t="str">
        <f t="shared" si="4"/>
        <v xml:space="preserve"> </v>
      </c>
      <c r="J104" s="41"/>
      <c r="K104" s="34"/>
      <c r="L104" s="35"/>
      <c r="M104" s="34"/>
      <c r="N104" s="45"/>
      <c r="O104" s="44"/>
    </row>
    <row r="105" spans="1:15">
      <c r="A105" s="26"/>
      <c r="B105" s="21"/>
      <c r="C105" s="22" t="s">
        <v>390</v>
      </c>
      <c r="D105" s="26" t="s">
        <v>744</v>
      </c>
      <c r="E105" s="4">
        <f>IF(ISNUMBER('FBPQ C2'!J97),'FBPQ C2'!J97,IF(ISNUMBER('FBPQ C2'!I97),'FBPQ C2'!I97,""))</f>
        <v>66.59</v>
      </c>
      <c r="F105" s="30" t="s">
        <v>218</v>
      </c>
      <c r="G105" s="30">
        <f t="shared" si="3"/>
        <v>66.59</v>
      </c>
      <c r="H105" s="22">
        <f>IF(ISBLANK('FBPQ T4'!E97)," ",'FBPQ T4'!AE97)</f>
        <v>296</v>
      </c>
      <c r="I105" s="22">
        <f t="shared" si="4"/>
        <v>19710.64</v>
      </c>
      <c r="J105" s="41"/>
      <c r="K105" s="34"/>
      <c r="L105" s="35"/>
      <c r="M105" s="50"/>
      <c r="N105" s="45"/>
      <c r="O105" s="44"/>
    </row>
    <row r="106" spans="1:15">
      <c r="A106" s="26"/>
      <c r="B106" s="21"/>
      <c r="C106" s="22" t="s">
        <v>391</v>
      </c>
      <c r="D106" s="26" t="s">
        <v>744</v>
      </c>
      <c r="E106" s="4">
        <f>IF(ISNUMBER('FBPQ C2'!J98),'FBPQ C2'!J98,IF(ISNUMBER('FBPQ C2'!I98),'FBPQ C2'!I98,""))</f>
        <v>51.19</v>
      </c>
      <c r="F106" s="30" t="s">
        <v>218</v>
      </c>
      <c r="G106" s="30">
        <f t="shared" si="3"/>
        <v>51.19</v>
      </c>
      <c r="H106" s="22">
        <f>IF(ISBLANK('FBPQ T4'!E98)," ",'FBPQ T4'!AE98)</f>
        <v>675</v>
      </c>
      <c r="I106" s="22">
        <f t="shared" si="4"/>
        <v>34553.25</v>
      </c>
      <c r="J106" s="41"/>
      <c r="K106" s="34"/>
      <c r="L106" s="35"/>
      <c r="M106" s="50"/>
      <c r="N106" s="45"/>
      <c r="O106" s="44"/>
    </row>
    <row r="107" spans="1:15">
      <c r="A107" s="26"/>
      <c r="B107" s="21"/>
      <c r="C107" s="22" t="s">
        <v>392</v>
      </c>
      <c r="D107" s="26" t="s">
        <v>744</v>
      </c>
      <c r="E107" s="4">
        <f>IF(ISNUMBER('FBPQ C2'!J99),'FBPQ C2'!J99,IF(ISNUMBER('FBPQ C2'!I99),'FBPQ C2'!I99,""))</f>
        <v>33.119999999999997</v>
      </c>
      <c r="F107" s="30" t="s">
        <v>218</v>
      </c>
      <c r="G107" s="30">
        <f t="shared" si="3"/>
        <v>33.119999999999997</v>
      </c>
      <c r="H107" s="22">
        <f>IF(ISBLANK('FBPQ T4'!E99)," ",'FBPQ T4'!AE99)</f>
        <v>14</v>
      </c>
      <c r="I107" s="22">
        <f t="shared" si="4"/>
        <v>463.67999999999995</v>
      </c>
      <c r="J107" s="41"/>
      <c r="K107" s="34"/>
      <c r="L107" s="35"/>
      <c r="M107" s="50"/>
      <c r="N107" s="45"/>
      <c r="O107" s="44"/>
    </row>
    <row r="108" spans="1:15">
      <c r="A108" s="26"/>
      <c r="B108" s="21"/>
      <c r="C108" s="22" t="s">
        <v>393</v>
      </c>
      <c r="D108" s="26" t="s">
        <v>744</v>
      </c>
      <c r="E108" s="4" t="str">
        <f>IF(ISNUMBER('FBPQ C2'!J100),'FBPQ C2'!J100,IF(ISNUMBER('FBPQ C2'!I100),'FBPQ C2'!I100,""))</f>
        <v/>
      </c>
      <c r="F108" s="30" t="s">
        <v>218</v>
      </c>
      <c r="G108" s="30" t="str">
        <f t="shared" si="3"/>
        <v xml:space="preserve"> </v>
      </c>
      <c r="H108" s="22">
        <f>IF(ISBLANK('FBPQ T4'!E100)," ",'FBPQ T4'!AE100)</f>
        <v>0</v>
      </c>
      <c r="I108" s="22" t="str">
        <f t="shared" si="4"/>
        <v xml:space="preserve"> </v>
      </c>
      <c r="J108" s="41"/>
      <c r="K108" s="34"/>
      <c r="L108" s="35"/>
      <c r="M108" s="50"/>
      <c r="N108" s="45"/>
      <c r="O108" s="44"/>
    </row>
    <row r="109" spans="1:15">
      <c r="A109" s="26"/>
      <c r="B109" s="21"/>
      <c r="C109" s="22" t="s">
        <v>394</v>
      </c>
      <c r="D109" s="26" t="s">
        <v>744</v>
      </c>
      <c r="E109" s="4" t="str">
        <f>IF(ISNUMBER('FBPQ C2'!J101),'FBPQ C2'!J101,IF(ISNUMBER('FBPQ C2'!I101),'FBPQ C2'!I101,""))</f>
        <v/>
      </c>
      <c r="F109" s="30" t="s">
        <v>218</v>
      </c>
      <c r="G109" s="30" t="str">
        <f t="shared" si="3"/>
        <v>DATA</v>
      </c>
      <c r="H109" s="22">
        <f>IF(ISBLANK('FBPQ T4'!E101)," ",'FBPQ T4'!AE101)</f>
        <v>2</v>
      </c>
      <c r="I109" s="22" t="str">
        <f t="shared" si="4"/>
        <v xml:space="preserve"> </v>
      </c>
      <c r="J109" s="41"/>
      <c r="K109" s="34"/>
      <c r="L109" s="35"/>
      <c r="M109" s="50"/>
      <c r="N109" s="45"/>
      <c r="O109" s="47"/>
    </row>
    <row r="110" spans="1:15">
      <c r="A110" s="26"/>
      <c r="B110" s="21"/>
      <c r="C110" s="22" t="s">
        <v>395</v>
      </c>
      <c r="D110" s="26" t="s">
        <v>744</v>
      </c>
      <c r="E110" s="4" t="str">
        <f>IF(ISNUMBER('FBPQ C2'!J102),'FBPQ C2'!J102,IF(ISNUMBER('FBPQ C2'!I102),'FBPQ C2'!I102,""))</f>
        <v/>
      </c>
      <c r="F110" s="30" t="s">
        <v>218</v>
      </c>
      <c r="G110" s="30" t="str">
        <f t="shared" si="3"/>
        <v>DATA</v>
      </c>
      <c r="H110" s="22">
        <f>IF(ISBLANK('FBPQ T4'!E102)," ",'FBPQ T4'!AE102)</f>
        <v>3273</v>
      </c>
      <c r="I110" s="22" t="str">
        <f t="shared" si="4"/>
        <v xml:space="preserve"> </v>
      </c>
      <c r="J110" s="41"/>
      <c r="K110" s="34"/>
      <c r="L110" s="35"/>
      <c r="M110" s="50"/>
      <c r="N110" s="45"/>
      <c r="O110" s="44"/>
    </row>
    <row r="111" spans="1:15">
      <c r="A111" s="26"/>
      <c r="B111" s="21"/>
      <c r="C111" s="22" t="s">
        <v>396</v>
      </c>
      <c r="D111" s="26" t="s">
        <v>744</v>
      </c>
      <c r="E111" s="4" t="str">
        <f>IF(ISNUMBER('FBPQ C2'!J103),'FBPQ C2'!J103,IF(ISNUMBER('FBPQ C2'!I103),'FBPQ C2'!I103,""))</f>
        <v/>
      </c>
      <c r="F111" s="30" t="s">
        <v>218</v>
      </c>
      <c r="G111" s="30" t="str">
        <f t="shared" si="3"/>
        <v xml:space="preserve"> </v>
      </c>
      <c r="H111" s="22">
        <f>IF(ISBLANK('FBPQ T4'!E103)," ",'FBPQ T4'!AE103)</f>
        <v>0</v>
      </c>
      <c r="I111" s="22" t="str">
        <f t="shared" si="4"/>
        <v xml:space="preserve"> </v>
      </c>
      <c r="J111" s="41"/>
      <c r="K111" s="34"/>
      <c r="L111" s="35"/>
      <c r="M111" s="50"/>
      <c r="N111" s="45"/>
      <c r="O111" s="47"/>
    </row>
    <row r="112" spans="1:15">
      <c r="A112" s="26"/>
      <c r="B112" s="21"/>
      <c r="C112" s="22" t="s">
        <v>397</v>
      </c>
      <c r="D112" s="26" t="s">
        <v>744</v>
      </c>
      <c r="E112" s="4" t="str">
        <f>IF(ISNUMBER('FBPQ C2'!J104),'FBPQ C2'!J104,IF(ISNUMBER('FBPQ C2'!I104),'FBPQ C2'!I104,""))</f>
        <v/>
      </c>
      <c r="F112" s="30" t="s">
        <v>218</v>
      </c>
      <c r="G112" s="30" t="str">
        <f t="shared" si="3"/>
        <v xml:space="preserve"> </v>
      </c>
      <c r="H112" s="22">
        <f>IF(ISBLANK('FBPQ T4'!E104)," ",'FBPQ T4'!AE104)</f>
        <v>0</v>
      </c>
      <c r="I112" s="22" t="str">
        <f t="shared" si="4"/>
        <v xml:space="preserve"> </v>
      </c>
      <c r="J112" s="41"/>
      <c r="K112" s="34"/>
      <c r="L112" s="35"/>
      <c r="M112" s="50"/>
      <c r="N112" s="45"/>
      <c r="O112" s="46"/>
    </row>
    <row r="113" spans="1:15">
      <c r="A113" s="26"/>
      <c r="B113" s="21"/>
      <c r="C113" s="22"/>
      <c r="D113" s="26"/>
      <c r="E113" s="4" t="str">
        <f>IF(ISNUMBER('FBPQ C2'!J105),'FBPQ C2'!J105,IF(ISNUMBER('FBPQ C2'!I105),'FBPQ C2'!I105,""))</f>
        <v/>
      </c>
      <c r="F113" s="30"/>
      <c r="G113" s="30">
        <f t="shared" si="3"/>
        <v>0</v>
      </c>
      <c r="H113" s="22" t="str">
        <f>IF(ISBLANK('FBPQ T4'!E105)," ",'FBPQ T4'!AE105)</f>
        <v xml:space="preserve"> </v>
      </c>
      <c r="I113" s="22" t="str">
        <f t="shared" si="4"/>
        <v xml:space="preserve"> </v>
      </c>
      <c r="J113" s="41"/>
      <c r="K113" s="34"/>
      <c r="L113" s="35"/>
      <c r="M113" s="34"/>
      <c r="N113" s="45"/>
      <c r="O113" s="46"/>
    </row>
    <row r="114" spans="1:15">
      <c r="A114" s="26"/>
      <c r="B114" s="21" t="s">
        <v>512</v>
      </c>
      <c r="C114" s="22"/>
      <c r="D114" s="26"/>
      <c r="E114" s="4" t="str">
        <f>IF(ISNUMBER('FBPQ C2'!J106),'FBPQ C2'!J106,IF(ISNUMBER('FBPQ C2'!I106),'FBPQ C2'!I106,""))</f>
        <v/>
      </c>
      <c r="F114" s="30"/>
      <c r="G114" s="30">
        <f t="shared" si="3"/>
        <v>0</v>
      </c>
      <c r="H114" s="22" t="str">
        <f>IF(ISBLANK('FBPQ T4'!E106)," ",'FBPQ T4'!AE106)</f>
        <v xml:space="preserve"> </v>
      </c>
      <c r="I114" s="22" t="str">
        <f t="shared" si="4"/>
        <v xml:space="preserve"> </v>
      </c>
      <c r="J114" s="41"/>
      <c r="K114" s="34"/>
      <c r="L114" s="35"/>
      <c r="M114" s="34"/>
      <c r="N114" s="45"/>
      <c r="O114" s="44"/>
    </row>
    <row r="115" spans="1:15">
      <c r="A115" s="26"/>
      <c r="B115" s="21"/>
      <c r="C115" s="22" t="s">
        <v>398</v>
      </c>
      <c r="D115" s="26" t="s">
        <v>744</v>
      </c>
      <c r="E115" s="4" t="str">
        <f>IF(ISNUMBER('FBPQ C2'!J107),'FBPQ C2'!J107,IF(ISNUMBER('FBPQ C2'!I107),'FBPQ C2'!I107,""))</f>
        <v/>
      </c>
      <c r="F115" s="30" t="s">
        <v>218</v>
      </c>
      <c r="G115" s="30" t="str">
        <f t="shared" si="3"/>
        <v>DATA</v>
      </c>
      <c r="H115" s="22">
        <f>IF(ISBLANK('FBPQ T4'!E107)," ",'FBPQ T4'!AE107)</f>
        <v>1</v>
      </c>
      <c r="I115" s="22" t="str">
        <f t="shared" si="4"/>
        <v xml:space="preserve"> </v>
      </c>
      <c r="J115" s="41"/>
      <c r="K115" s="34"/>
      <c r="L115" s="34"/>
      <c r="M115" s="50"/>
      <c r="N115" s="45"/>
      <c r="O115" s="44"/>
    </row>
    <row r="116" spans="1:15">
      <c r="A116" s="26"/>
      <c r="B116" s="21"/>
      <c r="C116" s="22" t="s">
        <v>399</v>
      </c>
      <c r="D116" s="26" t="s">
        <v>744</v>
      </c>
      <c r="E116" s="4">
        <f>IF(ISNUMBER('FBPQ C2'!J108),'FBPQ C2'!J108,IF(ISNUMBER('FBPQ C2'!I108),'FBPQ C2'!I108,""))</f>
        <v>261.25</v>
      </c>
      <c r="F116" s="30" t="s">
        <v>218</v>
      </c>
      <c r="G116" s="30">
        <f t="shared" ref="G116:G147" si="5">IF(ISNUMBER(E116),E116,IF(H116&gt;0,F116," "))</f>
        <v>261.25</v>
      </c>
      <c r="H116" s="22">
        <f>IF(ISBLANK('FBPQ T4'!E108)," ",'FBPQ T4'!AE108)</f>
        <v>587</v>
      </c>
      <c r="I116" s="22">
        <f t="shared" si="4"/>
        <v>153353.75</v>
      </c>
      <c r="J116" s="41"/>
      <c r="K116" s="34"/>
      <c r="L116" s="34"/>
      <c r="M116" s="50"/>
      <c r="N116" s="45"/>
      <c r="O116" s="47"/>
    </row>
    <row r="117" spans="1:15">
      <c r="A117" s="26"/>
      <c r="B117" s="21"/>
      <c r="C117" s="22" t="s">
        <v>400</v>
      </c>
      <c r="D117" s="26" t="s">
        <v>744</v>
      </c>
      <c r="E117" s="4" t="str">
        <f>IF(ISNUMBER('FBPQ C2'!J109),'FBPQ C2'!J109,IF(ISNUMBER('FBPQ C2'!I109),'FBPQ C2'!I109,""))</f>
        <v/>
      </c>
      <c r="F117" s="30" t="s">
        <v>218</v>
      </c>
      <c r="G117" s="30" t="str">
        <f t="shared" si="5"/>
        <v>DATA</v>
      </c>
      <c r="H117" s="22">
        <f>IF(ISBLANK('FBPQ T4'!E109)," ",'FBPQ T4'!AE109)</f>
        <v>189</v>
      </c>
      <c r="I117" s="22" t="str">
        <f t="shared" si="4"/>
        <v xml:space="preserve"> </v>
      </c>
      <c r="J117" s="41"/>
      <c r="K117" s="34"/>
      <c r="L117" s="34"/>
      <c r="M117" s="34"/>
      <c r="N117" s="45"/>
      <c r="O117" s="44"/>
    </row>
    <row r="118" spans="1:15">
      <c r="A118" s="26"/>
      <c r="B118" s="21"/>
      <c r="C118" s="22" t="s">
        <v>595</v>
      </c>
      <c r="D118" s="26" t="s">
        <v>744</v>
      </c>
      <c r="E118" s="4" t="str">
        <f>IF(ISNUMBER('FBPQ C2'!J110),'FBPQ C2'!J110,IF(ISNUMBER('FBPQ C2'!I110),'FBPQ C2'!I110,""))</f>
        <v/>
      </c>
      <c r="F118" s="30" t="s">
        <v>218</v>
      </c>
      <c r="G118" s="30" t="str">
        <f t="shared" si="5"/>
        <v xml:space="preserve"> </v>
      </c>
      <c r="H118" s="22">
        <f>IF(ISBLANK('FBPQ T4'!E110)," ",'FBPQ T4'!AE110)</f>
        <v>0</v>
      </c>
      <c r="I118" s="22" t="str">
        <f t="shared" si="4"/>
        <v xml:space="preserve"> </v>
      </c>
      <c r="J118" s="41"/>
      <c r="K118" s="34"/>
      <c r="L118" s="34"/>
      <c r="M118" s="50"/>
      <c r="N118" s="45"/>
      <c r="O118" s="47"/>
    </row>
    <row r="119" spans="1:15">
      <c r="A119" s="26"/>
      <c r="B119" s="21"/>
      <c r="C119" s="22" t="s">
        <v>596</v>
      </c>
      <c r="D119" s="26" t="s">
        <v>744</v>
      </c>
      <c r="E119" s="4" t="str">
        <f>IF(ISNUMBER('FBPQ C2'!J111),'FBPQ C2'!J111,IF(ISNUMBER('FBPQ C2'!I111),'FBPQ C2'!I111,""))</f>
        <v/>
      </c>
      <c r="F119" s="30" t="s">
        <v>218</v>
      </c>
      <c r="G119" s="30" t="str">
        <f t="shared" si="5"/>
        <v xml:space="preserve"> </v>
      </c>
      <c r="H119" s="22">
        <f>IF(ISBLANK('FBPQ T4'!E111)," ",'FBPQ T4'!AE111)</f>
        <v>0</v>
      </c>
      <c r="I119" s="22" t="str">
        <f t="shared" si="4"/>
        <v xml:space="preserve"> </v>
      </c>
      <c r="J119" s="41"/>
      <c r="K119" s="34"/>
      <c r="L119" s="35"/>
      <c r="M119" s="34"/>
      <c r="N119" s="45"/>
      <c r="O119" s="46"/>
    </row>
    <row r="120" spans="1:15">
      <c r="A120" s="26"/>
      <c r="B120" s="21"/>
      <c r="C120" s="22"/>
      <c r="D120" s="26"/>
      <c r="E120" s="4" t="str">
        <f>IF(ISNUMBER('FBPQ C2'!J112),'FBPQ C2'!J112,IF(ISNUMBER('FBPQ C2'!I112),'FBPQ C2'!I112,""))</f>
        <v/>
      </c>
      <c r="F120" s="30"/>
      <c r="G120" s="30">
        <f t="shared" si="5"/>
        <v>0</v>
      </c>
      <c r="H120" s="22" t="str">
        <f>IF(ISBLANK('FBPQ T4'!E112)," ",'FBPQ T4'!AE112)</f>
        <v xml:space="preserve"> </v>
      </c>
      <c r="I120" s="22" t="str">
        <f t="shared" si="4"/>
        <v xml:space="preserve"> </v>
      </c>
      <c r="J120" s="48"/>
      <c r="K120" s="48"/>
      <c r="L120" s="48"/>
      <c r="M120" s="48"/>
      <c r="N120" s="49"/>
      <c r="O120" s="46"/>
    </row>
    <row r="121" spans="1:15">
      <c r="A121" s="26" t="s">
        <v>597</v>
      </c>
      <c r="B121" s="21"/>
      <c r="C121" s="22"/>
      <c r="D121" s="26"/>
      <c r="E121" s="4" t="str">
        <f>IF(ISNUMBER('FBPQ C2'!J113),'FBPQ C2'!J113,IF(ISNUMBER('FBPQ C2'!I113),'FBPQ C2'!I113,""))</f>
        <v/>
      </c>
      <c r="F121" s="30"/>
      <c r="G121" s="30">
        <f t="shared" si="5"/>
        <v>0</v>
      </c>
      <c r="H121" s="22" t="str">
        <f>IF(ISBLANK('FBPQ T4'!E113)," ",'FBPQ T4'!AE113)</f>
        <v xml:space="preserve"> </v>
      </c>
      <c r="I121" s="22" t="str">
        <f t="shared" si="4"/>
        <v xml:space="preserve"> </v>
      </c>
      <c r="J121" s="34"/>
      <c r="K121" s="33"/>
      <c r="L121" s="33"/>
      <c r="M121" s="50"/>
      <c r="N121" s="45"/>
      <c r="O121" s="46"/>
    </row>
    <row r="122" spans="1:15">
      <c r="A122" s="26"/>
      <c r="B122" s="21" t="s">
        <v>225</v>
      </c>
      <c r="C122" s="22"/>
      <c r="D122" s="26"/>
      <c r="E122" s="4" t="str">
        <f>IF(ISNUMBER('FBPQ C2'!J114),'FBPQ C2'!J114,IF(ISNUMBER('FBPQ C2'!I114),'FBPQ C2'!I114,""))</f>
        <v/>
      </c>
      <c r="F122" s="30"/>
      <c r="G122" s="30">
        <f t="shared" si="5"/>
        <v>0</v>
      </c>
      <c r="H122" s="22" t="str">
        <f>IF(ISBLANK('FBPQ T4'!E114)," ",'FBPQ T4'!AE114)</f>
        <v xml:space="preserve"> </v>
      </c>
      <c r="I122" s="22" t="str">
        <f t="shared" si="4"/>
        <v xml:space="preserve"> </v>
      </c>
      <c r="J122" s="41"/>
      <c r="K122" s="34"/>
      <c r="L122" s="35"/>
      <c r="M122" s="34"/>
      <c r="N122" s="45"/>
      <c r="O122" s="44"/>
    </row>
    <row r="123" spans="1:15">
      <c r="A123" s="26"/>
      <c r="B123" s="21"/>
      <c r="C123" s="22" t="s">
        <v>598</v>
      </c>
      <c r="D123" s="26" t="s">
        <v>177</v>
      </c>
      <c r="E123" s="4">
        <f>IF(ISNUMBER('FBPQ C2'!J115),'FBPQ C2'!J115,IF(ISNUMBER('FBPQ C2'!I115),'FBPQ C2'!I115,""))</f>
        <v>59.21</v>
      </c>
      <c r="F123" s="30" t="s">
        <v>218</v>
      </c>
      <c r="G123" s="30">
        <f t="shared" si="5"/>
        <v>59.21</v>
      </c>
      <c r="H123" s="22">
        <f>IF(ISBLANK('FBPQ T4'!E115)," ",'FBPQ T4'!AE115)</f>
        <v>62.1</v>
      </c>
      <c r="I123" s="22">
        <f t="shared" si="4"/>
        <v>3676.9410000000003</v>
      </c>
      <c r="J123" s="41"/>
      <c r="K123" s="34"/>
      <c r="L123" s="35"/>
      <c r="M123" s="34"/>
      <c r="N123" s="45"/>
      <c r="O123" s="44"/>
    </row>
    <row r="124" spans="1:15">
      <c r="A124" s="26"/>
      <c r="B124" s="21"/>
      <c r="C124" s="22" t="s">
        <v>599</v>
      </c>
      <c r="D124" s="26" t="s">
        <v>177</v>
      </c>
      <c r="E124" s="4">
        <f>IF(ISNUMBER('FBPQ C2'!J116),'FBPQ C2'!J116,IF(ISNUMBER('FBPQ C2'!I116),'FBPQ C2'!I116,""))</f>
        <v>53.46</v>
      </c>
      <c r="F124" s="30" t="s">
        <v>218</v>
      </c>
      <c r="G124" s="30">
        <f t="shared" si="5"/>
        <v>53.46</v>
      </c>
      <c r="H124" s="22">
        <f>IF(ISBLANK('FBPQ T4'!E116)," ",'FBPQ T4'!AE116)</f>
        <v>1382</v>
      </c>
      <c r="I124" s="22">
        <f t="shared" si="4"/>
        <v>73881.72</v>
      </c>
      <c r="J124" s="41"/>
      <c r="K124" s="34"/>
      <c r="L124" s="35"/>
      <c r="M124" s="34"/>
      <c r="N124" s="45"/>
      <c r="O124" s="46"/>
    </row>
    <row r="125" spans="1:15">
      <c r="A125" s="26"/>
      <c r="B125" s="21"/>
      <c r="C125" s="22"/>
      <c r="D125" s="26"/>
      <c r="E125" s="4" t="str">
        <f>IF(ISNUMBER('FBPQ C2'!J117),'FBPQ C2'!J117,IF(ISNUMBER('FBPQ C2'!I117),'FBPQ C2'!I117,""))</f>
        <v/>
      </c>
      <c r="F125" s="30"/>
      <c r="G125" s="30">
        <f t="shared" si="5"/>
        <v>0</v>
      </c>
      <c r="H125" s="22" t="str">
        <f>IF(ISBLANK('FBPQ T4'!E117)," ",'FBPQ T4'!AE117)</f>
        <v xml:space="preserve"> </v>
      </c>
      <c r="I125" s="22" t="str">
        <f t="shared" si="4"/>
        <v xml:space="preserve"> </v>
      </c>
      <c r="J125" s="41"/>
      <c r="K125" s="34"/>
      <c r="L125" s="35"/>
      <c r="M125" s="50"/>
      <c r="N125" s="45"/>
      <c r="O125" s="46"/>
    </row>
    <row r="126" spans="1:15">
      <c r="A126" s="26"/>
      <c r="B126" s="21" t="s">
        <v>745</v>
      </c>
      <c r="C126" s="22"/>
      <c r="D126" s="26"/>
      <c r="E126" s="4" t="str">
        <f>IF(ISNUMBER('FBPQ C2'!J118),'FBPQ C2'!J118,IF(ISNUMBER('FBPQ C2'!I118),'FBPQ C2'!I118,""))</f>
        <v/>
      </c>
      <c r="F126" s="30"/>
      <c r="G126" s="30">
        <f t="shared" si="5"/>
        <v>0</v>
      </c>
      <c r="H126" s="22" t="str">
        <f>IF(ISBLANK('FBPQ T4'!E118)," ",'FBPQ T4'!AE118)</f>
        <v xml:space="preserve"> </v>
      </c>
      <c r="I126" s="22" t="str">
        <f t="shared" si="4"/>
        <v xml:space="preserve"> </v>
      </c>
      <c r="J126" s="41"/>
      <c r="K126" s="34"/>
      <c r="L126" s="35"/>
      <c r="M126" s="34"/>
      <c r="N126" s="45"/>
      <c r="O126" s="44"/>
    </row>
    <row r="127" spans="1:15">
      <c r="A127" s="26"/>
      <c r="B127" s="21"/>
      <c r="C127" s="22" t="s">
        <v>600</v>
      </c>
      <c r="D127" s="26" t="s">
        <v>744</v>
      </c>
      <c r="E127" s="4">
        <f>IF(ISNUMBER('FBPQ C2'!J119),'FBPQ C2'!J119,IF(ISNUMBER('FBPQ C2'!I119),'FBPQ C2'!I119,""))</f>
        <v>3.55</v>
      </c>
      <c r="F127" s="30" t="s">
        <v>218</v>
      </c>
      <c r="G127" s="30">
        <f t="shared" si="5"/>
        <v>3.55</v>
      </c>
      <c r="H127" s="22">
        <f>IF(ISBLANK('FBPQ T4'!E119)," ",'FBPQ T4'!AE119)</f>
        <v>558</v>
      </c>
      <c r="I127" s="22">
        <f t="shared" si="4"/>
        <v>1980.8999999999999</v>
      </c>
      <c r="J127" s="41"/>
      <c r="K127" s="34"/>
      <c r="L127" s="35"/>
      <c r="M127" s="34"/>
      <c r="N127" s="45"/>
      <c r="O127" s="44"/>
    </row>
    <row r="128" spans="1:15">
      <c r="A128" s="26"/>
      <c r="B128" s="21"/>
      <c r="C128" s="22" t="s">
        <v>601</v>
      </c>
      <c r="D128" s="26" t="s">
        <v>744</v>
      </c>
      <c r="E128" s="4">
        <f>IF(ISNUMBER('FBPQ C2'!J120),'FBPQ C2'!J120,IF(ISNUMBER('FBPQ C2'!I120),'FBPQ C2'!I120,""))</f>
        <v>98.34</v>
      </c>
      <c r="F128" s="30" t="s">
        <v>218</v>
      </c>
      <c r="G128" s="30">
        <f t="shared" si="5"/>
        <v>98.34</v>
      </c>
      <c r="H128" s="22">
        <f>IF(ISBLANK('FBPQ T4'!E120)," ",'FBPQ T4'!AE120)</f>
        <v>3100</v>
      </c>
      <c r="I128" s="22">
        <f t="shared" si="4"/>
        <v>304854</v>
      </c>
      <c r="J128" s="41"/>
      <c r="K128" s="34"/>
      <c r="L128" s="35"/>
      <c r="M128" s="34"/>
      <c r="N128" s="45"/>
      <c r="O128" s="44"/>
    </row>
    <row r="129" spans="1:15">
      <c r="A129" s="26"/>
      <c r="B129" s="21"/>
      <c r="C129" s="22" t="s">
        <v>442</v>
      </c>
      <c r="D129" s="26" t="s">
        <v>744</v>
      </c>
      <c r="E129" s="4">
        <f>IF(ISNUMBER('FBPQ C2'!J121),'FBPQ C2'!J121,IF(ISNUMBER('FBPQ C2'!I121),'FBPQ C2'!I121,""))</f>
        <v>3.74</v>
      </c>
      <c r="F129" s="30" t="s">
        <v>218</v>
      </c>
      <c r="G129" s="30">
        <f t="shared" si="5"/>
        <v>3.74</v>
      </c>
      <c r="H129" s="22">
        <f>IF(ISBLANK('FBPQ T4'!E121)," ",'FBPQ T4'!AE121)</f>
        <v>4710</v>
      </c>
      <c r="I129" s="22">
        <f t="shared" si="4"/>
        <v>17615.400000000001</v>
      </c>
      <c r="J129" s="41"/>
      <c r="K129" s="34"/>
      <c r="L129" s="35"/>
      <c r="M129" s="50"/>
      <c r="N129" s="45"/>
      <c r="O129" s="46"/>
    </row>
    <row r="130" spans="1:15">
      <c r="A130" s="26"/>
      <c r="B130" s="21"/>
      <c r="C130" s="22"/>
      <c r="D130" s="26"/>
      <c r="E130" s="4" t="str">
        <f>IF(ISNUMBER('FBPQ C2'!J122),'FBPQ C2'!J122,IF(ISNUMBER('FBPQ C2'!I122),'FBPQ C2'!I122,""))</f>
        <v/>
      </c>
      <c r="F130" s="30"/>
      <c r="G130" s="30">
        <f t="shared" si="5"/>
        <v>0</v>
      </c>
      <c r="H130" s="22" t="str">
        <f>IF(ISBLANK('FBPQ T4'!E122)," ",'FBPQ T4'!AE122)</f>
        <v xml:space="preserve"> </v>
      </c>
      <c r="I130" s="22" t="str">
        <f t="shared" si="4"/>
        <v xml:space="preserve"> </v>
      </c>
      <c r="J130" s="41"/>
      <c r="K130" s="34"/>
      <c r="L130" s="34"/>
      <c r="M130" s="34"/>
      <c r="N130" s="45"/>
      <c r="O130" s="46"/>
    </row>
    <row r="131" spans="1:15">
      <c r="A131" s="26"/>
      <c r="B131" s="21" t="s">
        <v>769</v>
      </c>
      <c r="C131" s="22"/>
      <c r="D131" s="26"/>
      <c r="E131" s="4" t="str">
        <f>IF(ISNUMBER('FBPQ C2'!J123),'FBPQ C2'!J123,IF(ISNUMBER('FBPQ C2'!I123),'FBPQ C2'!I123,""))</f>
        <v/>
      </c>
      <c r="F131" s="30"/>
      <c r="G131" s="30">
        <f t="shared" si="5"/>
        <v>0</v>
      </c>
      <c r="H131" s="22" t="str">
        <f>IF(ISBLANK('FBPQ T4'!E123)," ",'FBPQ T4'!AE123)</f>
        <v xml:space="preserve"> </v>
      </c>
      <c r="I131" s="22" t="str">
        <f t="shared" si="4"/>
        <v xml:space="preserve"> </v>
      </c>
      <c r="J131" s="41"/>
      <c r="K131" s="34"/>
      <c r="L131" s="35"/>
      <c r="M131" s="34"/>
      <c r="N131" s="45"/>
      <c r="O131" s="44"/>
    </row>
    <row r="132" spans="1:15">
      <c r="A132" s="26"/>
      <c r="B132" s="21"/>
      <c r="C132" s="22" t="s">
        <v>710</v>
      </c>
      <c r="D132" s="26" t="s">
        <v>177</v>
      </c>
      <c r="E132" s="4">
        <f>IF(ISNUMBER('FBPQ C2'!J124),'FBPQ C2'!J124,IF(ISNUMBER('FBPQ C2'!I124),'FBPQ C2'!I124,""))</f>
        <v>1191.4000000000001</v>
      </c>
      <c r="F132" s="30" t="s">
        <v>218</v>
      </c>
      <c r="G132" s="30">
        <f t="shared" si="5"/>
        <v>1191.4000000000001</v>
      </c>
      <c r="H132" s="22">
        <f>IF(ISBLANK('FBPQ T4'!E124)," ",'FBPQ T4'!AE124)</f>
        <v>7.93</v>
      </c>
      <c r="I132" s="22">
        <f t="shared" si="4"/>
        <v>9447.8019999999997</v>
      </c>
      <c r="J132" s="41"/>
      <c r="K132" s="34"/>
      <c r="L132" s="34"/>
      <c r="M132" s="34"/>
      <c r="N132" s="45"/>
      <c r="O132" s="44"/>
    </row>
    <row r="133" spans="1:15">
      <c r="A133" s="26"/>
      <c r="B133" s="21"/>
      <c r="C133" s="22" t="s">
        <v>709</v>
      </c>
      <c r="D133" s="26" t="s">
        <v>177</v>
      </c>
      <c r="E133" s="4">
        <f>IF(ISNUMBER('FBPQ C2'!J125),'FBPQ C2'!J125,IF(ISNUMBER('FBPQ C2'!I125),'FBPQ C2'!I125,""))</f>
        <v>1325.5</v>
      </c>
      <c r="F133" s="30" t="s">
        <v>218</v>
      </c>
      <c r="G133" s="30">
        <f t="shared" si="5"/>
        <v>1325.5</v>
      </c>
      <c r="H133" s="22">
        <f>IF(ISBLANK('FBPQ T4'!E125)," ",'FBPQ T4'!AE125)</f>
        <v>67.5</v>
      </c>
      <c r="I133" s="22">
        <f t="shared" si="4"/>
        <v>89471.25</v>
      </c>
      <c r="J133" s="41"/>
      <c r="K133" s="34"/>
      <c r="L133" s="34"/>
      <c r="M133" s="34"/>
      <c r="N133" s="45"/>
      <c r="O133" s="44"/>
    </row>
    <row r="134" spans="1:15">
      <c r="A134" s="26"/>
      <c r="B134" s="21"/>
      <c r="C134" s="22" t="s">
        <v>673</v>
      </c>
      <c r="D134" s="26" t="s">
        <v>177</v>
      </c>
      <c r="E134" s="4" t="str">
        <f>IF(ISNUMBER('FBPQ C2'!J126),'FBPQ C2'!J126,IF(ISNUMBER('FBPQ C2'!I126),'FBPQ C2'!I126,""))</f>
        <v/>
      </c>
      <c r="F134" s="30" t="s">
        <v>218</v>
      </c>
      <c r="G134" s="30" t="str">
        <f t="shared" si="5"/>
        <v xml:space="preserve"> </v>
      </c>
      <c r="H134" s="22">
        <f>IF(ISBLANK('FBPQ T4'!E126)," ",'FBPQ T4'!AE126)</f>
        <v>0</v>
      </c>
      <c r="I134" s="22" t="str">
        <f t="shared" si="4"/>
        <v xml:space="preserve"> </v>
      </c>
      <c r="J134" s="41"/>
      <c r="K134" s="34"/>
      <c r="L134" s="34"/>
      <c r="M134" s="34"/>
      <c r="N134" s="45"/>
      <c r="O134" s="46"/>
    </row>
    <row r="135" spans="1:15">
      <c r="A135" s="26"/>
      <c r="B135" s="21"/>
      <c r="C135" s="22"/>
      <c r="D135" s="26"/>
      <c r="E135" s="4" t="str">
        <f>IF(ISNUMBER('FBPQ C2'!J127),'FBPQ C2'!J127,IF(ISNUMBER('FBPQ C2'!I127),'FBPQ C2'!I127,""))</f>
        <v/>
      </c>
      <c r="F135" s="30"/>
      <c r="G135" s="30">
        <f t="shared" si="5"/>
        <v>0</v>
      </c>
      <c r="H135" s="22" t="str">
        <f>IF(ISBLANK('FBPQ T4'!E127)," ",'FBPQ T4'!AE127)</f>
        <v xml:space="preserve"> </v>
      </c>
      <c r="I135" s="22" t="str">
        <f t="shared" si="4"/>
        <v xml:space="preserve"> </v>
      </c>
      <c r="J135" s="41"/>
      <c r="K135" s="34"/>
      <c r="L135" s="34"/>
      <c r="M135" s="34"/>
      <c r="N135" s="41"/>
      <c r="O135" s="46"/>
    </row>
    <row r="136" spans="1:15">
      <c r="A136" s="26"/>
      <c r="B136" s="21" t="s">
        <v>68</v>
      </c>
      <c r="C136" s="22"/>
      <c r="D136" s="26"/>
      <c r="E136" s="4" t="str">
        <f>IF(ISNUMBER('FBPQ C2'!J128),'FBPQ C2'!J128,IF(ISNUMBER('FBPQ C2'!I128),'FBPQ C2'!I128,""))</f>
        <v/>
      </c>
      <c r="F136" s="30"/>
      <c r="G136" s="30">
        <f t="shared" si="5"/>
        <v>0</v>
      </c>
      <c r="H136" s="22" t="str">
        <f>IF(ISBLANK('FBPQ T4'!E128)," ",'FBPQ T4'!AE128)</f>
        <v xml:space="preserve"> </v>
      </c>
      <c r="I136" s="22" t="str">
        <f t="shared" si="4"/>
        <v xml:space="preserve"> </v>
      </c>
      <c r="J136" s="41"/>
      <c r="K136" s="34"/>
      <c r="L136" s="35"/>
      <c r="M136" s="34"/>
      <c r="N136" s="41"/>
      <c r="O136" s="44"/>
    </row>
    <row r="137" spans="1:15">
      <c r="A137" s="26"/>
      <c r="B137" s="21"/>
      <c r="C137" s="22" t="s">
        <v>674</v>
      </c>
      <c r="D137" s="26" t="s">
        <v>177</v>
      </c>
      <c r="E137" s="4" t="str">
        <f>IF(ISNUMBER('FBPQ C2'!J129),'FBPQ C2'!J129,IF(ISNUMBER('FBPQ C2'!I129),'FBPQ C2'!I129,""))</f>
        <v/>
      </c>
      <c r="F137" s="30" t="s">
        <v>218</v>
      </c>
      <c r="G137" s="30" t="str">
        <f t="shared" si="5"/>
        <v xml:space="preserve"> </v>
      </c>
      <c r="H137" s="22">
        <f>IF(ISBLANK('FBPQ T4'!E129)," ",'FBPQ T4'!AE129)</f>
        <v>0</v>
      </c>
      <c r="I137" s="22" t="str">
        <f t="shared" si="4"/>
        <v xml:space="preserve"> </v>
      </c>
      <c r="J137" s="41"/>
      <c r="K137" s="34"/>
      <c r="L137" s="34"/>
      <c r="M137" s="50"/>
      <c r="N137" s="45"/>
      <c r="O137" s="46"/>
    </row>
    <row r="138" spans="1:15">
      <c r="A138" s="26"/>
      <c r="B138" s="21"/>
      <c r="C138" s="22"/>
      <c r="D138" s="26"/>
      <c r="E138" s="4" t="str">
        <f>IF(ISNUMBER('FBPQ C2'!J130),'FBPQ C2'!J130,IF(ISNUMBER('FBPQ C2'!I130),'FBPQ C2'!I130,""))</f>
        <v/>
      </c>
      <c r="F138" s="30"/>
      <c r="G138" s="30">
        <f t="shared" si="5"/>
        <v>0</v>
      </c>
      <c r="H138" s="22" t="str">
        <f>IF(ISBLANK('FBPQ T4'!E130)," ",'FBPQ T4'!AE130)</f>
        <v xml:space="preserve"> </v>
      </c>
      <c r="I138" s="22" t="str">
        <f t="shared" si="4"/>
        <v xml:space="preserve"> </v>
      </c>
      <c r="J138" s="41"/>
      <c r="K138" s="34"/>
      <c r="L138" s="34"/>
      <c r="M138" s="34"/>
      <c r="N138" s="41"/>
      <c r="O138" s="46"/>
    </row>
    <row r="139" spans="1:15">
      <c r="A139" s="26"/>
      <c r="B139" s="21" t="s">
        <v>637</v>
      </c>
      <c r="C139" s="22"/>
      <c r="D139" s="26"/>
      <c r="E139" s="4" t="str">
        <f>IF(ISNUMBER('FBPQ C2'!J131),'FBPQ C2'!J131,IF(ISNUMBER('FBPQ C2'!I131),'FBPQ C2'!I131,""))</f>
        <v/>
      </c>
      <c r="F139" s="30"/>
      <c r="G139" s="30">
        <f t="shared" si="5"/>
        <v>0</v>
      </c>
      <c r="H139" s="22" t="str">
        <f>IF(ISBLANK('FBPQ T4'!E131)," ",'FBPQ T4'!AE131)</f>
        <v xml:space="preserve"> </v>
      </c>
      <c r="I139" s="22" t="str">
        <f t="shared" si="4"/>
        <v xml:space="preserve"> </v>
      </c>
      <c r="J139" s="41"/>
      <c r="K139" s="34"/>
      <c r="L139" s="35"/>
      <c r="M139" s="34"/>
      <c r="N139" s="41"/>
      <c r="O139" s="44"/>
    </row>
    <row r="140" spans="1:15">
      <c r="A140" s="26"/>
      <c r="B140" s="21"/>
      <c r="C140" s="22" t="s">
        <v>675</v>
      </c>
      <c r="D140" s="26" t="s">
        <v>744</v>
      </c>
      <c r="E140" s="4">
        <f>IF(ISNUMBER('FBPQ C2'!J132),'FBPQ C2'!J132,IF(ISNUMBER('FBPQ C2'!I132),'FBPQ C2'!I132,""))</f>
        <v>147.02000000000001</v>
      </c>
      <c r="F140" s="30" t="s">
        <v>218</v>
      </c>
      <c r="G140" s="30">
        <f t="shared" si="5"/>
        <v>147.02000000000001</v>
      </c>
      <c r="H140" s="22">
        <f>IF(ISBLANK('FBPQ T4'!E132)," ",'FBPQ T4'!AE132)</f>
        <v>153</v>
      </c>
      <c r="I140" s="22">
        <f t="shared" si="4"/>
        <v>22494.06</v>
      </c>
      <c r="J140" s="41"/>
      <c r="K140" s="34"/>
      <c r="L140" s="34"/>
      <c r="M140" s="34"/>
      <c r="N140" s="45"/>
      <c r="O140" s="47"/>
    </row>
    <row r="141" spans="1:15">
      <c r="A141" s="26"/>
      <c r="B141" s="21"/>
      <c r="C141" s="22" t="s">
        <v>676</v>
      </c>
      <c r="D141" s="26" t="s">
        <v>744</v>
      </c>
      <c r="E141" s="4" t="str">
        <f>IF(ISNUMBER('FBPQ C2'!J133),'FBPQ C2'!J133,IF(ISNUMBER('FBPQ C2'!I133),'FBPQ C2'!I133,""))</f>
        <v/>
      </c>
      <c r="F141" s="30" t="s">
        <v>218</v>
      </c>
      <c r="G141" s="30" t="str">
        <f t="shared" si="5"/>
        <v>DATA</v>
      </c>
      <c r="H141" s="22">
        <f>IF(ISBLANK('FBPQ T4'!E133)," ",'FBPQ T4'!AE133)</f>
        <v>856</v>
      </c>
      <c r="I141" s="22" t="str">
        <f t="shared" si="4"/>
        <v xml:space="preserve"> </v>
      </c>
      <c r="J141" s="41"/>
      <c r="K141" s="34"/>
      <c r="L141" s="34"/>
      <c r="M141" s="34"/>
      <c r="N141" s="45"/>
      <c r="O141" s="46"/>
    </row>
    <row r="142" spans="1:15">
      <c r="A142" s="26"/>
      <c r="B142" s="21"/>
      <c r="C142" s="22"/>
      <c r="D142" s="26"/>
      <c r="E142" s="4" t="str">
        <f>IF(ISNUMBER('FBPQ C2'!J134),'FBPQ C2'!J134,IF(ISNUMBER('FBPQ C2'!I134),'FBPQ C2'!I134,""))</f>
        <v/>
      </c>
      <c r="F142" s="30"/>
      <c r="G142" s="30">
        <f t="shared" si="5"/>
        <v>0</v>
      </c>
      <c r="H142" s="22" t="str">
        <f>IF(ISBLANK('FBPQ T4'!E134)," ",'FBPQ T4'!AE134)</f>
        <v xml:space="preserve"> </v>
      </c>
      <c r="I142" s="22" t="str">
        <f t="shared" si="4"/>
        <v xml:space="preserve"> </v>
      </c>
      <c r="J142" s="41"/>
      <c r="K142" s="34"/>
      <c r="L142" s="34"/>
      <c r="M142" s="34"/>
      <c r="N142" s="41"/>
      <c r="O142" s="46"/>
    </row>
    <row r="143" spans="1:15">
      <c r="A143" s="26"/>
      <c r="B143" s="21" t="s">
        <v>512</v>
      </c>
      <c r="C143" s="22"/>
      <c r="D143" s="26"/>
      <c r="E143" s="4" t="str">
        <f>IF(ISNUMBER('FBPQ C2'!J135),'FBPQ C2'!J135,IF(ISNUMBER('FBPQ C2'!I135),'FBPQ C2'!I135,""))</f>
        <v/>
      </c>
      <c r="F143" s="30"/>
      <c r="G143" s="30">
        <f t="shared" si="5"/>
        <v>0</v>
      </c>
      <c r="H143" s="22" t="str">
        <f>IF(ISBLANK('FBPQ T4'!E135)," ",'FBPQ T4'!AE135)</f>
        <v xml:space="preserve"> </v>
      </c>
      <c r="I143" s="22" t="str">
        <f t="shared" si="4"/>
        <v xml:space="preserve"> </v>
      </c>
      <c r="J143" s="41"/>
      <c r="K143" s="34"/>
      <c r="L143" s="35"/>
      <c r="M143" s="34"/>
      <c r="N143" s="45"/>
      <c r="O143" s="44"/>
    </row>
    <row r="144" spans="1:15">
      <c r="A144" s="26"/>
      <c r="B144" s="21"/>
      <c r="C144" s="22" t="s">
        <v>677</v>
      </c>
      <c r="D144" s="26" t="s">
        <v>744</v>
      </c>
      <c r="E144" s="4">
        <f>IF(ISNUMBER('FBPQ C2'!J136),'FBPQ C2'!J136,IF(ISNUMBER('FBPQ C2'!I136),'FBPQ C2'!I136,""))</f>
        <v>1140.57</v>
      </c>
      <c r="F144" s="30" t="s">
        <v>218</v>
      </c>
      <c r="G144" s="30">
        <f t="shared" si="5"/>
        <v>1140.57</v>
      </c>
      <c r="H144" s="22">
        <f>IF(ISBLANK('FBPQ T4'!E136)," ",'FBPQ T4'!AE136)</f>
        <v>94</v>
      </c>
      <c r="I144" s="22">
        <f t="shared" si="4"/>
        <v>107213.57999999999</v>
      </c>
      <c r="J144" s="41"/>
      <c r="K144" s="34"/>
      <c r="L144" s="34"/>
      <c r="M144" s="50"/>
      <c r="N144" s="45"/>
      <c r="O144" s="51"/>
    </row>
    <row r="145" spans="1:15">
      <c r="A145" s="26"/>
      <c r="B145" s="21"/>
      <c r="C145" s="22" t="s">
        <v>678</v>
      </c>
      <c r="D145" s="26" t="s">
        <v>744</v>
      </c>
      <c r="E145" s="4" t="str">
        <f>IF(ISNUMBER('FBPQ C2'!J137),'FBPQ C2'!J137,IF(ISNUMBER('FBPQ C2'!I137),'FBPQ C2'!I137,""))</f>
        <v/>
      </c>
      <c r="F145" s="30" t="s">
        <v>218</v>
      </c>
      <c r="G145" s="30" t="str">
        <f t="shared" si="5"/>
        <v>DATA</v>
      </c>
      <c r="H145" s="22">
        <f>IF(ISBLANK('FBPQ T4'!E137)," ",'FBPQ T4'!AE137)</f>
        <v>161</v>
      </c>
      <c r="I145" s="22" t="str">
        <f t="shared" si="4"/>
        <v xml:space="preserve"> </v>
      </c>
      <c r="J145" s="41"/>
      <c r="K145" s="34"/>
      <c r="L145" s="34"/>
      <c r="M145" s="50"/>
      <c r="N145" s="45"/>
      <c r="O145" s="52"/>
    </row>
    <row r="146" spans="1:15">
      <c r="A146" s="26"/>
      <c r="B146" s="21"/>
      <c r="C146" s="22"/>
      <c r="D146" s="26"/>
      <c r="E146" s="4" t="str">
        <f>IF(ISNUMBER('FBPQ C2'!J138),'FBPQ C2'!J138,IF(ISNUMBER('FBPQ C2'!I138),'FBPQ C2'!I138,""))</f>
        <v/>
      </c>
      <c r="F146" s="30"/>
      <c r="G146" s="30">
        <f t="shared" si="5"/>
        <v>0</v>
      </c>
      <c r="H146" s="22" t="str">
        <f>IF(ISBLANK('FBPQ T4'!E138)," ",'FBPQ T4'!AE138)</f>
        <v xml:space="preserve"> </v>
      </c>
      <c r="I146" s="22" t="str">
        <f t="shared" si="4"/>
        <v xml:space="preserve"> </v>
      </c>
      <c r="J146" s="48"/>
      <c r="K146" s="48"/>
      <c r="L146" s="48"/>
      <c r="M146" s="48"/>
      <c r="N146" s="49"/>
    </row>
    <row r="147" spans="1:15">
      <c r="A147" s="26" t="s">
        <v>683</v>
      </c>
      <c r="B147" s="21"/>
      <c r="C147" s="22"/>
      <c r="D147" s="26"/>
      <c r="E147" s="4" t="str">
        <f>IF(ISNUMBER('FBPQ C2'!J139),'FBPQ C2'!J139,IF(ISNUMBER('FBPQ C2'!I139),'FBPQ C2'!I139,""))</f>
        <v/>
      </c>
      <c r="F147" s="30"/>
      <c r="G147" s="30">
        <f t="shared" si="5"/>
        <v>0</v>
      </c>
      <c r="H147" s="22" t="str">
        <f>IF(ISBLANK('FBPQ T4'!E139)," ",'FBPQ T4'!AE139)</f>
        <v xml:space="preserve"> </v>
      </c>
      <c r="I147" s="22" t="str">
        <f t="shared" si="4"/>
        <v xml:space="preserve"> </v>
      </c>
    </row>
    <row r="148" spans="1:15">
      <c r="A148" s="26"/>
      <c r="B148" s="21" t="s">
        <v>684</v>
      </c>
      <c r="C148" s="22"/>
      <c r="D148" s="26"/>
      <c r="E148" s="4" t="str">
        <f>IF(ISNUMBER('FBPQ C2'!J140),'FBPQ C2'!J140,IF(ISNUMBER('FBPQ C2'!I140),'FBPQ C2'!I140,""))</f>
        <v/>
      </c>
      <c r="F148" s="30"/>
      <c r="G148" s="30">
        <f t="shared" ref="G148:G163" si="6">IF(ISNUMBER(E148),E148,IF(H148&gt;0,F148," "))</f>
        <v>0</v>
      </c>
      <c r="H148" s="22" t="str">
        <f>IF(ISBLANK('FBPQ T4'!E140)," ",'FBPQ T4'!AE140)</f>
        <v xml:space="preserve"> </v>
      </c>
      <c r="I148" s="22" t="str">
        <f t="shared" si="4"/>
        <v xml:space="preserve"> </v>
      </c>
    </row>
    <row r="149" spans="1:15">
      <c r="A149" s="26"/>
      <c r="B149" s="21"/>
      <c r="C149" s="22" t="s">
        <v>685</v>
      </c>
      <c r="D149" s="26" t="s">
        <v>744</v>
      </c>
      <c r="E149" s="4" t="str">
        <f>IF(ISNUMBER('FBPQ C2'!J141),'FBPQ C2'!J141,IF(ISNUMBER('FBPQ C2'!I141),'FBPQ C2'!I141,""))</f>
        <v/>
      </c>
      <c r="F149" s="30" t="s">
        <v>218</v>
      </c>
      <c r="G149" s="30" t="str">
        <f t="shared" si="6"/>
        <v xml:space="preserve"> </v>
      </c>
      <c r="H149" s="22">
        <f>IF(ISBLANK('FBPQ T4'!E141)," ",'FBPQ T4'!AE141)</f>
        <v>0</v>
      </c>
      <c r="I149" s="22" t="str">
        <f t="shared" ref="I149:I163" si="7">IF(ISERROR(G149*H149)," ",G149*H149)</f>
        <v xml:space="preserve"> </v>
      </c>
    </row>
    <row r="150" spans="1:15">
      <c r="A150" s="26"/>
      <c r="B150" s="21"/>
      <c r="C150" s="22" t="s">
        <v>854</v>
      </c>
      <c r="D150" s="26" t="s">
        <v>744</v>
      </c>
      <c r="E150" s="4" t="str">
        <f>IF(ISNUMBER('FBPQ C2'!J142),'FBPQ C2'!J142,IF(ISNUMBER('FBPQ C2'!I142),'FBPQ C2'!I142,""))</f>
        <v/>
      </c>
      <c r="F150" s="30" t="s">
        <v>218</v>
      </c>
      <c r="G150" s="30" t="str">
        <f t="shared" si="6"/>
        <v>DATA</v>
      </c>
      <c r="H150" s="22">
        <f>IF(ISBLANK('FBPQ T4'!E142)," ",'FBPQ T4'!AE142)</f>
        <v>393</v>
      </c>
      <c r="I150" s="22" t="str">
        <f t="shared" si="7"/>
        <v xml:space="preserve"> </v>
      </c>
    </row>
    <row r="151" spans="1:15">
      <c r="A151" s="26"/>
      <c r="B151" s="21"/>
      <c r="C151" s="22"/>
      <c r="D151" s="26"/>
      <c r="E151" s="4" t="str">
        <f>IF(ISNUMBER('FBPQ C2'!J143),'FBPQ C2'!J143,IF(ISNUMBER('FBPQ C2'!I143),'FBPQ C2'!I143,""))</f>
        <v/>
      </c>
      <c r="F151" s="30"/>
      <c r="G151" s="30">
        <f t="shared" si="6"/>
        <v>0</v>
      </c>
      <c r="H151" s="22" t="str">
        <f>IF(ISBLANK('FBPQ T4'!E143)," ",'FBPQ T4'!AE143)</f>
        <v xml:space="preserve"> </v>
      </c>
      <c r="I151" s="22" t="str">
        <f t="shared" si="7"/>
        <v xml:space="preserve"> </v>
      </c>
    </row>
    <row r="152" spans="1:15">
      <c r="A152" s="26"/>
      <c r="B152" s="21" t="s">
        <v>855</v>
      </c>
      <c r="C152" s="22"/>
      <c r="D152" s="26"/>
      <c r="E152" s="4" t="str">
        <f>IF(ISNUMBER('FBPQ C2'!J144),'FBPQ C2'!J144,IF(ISNUMBER('FBPQ C2'!I144),'FBPQ C2'!I144,""))</f>
        <v/>
      </c>
      <c r="F152" s="30"/>
      <c r="G152" s="30">
        <f t="shared" si="6"/>
        <v>0</v>
      </c>
      <c r="H152" s="22" t="str">
        <f>IF(ISBLANK('FBPQ T4'!E144)," ",'FBPQ T4'!AE144)</f>
        <v xml:space="preserve"> </v>
      </c>
      <c r="I152" s="22" t="str">
        <f t="shared" si="7"/>
        <v xml:space="preserve"> </v>
      </c>
    </row>
    <row r="153" spans="1:15">
      <c r="A153" s="26"/>
      <c r="B153" s="21"/>
      <c r="C153" s="22" t="s">
        <v>687</v>
      </c>
      <c r="D153" s="26" t="s">
        <v>744</v>
      </c>
      <c r="E153" s="4" t="str">
        <f>IF(ISNUMBER('FBPQ C2'!J145),'FBPQ C2'!J145,IF(ISNUMBER('FBPQ C2'!I145),'FBPQ C2'!I145,""))</f>
        <v/>
      </c>
      <c r="F153" s="30" t="s">
        <v>218</v>
      </c>
      <c r="G153" s="30" t="str">
        <f t="shared" si="6"/>
        <v>DATA</v>
      </c>
      <c r="H153" s="22">
        <f>IF(ISBLANK('FBPQ T4'!E145)," ",'FBPQ T4'!AE145)</f>
        <v>1747</v>
      </c>
      <c r="I153" s="22" t="str">
        <f t="shared" si="7"/>
        <v xml:space="preserve"> </v>
      </c>
    </row>
    <row r="154" spans="1:15">
      <c r="A154" s="26"/>
      <c r="B154" s="21"/>
      <c r="C154" s="22" t="s">
        <v>688</v>
      </c>
      <c r="D154" s="26" t="s">
        <v>744</v>
      </c>
      <c r="E154" s="4" t="str">
        <f>IF(ISNUMBER('FBPQ C2'!J146),'FBPQ C2'!J146,IF(ISNUMBER('FBPQ C2'!I146),'FBPQ C2'!I146,""))</f>
        <v/>
      </c>
      <c r="F154" s="30" t="s">
        <v>218</v>
      </c>
      <c r="G154" s="30" t="str">
        <f t="shared" si="6"/>
        <v>DATA</v>
      </c>
      <c r="H154" s="22">
        <f>IF(ISBLANK('FBPQ T4'!E146)," ",'FBPQ T4'!AE146)</f>
        <v>155</v>
      </c>
      <c r="I154" s="22" t="str">
        <f t="shared" si="7"/>
        <v xml:space="preserve"> </v>
      </c>
    </row>
    <row r="155" spans="1:15">
      <c r="A155" s="26"/>
      <c r="B155" s="21"/>
      <c r="C155" s="22"/>
      <c r="D155" s="26"/>
      <c r="E155" s="4" t="str">
        <f>IF(ISNUMBER('FBPQ C2'!J147),'FBPQ C2'!J147,IF(ISNUMBER('FBPQ C2'!I147),'FBPQ C2'!I147,""))</f>
        <v/>
      </c>
      <c r="F155" s="30"/>
      <c r="G155" s="30">
        <f t="shared" si="6"/>
        <v>0</v>
      </c>
      <c r="H155" s="22" t="str">
        <f>IF(ISBLANK('FBPQ T4'!E147)," ",'FBPQ T4'!AE147)</f>
        <v xml:space="preserve"> </v>
      </c>
      <c r="I155" s="22" t="str">
        <f t="shared" si="7"/>
        <v xml:space="preserve"> </v>
      </c>
    </row>
    <row r="156" spans="1:15">
      <c r="A156" s="26"/>
      <c r="B156" s="21"/>
      <c r="C156" s="22"/>
      <c r="D156" s="26"/>
      <c r="E156" s="4" t="str">
        <f>IF(ISNUMBER('FBPQ C2'!J148),'FBPQ C2'!J148,IF(ISNUMBER('FBPQ C2'!I148),'FBPQ C2'!I148,""))</f>
        <v/>
      </c>
      <c r="F156" s="30"/>
      <c r="G156" s="30">
        <f t="shared" si="6"/>
        <v>0</v>
      </c>
      <c r="H156" s="22" t="str">
        <f>IF(ISBLANK('FBPQ T4'!E148)," ",'FBPQ T4'!AE148)</f>
        <v xml:space="preserve"> </v>
      </c>
      <c r="I156" s="22" t="str">
        <f t="shared" si="7"/>
        <v xml:space="preserve"> </v>
      </c>
    </row>
    <row r="157" spans="1:15">
      <c r="A157" s="26" t="s">
        <v>689</v>
      </c>
      <c r="B157" s="21"/>
      <c r="C157" s="22"/>
      <c r="D157" s="26"/>
      <c r="E157" s="4" t="str">
        <f>IF(ISNUMBER('FBPQ C2'!J149),'FBPQ C2'!J149,IF(ISNUMBER('FBPQ C2'!I149),'FBPQ C2'!I149,""))</f>
        <v/>
      </c>
      <c r="F157" s="30"/>
      <c r="G157" s="30">
        <f t="shared" si="6"/>
        <v>0</v>
      </c>
      <c r="H157" s="22" t="str">
        <f>IF(ISBLANK('FBPQ T4'!E149)," ",'FBPQ T4'!AE149)</f>
        <v xml:space="preserve"> </v>
      </c>
      <c r="I157" s="22" t="str">
        <f t="shared" si="7"/>
        <v xml:space="preserve"> </v>
      </c>
    </row>
    <row r="158" spans="1:15">
      <c r="A158" s="26"/>
      <c r="B158" s="21"/>
      <c r="C158" s="22" t="s">
        <v>80</v>
      </c>
      <c r="D158" s="26"/>
      <c r="E158" s="4" t="str">
        <f>IF(ISNUMBER('FBPQ C2'!J150),'FBPQ C2'!J150,IF(ISNUMBER('FBPQ C2'!I150),'FBPQ C2'!I150,""))</f>
        <v/>
      </c>
      <c r="F158" s="30"/>
      <c r="G158" s="30">
        <f t="shared" si="6"/>
        <v>0</v>
      </c>
      <c r="H158" s="22" t="str">
        <f>IF(ISBLANK('FBPQ T4'!E150)," ",'FBPQ T4'!AE150)</f>
        <v xml:space="preserve"> </v>
      </c>
      <c r="I158" s="22" t="str">
        <f t="shared" si="7"/>
        <v xml:space="preserve"> </v>
      </c>
    </row>
    <row r="159" spans="1:15">
      <c r="A159" s="26"/>
      <c r="B159" s="21"/>
      <c r="C159" s="22" t="s">
        <v>690</v>
      </c>
      <c r="D159" s="26" t="s">
        <v>744</v>
      </c>
      <c r="E159" s="4">
        <f>IF(ISNUMBER('FBPQ C2'!J151),'FBPQ C2'!J151,IF(ISNUMBER('FBPQ C2'!I151),'FBPQ C2'!I151,""))</f>
        <v>24.46</v>
      </c>
      <c r="F159" s="30" t="s">
        <v>218</v>
      </c>
      <c r="G159" s="30">
        <f t="shared" si="6"/>
        <v>24.46</v>
      </c>
      <c r="H159" s="22" t="str">
        <f>IF(ISBLANK('FBPQ T4'!E151)," ",'FBPQ T4'!AE151)</f>
        <v xml:space="preserve"> </v>
      </c>
      <c r="I159" s="22" t="str">
        <f t="shared" si="7"/>
        <v xml:space="preserve"> </v>
      </c>
    </row>
    <row r="160" spans="1:15">
      <c r="A160" s="26"/>
      <c r="B160" s="21"/>
      <c r="C160" s="22" t="s">
        <v>691</v>
      </c>
      <c r="D160" s="26" t="s">
        <v>744</v>
      </c>
      <c r="E160" s="4">
        <f>IF(ISNUMBER('FBPQ C2'!J152),'FBPQ C2'!J152,IF(ISNUMBER('FBPQ C2'!I152),'FBPQ C2'!I152,""))</f>
        <v>24.46</v>
      </c>
      <c r="F160" s="30" t="s">
        <v>218</v>
      </c>
      <c r="G160" s="30">
        <f t="shared" si="6"/>
        <v>24.46</v>
      </c>
      <c r="H160" s="22" t="str">
        <f>IF(ISBLANK('FBPQ T4'!E152)," ",'FBPQ T4'!AE152)</f>
        <v xml:space="preserve"> </v>
      </c>
      <c r="I160" s="22" t="str">
        <f t="shared" si="7"/>
        <v xml:space="preserve"> </v>
      </c>
    </row>
    <row r="161" spans="1:9">
      <c r="A161" s="26"/>
      <c r="B161" s="21"/>
      <c r="C161" s="22" t="s">
        <v>503</v>
      </c>
      <c r="D161" s="26"/>
      <c r="E161" s="4" t="str">
        <f>IF(ISNUMBER('FBPQ C2'!J153),'FBPQ C2'!J153,IF(ISNUMBER('FBPQ C2'!I153),'FBPQ C2'!I153,""))</f>
        <v/>
      </c>
      <c r="F161" s="30" t="s">
        <v>218</v>
      </c>
      <c r="G161" s="30" t="str">
        <f t="shared" si="6"/>
        <v>DATA</v>
      </c>
      <c r="H161" s="22" t="str">
        <f>IF(ISBLANK('FBPQ T4'!E153)," ",'FBPQ T4'!AE153)</f>
        <v xml:space="preserve"> </v>
      </c>
      <c r="I161" s="22" t="str">
        <f t="shared" si="7"/>
        <v xml:space="preserve"> </v>
      </c>
    </row>
    <row r="162" spans="1:9">
      <c r="A162" s="26"/>
      <c r="B162" s="21"/>
      <c r="C162" s="22" t="s">
        <v>690</v>
      </c>
      <c r="D162" s="26" t="s">
        <v>744</v>
      </c>
      <c r="E162" s="4" t="str">
        <f>IF(ISNUMBER('FBPQ C2'!J154),'FBPQ C2'!J154,IF(ISNUMBER('FBPQ C2'!I154),'FBPQ C2'!I154,""))</f>
        <v/>
      </c>
      <c r="F162" s="30" t="s">
        <v>218</v>
      </c>
      <c r="G162" s="30" t="str">
        <f t="shared" si="6"/>
        <v>DATA</v>
      </c>
      <c r="H162" s="22" t="str">
        <f>IF(ISBLANK('FBPQ T4'!E154)," ",'FBPQ T4'!AE154)</f>
        <v xml:space="preserve"> </v>
      </c>
      <c r="I162" s="22" t="str">
        <f t="shared" si="7"/>
        <v xml:space="preserve"> </v>
      </c>
    </row>
    <row r="163" spans="1:9">
      <c r="A163" s="25"/>
      <c r="B163" s="23"/>
      <c r="C163" s="24" t="s">
        <v>691</v>
      </c>
      <c r="D163" s="25" t="s">
        <v>744</v>
      </c>
      <c r="E163" s="5" t="str">
        <f>IF(ISNUMBER('FBPQ C2'!J155),'FBPQ C2'!J155,IF(ISNUMBER('FBPQ C2'!I155),'FBPQ C2'!I155,""))</f>
        <v/>
      </c>
      <c r="F163" s="31" t="s">
        <v>218</v>
      </c>
      <c r="G163" s="31" t="str">
        <f t="shared" si="6"/>
        <v>DATA</v>
      </c>
      <c r="H163" s="25" t="str">
        <f>IF(ISBLANK('FBPQ T4'!E155)," ",'FBPQ T4'!AE155)</f>
        <v xml:space="preserve"> </v>
      </c>
      <c r="I163" s="25" t="str">
        <f t="shared" si="7"/>
        <v xml:space="preserve"> </v>
      </c>
    </row>
    <row r="164" spans="1:9" ht="17.25" customHeight="1">
      <c r="H164" s="1389" t="s">
        <v>461</v>
      </c>
      <c r="I164" s="1390">
        <f>SUM(I18:I163)</f>
        <v>5628976.9689199999</v>
      </c>
    </row>
  </sheetData>
  <mergeCells count="2">
    <mergeCell ref="F3:H3"/>
    <mergeCell ref="F4:H4"/>
  </mergeCells>
  <phoneticPr fontId="0" type="noConversion"/>
  <hyperlinks>
    <hyperlink ref="F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FFFF00"/>
  </sheetPr>
  <dimension ref="A1:F37"/>
  <sheetViews>
    <sheetView showGridLines="0" workbookViewId="0"/>
  </sheetViews>
  <sheetFormatPr defaultColWidth="8.85546875" defaultRowHeight="12.75"/>
  <cols>
    <col min="1" max="1" width="59.140625" customWidth="1"/>
    <col min="2" max="2" width="16" customWidth="1"/>
    <col min="3" max="6" width="19" customWidth="1"/>
  </cols>
  <sheetData>
    <row r="1" spans="1:6" ht="15.75">
      <c r="A1" s="134" t="s">
        <v>539</v>
      </c>
      <c r="D1" s="253" t="s">
        <v>216</v>
      </c>
    </row>
    <row r="2" spans="1:6" ht="38.25">
      <c r="B2" s="135" t="s">
        <v>540</v>
      </c>
    </row>
    <row r="3" spans="1:6">
      <c r="A3" s="135" t="s">
        <v>541</v>
      </c>
      <c r="B3" s="1276">
        <f>'RRP 5.1'!G36</f>
        <v>11135.698339690003</v>
      </c>
    </row>
    <row r="4" spans="1:6">
      <c r="A4" s="135" t="s">
        <v>542</v>
      </c>
      <c r="B4" s="1276">
        <f>'RRP 5.1'!G35</f>
        <v>3560.4307964999998</v>
      </c>
    </row>
    <row r="5" spans="1:6">
      <c r="A5" s="135" t="s">
        <v>695</v>
      </c>
      <c r="B5" s="1276">
        <f>'RRP 5.1'!G34</f>
        <v>519.3929296</v>
      </c>
    </row>
    <row r="6" spans="1:6">
      <c r="A6" s="135" t="s">
        <v>705</v>
      </c>
      <c r="B6" s="1276">
        <f>'RRP 5.1'!G40</f>
        <v>1023.462</v>
      </c>
    </row>
    <row r="8" spans="1:6" ht="15.75">
      <c r="A8" s="134" t="s">
        <v>696</v>
      </c>
    </row>
    <row r="9" spans="1:6">
      <c r="B9" s="135" t="s">
        <v>697</v>
      </c>
      <c r="C9" s="135" t="s">
        <v>240</v>
      </c>
      <c r="D9" s="135" t="s">
        <v>239</v>
      </c>
      <c r="E9" s="135" t="s">
        <v>245</v>
      </c>
      <c r="F9" s="135" t="s">
        <v>243</v>
      </c>
    </row>
    <row r="10" spans="1:6">
      <c r="A10" s="135" t="s">
        <v>541</v>
      </c>
      <c r="B10" s="1276">
        <v>1</v>
      </c>
      <c r="C10" s="1276">
        <v>1</v>
      </c>
      <c r="D10" s="1276">
        <v>1</v>
      </c>
      <c r="E10" s="1276">
        <v>1</v>
      </c>
      <c r="F10" s="1276">
        <v>1</v>
      </c>
    </row>
    <row r="11" spans="1:6">
      <c r="A11" s="135" t="s">
        <v>542</v>
      </c>
      <c r="B11" s="1276">
        <v>0</v>
      </c>
      <c r="C11" s="1276">
        <v>0</v>
      </c>
      <c r="D11" s="1276">
        <f>(1+$B$6/($B$3+$B$4/2+$B$5/4)/2)/(1+$B$6/($B$3+$B$4/2+$B$5/4))</f>
        <v>0.96362763141173924</v>
      </c>
      <c r="E11" s="1276">
        <f>(1+$B$6/($B$3+$B$4/2+$B$5/4)/2)/(1+$B$6/($B$3+$B$4/2+$B$5/4))</f>
        <v>0.96362763141173924</v>
      </c>
      <c r="F11" s="1276">
        <f>(1+$B$6/($B$3+$B$4/2+$B$5/4)/2)/(1+$B$6/($B$3+$B$4/2+$B$5/4))</f>
        <v>0.96362763141173924</v>
      </c>
    </row>
    <row r="12" spans="1:6">
      <c r="A12" s="135" t="s">
        <v>695</v>
      </c>
      <c r="B12" s="1276">
        <v>0</v>
      </c>
      <c r="C12" s="1276">
        <v>0</v>
      </c>
      <c r="D12" s="1276">
        <v>0</v>
      </c>
      <c r="E12" s="1276">
        <f>(1+$B$6/($B$3+$B$4/2+$B$5/4)/4)/(1+$B$6/($B$3+$B$4/2+$B$5/4))</f>
        <v>0.94544144711760902</v>
      </c>
      <c r="F12" s="1276">
        <f>(1+$B$6/($B$3+$B$4/2+$B$5/4)/4)/(1+$B$6/($B$3+$B$4/2+$B$5/4))</f>
        <v>0.94544144711760902</v>
      </c>
    </row>
    <row r="14" spans="1:6" ht="15.75">
      <c r="A14" s="134"/>
    </row>
    <row r="15" spans="1:6" ht="14.25">
      <c r="A15" s="136"/>
    </row>
    <row r="16" spans="1:6" ht="14.25">
      <c r="A16" s="136"/>
    </row>
    <row r="17" spans="1:6" ht="14.25">
      <c r="A17" s="137"/>
    </row>
    <row r="18" spans="1:6" ht="14.25">
      <c r="A18" s="137"/>
    </row>
    <row r="19" spans="1:6">
      <c r="B19" s="135" t="s">
        <v>697</v>
      </c>
      <c r="C19" s="135" t="s">
        <v>240</v>
      </c>
      <c r="D19" s="135" t="s">
        <v>239</v>
      </c>
      <c r="E19" s="135" t="s">
        <v>245</v>
      </c>
      <c r="F19" s="135" t="s">
        <v>243</v>
      </c>
    </row>
    <row r="20" spans="1:6">
      <c r="A20" s="135" t="s">
        <v>704</v>
      </c>
      <c r="B20" s="1277">
        <f>SUMPRODUCT(B$10:B$12,$B$3:$B$5)</f>
        <v>11135.698339690003</v>
      </c>
      <c r="C20" s="1277">
        <f>SUMPRODUCT(C$10:C$12,$B$3:$B$5)</f>
        <v>11135.698339690003</v>
      </c>
      <c r="D20" s="1277">
        <f>SUMPRODUCT(D$10:D$12,$B$3:$B$5)</f>
        <v>14566.62783492671</v>
      </c>
      <c r="E20" s="1277">
        <f>SUMPRODUCT(E$10:E$12,$B$3:$B$5)</f>
        <v>15057.683437910389</v>
      </c>
      <c r="F20" s="1277">
        <f>SUMPRODUCT(F$10:F$12,$B$3:$B$5)</f>
        <v>15057.683437910389</v>
      </c>
    </row>
    <row r="21" spans="1:6">
      <c r="A21" s="135" t="s">
        <v>462</v>
      </c>
      <c r="B21" s="1278">
        <f>B20*1000000</f>
        <v>11135698339.690002</v>
      </c>
      <c r="C21" s="1278">
        <f>C20*1000000</f>
        <v>11135698339.690002</v>
      </c>
      <c r="D21" s="1278">
        <f>D20*1000000</f>
        <v>14566627834.92671</v>
      </c>
      <c r="E21" s="1278">
        <f>E20*1000000</f>
        <v>15057683437.910389</v>
      </c>
      <c r="F21" s="1278">
        <f>F20*1000000</f>
        <v>15057683437.910389</v>
      </c>
    </row>
    <row r="25" spans="1:6">
      <c r="A25" s="65"/>
      <c r="B25" s="65"/>
      <c r="C25" s="65"/>
      <c r="D25" s="65"/>
      <c r="E25" s="65"/>
    </row>
    <row r="26" spans="1:6">
      <c r="A26" s="65"/>
      <c r="B26" s="65"/>
      <c r="C26" s="65"/>
      <c r="D26" s="65"/>
      <c r="E26" s="65"/>
    </row>
    <row r="27" spans="1:6">
      <c r="A27" s="65"/>
      <c r="B27" s="65"/>
      <c r="C27" s="138"/>
      <c r="D27" s="138"/>
      <c r="E27" s="138"/>
    </row>
    <row r="28" spans="1:6">
      <c r="A28" s="65"/>
      <c r="B28" s="65"/>
      <c r="C28" s="138"/>
      <c r="D28" s="138"/>
      <c r="E28" s="138"/>
    </row>
    <row r="29" spans="1:6">
      <c r="A29" s="65"/>
      <c r="B29" s="65"/>
      <c r="C29" s="138"/>
      <c r="D29" s="138"/>
      <c r="E29" s="138"/>
    </row>
    <row r="30" spans="1:6">
      <c r="A30" s="65"/>
      <c r="B30" s="65"/>
      <c r="C30" s="138"/>
      <c r="D30" s="138"/>
      <c r="E30" s="138"/>
    </row>
    <row r="31" spans="1:6">
      <c r="A31" s="65"/>
      <c r="B31" s="65"/>
      <c r="C31" s="139"/>
      <c r="D31" s="139"/>
      <c r="E31" s="138"/>
    </row>
    <row r="32" spans="1:6">
      <c r="A32" s="65"/>
      <c r="B32" s="65"/>
      <c r="C32" s="139"/>
      <c r="D32" s="139"/>
      <c r="E32" s="138"/>
    </row>
    <row r="33" spans="1:5">
      <c r="A33" s="65"/>
      <c r="B33" s="65"/>
      <c r="C33" s="139"/>
      <c r="D33" s="139"/>
      <c r="E33" s="138"/>
    </row>
    <row r="34" spans="1:5">
      <c r="A34" s="65"/>
      <c r="B34" s="65"/>
      <c r="C34" s="139"/>
      <c r="D34" s="139"/>
      <c r="E34" s="138"/>
    </row>
    <row r="35" spans="1:5">
      <c r="A35" s="65"/>
      <c r="B35" s="65"/>
      <c r="C35" s="139"/>
      <c r="D35" s="80"/>
      <c r="E35" s="80"/>
    </row>
    <row r="36" spans="1:5">
      <c r="A36" s="65"/>
      <c r="B36" s="65"/>
      <c r="C36" s="80"/>
      <c r="D36" s="80"/>
      <c r="E36" s="80"/>
    </row>
    <row r="37" spans="1:5">
      <c r="A37" s="65"/>
      <c r="B37" s="65"/>
      <c r="C37" s="138"/>
      <c r="D37" s="138"/>
      <c r="E37" s="138"/>
    </row>
  </sheetData>
  <phoneticPr fontId="0" type="noConversion"/>
  <hyperlinks>
    <hyperlink ref="D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FFFF00"/>
  </sheetPr>
  <dimension ref="A1:J111"/>
  <sheetViews>
    <sheetView showGridLines="0" zoomScaleNormal="75" zoomScalePageLayoutView="75" workbookViewId="0"/>
  </sheetViews>
  <sheetFormatPr defaultColWidth="8.85546875" defaultRowHeight="12.75"/>
  <cols>
    <col min="1" max="1" width="8.85546875" customWidth="1"/>
    <col min="2" max="10" width="11.42578125" customWidth="1"/>
  </cols>
  <sheetData>
    <row r="1" spans="1:9" s="1" customFormat="1">
      <c r="A1" s="8" t="s">
        <v>404</v>
      </c>
      <c r="F1" s="253" t="s">
        <v>216</v>
      </c>
    </row>
    <row r="3" spans="1:9" ht="26.25" customHeight="1">
      <c r="F3" s="2196" t="s">
        <v>388</v>
      </c>
      <c r="G3" s="2197"/>
      <c r="H3" s="2198"/>
    </row>
    <row r="4" spans="1:9" ht="12.75" customHeight="1">
      <c r="F4" s="2199" t="s">
        <v>375</v>
      </c>
      <c r="G4" s="2200"/>
      <c r="H4" s="2201"/>
    </row>
    <row r="5" spans="1:9">
      <c r="F5" s="9"/>
      <c r="G5" s="1018" t="s">
        <v>14</v>
      </c>
      <c r="H5" s="1019" t="s">
        <v>405</v>
      </c>
    </row>
    <row r="6" spans="1:9">
      <c r="F6" s="245" t="s">
        <v>240</v>
      </c>
      <c r="G6" s="11">
        <f>+C39+F39+I39+C49+F49</f>
        <v>116.69016908763138</v>
      </c>
      <c r="H6" s="199">
        <f>G6/SUM($G$6:$G$10)</f>
        <v>0.2752220751390751</v>
      </c>
    </row>
    <row r="7" spans="1:9">
      <c r="F7" s="245" t="s">
        <v>374</v>
      </c>
      <c r="G7" s="1853">
        <f>+C40+F40+I40+C50+F50</f>
        <v>34.558479357611724</v>
      </c>
      <c r="H7" s="200">
        <f>G7/SUM($G$6:$G$10)</f>
        <v>8.1508635018859868E-2</v>
      </c>
    </row>
    <row r="8" spans="1:9">
      <c r="F8" s="245" t="s">
        <v>239</v>
      </c>
      <c r="G8" s="1853">
        <f>+C41+F41+I41+C51+F51</f>
        <v>130.45034451140504</v>
      </c>
      <c r="H8" s="200">
        <f>G8/SUM($G$6:$G$10)</f>
        <v>0.30767642895498798</v>
      </c>
    </row>
    <row r="9" spans="1:9">
      <c r="F9" s="245" t="s">
        <v>245</v>
      </c>
      <c r="G9" s="1853">
        <f>'Calc-Drivers'!E32*(C42+F42+I42+C52+F52)</f>
        <v>68.141343273201713</v>
      </c>
      <c r="H9" s="200">
        <f>G9/SUM($G$6:$G$10)</f>
        <v>0.16071621152876084</v>
      </c>
    </row>
    <row r="10" spans="1:9">
      <c r="B10" s="1020"/>
      <c r="C10" s="53"/>
      <c r="D10" s="54"/>
      <c r="F10" s="248" t="s">
        <v>497</v>
      </c>
      <c r="G10" s="1854">
        <f>'Calc-Drivers'!E32*(C43+F43+I43+C53+F53)</f>
        <v>74.145163583948005</v>
      </c>
      <c r="H10" s="201">
        <f>G10/SUM($G$6:$G$10)</f>
        <v>0.17487664935831632</v>
      </c>
    </row>
    <row r="11" spans="1:9">
      <c r="B11" s="6"/>
      <c r="C11" s="53"/>
      <c r="D11" s="207"/>
    </row>
    <row r="12" spans="1:9" ht="12" customHeight="1">
      <c r="B12" s="6"/>
      <c r="C12" s="7"/>
    </row>
    <row r="13" spans="1:9" s="1" customFormat="1">
      <c r="A13" s="8" t="s">
        <v>914</v>
      </c>
    </row>
    <row r="15" spans="1:9" ht="5.25" customHeight="1"/>
    <row r="16" spans="1:9" s="2" customFormat="1" ht="26.25" customHeight="1">
      <c r="B16" s="2196" t="s">
        <v>631</v>
      </c>
      <c r="C16" s="2198"/>
      <c r="E16" s="2196" t="s">
        <v>916</v>
      </c>
      <c r="F16" s="2198"/>
      <c r="H16" s="2196" t="s">
        <v>915</v>
      </c>
      <c r="I16" s="2198"/>
    </row>
    <row r="17" spans="2:9" s="1255" customFormat="1" ht="27" customHeight="1">
      <c r="B17" s="2210" t="s">
        <v>893</v>
      </c>
      <c r="C17" s="2207"/>
      <c r="E17" s="2202" t="s">
        <v>498</v>
      </c>
      <c r="F17" s="2195"/>
      <c r="H17" s="2202" t="s">
        <v>401</v>
      </c>
      <c r="I17" s="2195"/>
    </row>
    <row r="18" spans="2:9" ht="12.75" customHeight="1">
      <c r="B18" s="14"/>
      <c r="C18" s="11"/>
      <c r="E18" s="3"/>
      <c r="F18" s="11"/>
      <c r="H18" s="3"/>
      <c r="I18" s="11"/>
    </row>
    <row r="19" spans="2:9" ht="12" customHeight="1">
      <c r="B19" s="245" t="s">
        <v>240</v>
      </c>
      <c r="C19" s="12">
        <f>IF(Inputs!$B$20=1,'Calc-Net capex'!C87,'Calc-Net capex'!C66)</f>
        <v>5.9000000000000057</v>
      </c>
      <c r="E19" s="4" t="s">
        <v>240</v>
      </c>
      <c r="F19" s="12">
        <f>SUM('FBPQ LR4'!D11:M11)</f>
        <v>2.2000000000000002</v>
      </c>
      <c r="H19" s="4" t="s">
        <v>240</v>
      </c>
      <c r="I19" s="12">
        <f>SUM('FBPQ LR6'!C28:L28)</f>
        <v>0</v>
      </c>
    </row>
    <row r="20" spans="2:9" ht="12" customHeight="1">
      <c r="B20" s="245" t="s">
        <v>239</v>
      </c>
      <c r="C20" s="12">
        <f>IF(Inputs!$B$20=1,'Calc-Net capex'!C88,'Calc-Net capex'!C67)</f>
        <v>6.6000000000000014</v>
      </c>
      <c r="E20" s="4" t="s">
        <v>239</v>
      </c>
      <c r="F20" s="12">
        <f>SUM('FBPQ LR4'!D12:M12)</f>
        <v>10.999999999999998</v>
      </c>
      <c r="H20" s="4" t="s">
        <v>239</v>
      </c>
      <c r="I20" s="12">
        <f>SUM('FBPQ LR6'!C29:L29)</f>
        <v>0</v>
      </c>
    </row>
    <row r="21" spans="2:9">
      <c r="B21" s="245" t="s">
        <v>245</v>
      </c>
      <c r="C21" s="12">
        <f>IF(Inputs!$B$20=1,'Calc-Net capex'!C89,'Calc-Net capex'!C68)</f>
        <v>0</v>
      </c>
      <c r="E21" s="4" t="s">
        <v>245</v>
      </c>
      <c r="F21" s="12">
        <f>SUM('FBPQ LR4'!D13:M13)</f>
        <v>15.35</v>
      </c>
      <c r="H21" s="4" t="s">
        <v>245</v>
      </c>
      <c r="I21" s="12">
        <f>SUM('FBPQ LR6'!C30:L30)</f>
        <v>2.9000000000000004</v>
      </c>
    </row>
    <row r="22" spans="2:9">
      <c r="B22" s="248" t="s">
        <v>497</v>
      </c>
      <c r="C22" s="12">
        <f>IF(Inputs!$B$20=1,'Calc-Net capex'!C90,'Calc-Net capex'!C69)</f>
        <v>0</v>
      </c>
      <c r="E22" s="5" t="s">
        <v>497</v>
      </c>
      <c r="F22" s="13">
        <f>SUM('FBPQ LR4'!D14:M14)</f>
        <v>25.500000000000004</v>
      </c>
      <c r="H22" s="5" t="s">
        <v>497</v>
      </c>
      <c r="I22" s="13">
        <f>SUM('FBPQ LR6'!C31:L31)</f>
        <v>0</v>
      </c>
    </row>
    <row r="25" spans="2:9" ht="24.75" customHeight="1">
      <c r="B25" s="2196" t="s">
        <v>402</v>
      </c>
      <c r="C25" s="2198"/>
      <c r="E25" s="2206" t="s">
        <v>835</v>
      </c>
      <c r="F25" s="2211"/>
    </row>
    <row r="26" spans="2:9" s="1255" customFormat="1" ht="27.75" customHeight="1">
      <c r="B26" s="2202" t="s">
        <v>403</v>
      </c>
      <c r="C26" s="2195"/>
      <c r="E26" s="2203" t="s">
        <v>836</v>
      </c>
      <c r="F26" s="2204"/>
    </row>
    <row r="27" spans="2:9">
      <c r="B27" s="3"/>
      <c r="C27" s="11"/>
      <c r="E27" s="3"/>
      <c r="F27" s="11"/>
    </row>
    <row r="28" spans="2:9">
      <c r="B28" s="4" t="s">
        <v>240</v>
      </c>
      <c r="C28" s="12">
        <f>SUM('FBPQ NL1'!D10:M16)</f>
        <v>108.59016908763137</v>
      </c>
      <c r="E28" s="247" t="s">
        <v>240</v>
      </c>
      <c r="F28" s="12">
        <f>SUM('NL9 - Legal &amp; Safety'!D33:M33,'NL9 - Legal &amp; Safety'!D42:M42)</f>
        <v>0</v>
      </c>
    </row>
    <row r="29" spans="2:9">
      <c r="B29" s="4" t="s">
        <v>239</v>
      </c>
      <c r="C29" s="12">
        <f>SUM('FBPQ NL1'!D17:M22)</f>
        <v>147.40882386901671</v>
      </c>
      <c r="E29" s="247" t="s">
        <v>239</v>
      </c>
      <c r="F29" s="12">
        <f>SUM('NL9 - Legal &amp; Safety'!D34:M34,'NL9 - Legal &amp; Safety'!D43:M43)</f>
        <v>0</v>
      </c>
    </row>
    <row r="30" spans="2:9">
      <c r="B30" s="4" t="s">
        <v>245</v>
      </c>
      <c r="C30" s="12">
        <f>SUM('FBPQ NL1'!D23:M28)</f>
        <v>55.415828717298879</v>
      </c>
      <c r="E30" s="247" t="s">
        <v>245</v>
      </c>
      <c r="F30" s="12">
        <f>SUM('NL9 - Legal &amp; Safety'!D35:M35,'NL9 - Legal &amp; Safety'!D44:M44)</f>
        <v>0</v>
      </c>
    </row>
    <row r="31" spans="2:9">
      <c r="B31" s="5" t="s">
        <v>497</v>
      </c>
      <c r="C31" s="13">
        <f>SUM('FBPQ NL1'!D29:M34)</f>
        <v>54.656402243089822</v>
      </c>
      <c r="E31" s="249" t="s">
        <v>497</v>
      </c>
      <c r="F31" s="13">
        <f>SUM('NL9 - Legal &amp; Safety'!D36:M36,'NL9 - Legal &amp; Safety'!D45:M45)</f>
        <v>0</v>
      </c>
    </row>
    <row r="33" spans="1:10" s="1" customFormat="1">
      <c r="A33" s="8" t="s">
        <v>917</v>
      </c>
    </row>
    <row r="35" spans="1:10" ht="5.25" customHeight="1"/>
    <row r="36" spans="1:10" s="2" customFormat="1" ht="26.25" customHeight="1">
      <c r="B36" s="2196" t="s">
        <v>631</v>
      </c>
      <c r="C36" s="2198"/>
      <c r="E36" s="2196" t="s">
        <v>916</v>
      </c>
      <c r="F36" s="2198"/>
      <c r="H36" s="2196" t="s">
        <v>915</v>
      </c>
      <c r="I36" s="2198"/>
    </row>
    <row r="37" spans="1:10" s="1255" customFormat="1" ht="27" customHeight="1">
      <c r="B37" s="2210" t="s">
        <v>893</v>
      </c>
      <c r="C37" s="2207"/>
      <c r="E37" s="2202" t="s">
        <v>498</v>
      </c>
      <c r="F37" s="2195"/>
      <c r="H37" s="2202" t="s">
        <v>401</v>
      </c>
      <c r="I37" s="2195"/>
    </row>
    <row r="38" spans="1:10" ht="12.75" customHeight="1">
      <c r="B38" s="14"/>
      <c r="C38" s="11"/>
      <c r="E38" s="3"/>
      <c r="F38" s="11"/>
      <c r="H38" s="3"/>
      <c r="I38" s="11"/>
    </row>
    <row r="39" spans="1:10">
      <c r="B39" s="245" t="s">
        <v>240</v>
      </c>
      <c r="C39" s="12">
        <f>IF(Inputs!$B$20=1,'Calc-Net capex'!C96,'Calc-Net capex'!C75)</f>
        <v>5.9000000000000057</v>
      </c>
      <c r="E39" s="4" t="s">
        <v>240</v>
      </c>
      <c r="F39" s="12">
        <f>SUM('FBPQ LR4'!D11:M11)</f>
        <v>2.2000000000000002</v>
      </c>
      <c r="H39" s="4" t="s">
        <v>240</v>
      </c>
      <c r="I39" s="12">
        <f>SUM('FBPQ LR6'!C28:L28)</f>
        <v>0</v>
      </c>
    </row>
    <row r="40" spans="1:10" ht="38.25">
      <c r="B40" s="245" t="s">
        <v>374</v>
      </c>
      <c r="C40" s="12">
        <f>IF(Inputs!$B$20=1,'Calc-Net capex'!C97,'Calc-Net capex'!C76)</f>
        <v>1.690061771346161</v>
      </c>
      <c r="D40" s="1391" t="s">
        <v>36</v>
      </c>
      <c r="E40" s="245" t="s">
        <v>374</v>
      </c>
      <c r="F40" s="12">
        <f>SUM('FBPQ LR4'!D12:M12)*(C55)</f>
        <v>2.8167696189102673</v>
      </c>
      <c r="G40" s="246" t="s">
        <v>36</v>
      </c>
      <c r="H40" s="245" t="s">
        <v>374</v>
      </c>
      <c r="I40" s="12">
        <f>SUM('FBPQ LR6'!C29:L29)*(C55)</f>
        <v>0</v>
      </c>
      <c r="J40" s="246" t="s">
        <v>36</v>
      </c>
    </row>
    <row r="41" spans="1:10">
      <c r="B41" s="245" t="s">
        <v>239</v>
      </c>
      <c r="C41" s="12">
        <f>IF(Inputs!$B$20=1,'Calc-Net capex'!C98,'Calc-Net capex'!C77)</f>
        <v>4.9099382286538402</v>
      </c>
      <c r="E41" s="247" t="s">
        <v>239</v>
      </c>
      <c r="F41" s="12">
        <f>SUM('FBPQ LR4'!D12:M12)*(1-C55)</f>
        <v>8.1832303810897304</v>
      </c>
      <c r="H41" s="247" t="s">
        <v>239</v>
      </c>
      <c r="I41" s="12">
        <f>SUM('FBPQ LR6'!C29:L29)*(1-C55)</f>
        <v>0</v>
      </c>
    </row>
    <row r="42" spans="1:10">
      <c r="B42" s="245" t="s">
        <v>245</v>
      </c>
      <c r="C42" s="12">
        <f>IF(Inputs!$B$20=1,'Calc-Net capex'!C99,'Calc-Net capex'!C78)</f>
        <v>0</v>
      </c>
      <c r="E42" s="247" t="s">
        <v>245</v>
      </c>
      <c r="F42" s="12">
        <f>SUM('FBPQ LR4'!D13:M13)</f>
        <v>15.35</v>
      </c>
      <c r="H42" s="247" t="s">
        <v>245</v>
      </c>
      <c r="I42" s="12">
        <f>SUM('FBPQ LR6'!C30:L30)</f>
        <v>2.9000000000000004</v>
      </c>
    </row>
    <row r="43" spans="1:10">
      <c r="B43" s="248" t="s">
        <v>497</v>
      </c>
      <c r="C43" s="12">
        <f>IF(Inputs!$B$20=1,'Calc-Net capex'!C100,'Calc-Net capex'!C79)</f>
        <v>0</v>
      </c>
      <c r="E43" s="249" t="s">
        <v>497</v>
      </c>
      <c r="F43" s="13">
        <f>SUM('FBPQ LR4'!D14:M14)</f>
        <v>25.500000000000004</v>
      </c>
      <c r="H43" s="249" t="s">
        <v>497</v>
      </c>
      <c r="I43" s="13">
        <f>SUM('FBPQ LR6'!C31:L31)</f>
        <v>0</v>
      </c>
    </row>
    <row r="46" spans="1:10" ht="27.75" customHeight="1">
      <c r="B46" s="2196" t="s">
        <v>402</v>
      </c>
      <c r="C46" s="2198"/>
      <c r="E46" s="2206" t="s">
        <v>835</v>
      </c>
      <c r="F46" s="2198"/>
      <c r="H46" s="2208" t="s">
        <v>835</v>
      </c>
      <c r="I46" s="2209"/>
    </row>
    <row r="47" spans="1:10" s="1255" customFormat="1" ht="27.75" customHeight="1">
      <c r="B47" s="2210" t="s">
        <v>403</v>
      </c>
      <c r="C47" s="2207"/>
      <c r="E47" s="2203" t="s">
        <v>836</v>
      </c>
      <c r="F47" s="2207"/>
      <c r="H47" s="2205" t="s">
        <v>344</v>
      </c>
      <c r="I47" s="2205"/>
    </row>
    <row r="48" spans="1:10">
      <c r="B48" s="3"/>
      <c r="C48" s="11"/>
      <c r="E48" s="3"/>
      <c r="F48" s="11"/>
      <c r="H48" s="3"/>
      <c r="I48" s="3"/>
    </row>
    <row r="49" spans="2:10">
      <c r="B49" s="247" t="s">
        <v>240</v>
      </c>
      <c r="C49" s="1223">
        <f>SUM('FBPQ NL1'!D10:M16)</f>
        <v>108.59016908763137</v>
      </c>
      <c r="E49" s="247" t="s">
        <v>240</v>
      </c>
      <c r="F49" s="12">
        <f>SUM('NL9 - Legal &amp; Safety'!D33:M33,'NL9 - Legal &amp; Safety'!D42:M42)</f>
        <v>0</v>
      </c>
      <c r="H49" s="247" t="s">
        <v>240</v>
      </c>
      <c r="I49" s="12">
        <f>F49+C49</f>
        <v>108.59016908763137</v>
      </c>
      <c r="J49" s="1090">
        <f>I49/SUM($I$49:$I$53)</f>
        <v>0.29663672529540669</v>
      </c>
    </row>
    <row r="50" spans="2:10">
      <c r="B50" s="247" t="s">
        <v>374</v>
      </c>
      <c r="C50" s="1223">
        <f>SUM('FBPQ NL1'!D21:M22)</f>
        <v>30.051647967355294</v>
      </c>
      <c r="D50" s="250" t="s">
        <v>37</v>
      </c>
      <c r="E50" s="245" t="s">
        <v>374</v>
      </c>
      <c r="F50" s="12">
        <f>SUM('NL9 - Legal &amp; Safety'!D34:M34,'NL9 - Legal &amp; Safety'!D43:M43)*C55</f>
        <v>0</v>
      </c>
      <c r="H50" s="247" t="s">
        <v>374</v>
      </c>
      <c r="I50" s="12">
        <f>F50+C50</f>
        <v>30.051647967355294</v>
      </c>
      <c r="J50" s="1090">
        <f>I50/SUM($I$49:$I$53)</f>
        <v>8.2092352536745516E-2</v>
      </c>
    </row>
    <row r="51" spans="2:10">
      <c r="B51" s="245" t="s">
        <v>239</v>
      </c>
      <c r="C51" s="1223">
        <f>SUM('FBPQ NL1'!D17:M20)</f>
        <v>117.35717590166148</v>
      </c>
      <c r="E51" s="247" t="s">
        <v>239</v>
      </c>
      <c r="F51" s="12">
        <f>SUM('NL9 - Legal &amp; Safety'!D34:M34,'NL9 - Legal &amp; Safety'!D43:M43)*(1-C55)</f>
        <v>0</v>
      </c>
      <c r="H51" s="247" t="s">
        <v>239</v>
      </c>
      <c r="I51" s="12">
        <f>F51+C51</f>
        <v>117.35717590166148</v>
      </c>
      <c r="J51" s="1090">
        <f>I51/SUM($I$49:$I$53)</f>
        <v>0.32058563534690254</v>
      </c>
    </row>
    <row r="52" spans="2:10">
      <c r="B52" s="247" t="s">
        <v>245</v>
      </c>
      <c r="C52" s="1223">
        <f>SUM('FBPQ NL1'!D23:M28)</f>
        <v>55.415828717298879</v>
      </c>
      <c r="E52" s="247" t="s">
        <v>245</v>
      </c>
      <c r="F52" s="12">
        <f>SUM('NL9 - Legal &amp; Safety'!D35:M35,'NL9 - Legal &amp; Safety'!D44:M44)</f>
        <v>0</v>
      </c>
      <c r="H52" s="247" t="s">
        <v>245</v>
      </c>
      <c r="I52" s="12">
        <f>F52+C52</f>
        <v>55.415828717298879</v>
      </c>
      <c r="J52" s="1090">
        <f>I52/SUM($I$49:$I$53)</f>
        <v>0.15137990941855031</v>
      </c>
    </row>
    <row r="53" spans="2:10">
      <c r="B53" s="249" t="s">
        <v>497</v>
      </c>
      <c r="C53" s="1224">
        <f>SUM('FBPQ NL1'!D29:M34)</f>
        <v>54.656402243089822</v>
      </c>
      <c r="E53" s="249" t="s">
        <v>497</v>
      </c>
      <c r="F53" s="13">
        <f>SUM('NL9 - Legal &amp; Safety'!D36:M36,'NL9 - Legal &amp; Safety'!D45:M45)</f>
        <v>0</v>
      </c>
      <c r="H53" s="249" t="s">
        <v>497</v>
      </c>
      <c r="I53" s="13">
        <f>F53+C53</f>
        <v>54.656402243089822</v>
      </c>
      <c r="J53" s="1090">
        <f>I53/SUM($I$49:$I$53)</f>
        <v>0.14930537740239497</v>
      </c>
    </row>
    <row r="55" spans="2:10">
      <c r="B55" s="250" t="s">
        <v>38</v>
      </c>
      <c r="C55" s="251">
        <f>C50/C51</f>
        <v>0.25606996535547888</v>
      </c>
    </row>
    <row r="58" spans="2:10">
      <c r="B58" s="1255"/>
      <c r="C58" s="1255"/>
    </row>
    <row r="59" spans="2:10" ht="18">
      <c r="B59" s="1798" t="s">
        <v>886</v>
      </c>
      <c r="C59" s="1255"/>
    </row>
    <row r="60" spans="2:10">
      <c r="B60" s="1255"/>
      <c r="C60" s="1255"/>
    </row>
    <row r="61" spans="2:10">
      <c r="B61" s="1293" t="s">
        <v>888</v>
      </c>
      <c r="C61" s="1255"/>
    </row>
    <row r="62" spans="2:10">
      <c r="B62" s="1292" t="s">
        <v>890</v>
      </c>
      <c r="C62" s="1255"/>
    </row>
    <row r="63" spans="2:10">
      <c r="B63" s="2190" t="s">
        <v>631</v>
      </c>
      <c r="C63" s="2192"/>
    </row>
    <row r="64" spans="2:10">
      <c r="B64" s="2203" t="s">
        <v>324</v>
      </c>
      <c r="C64" s="2207"/>
    </row>
    <row r="65" spans="2:3">
      <c r="B65" s="1799"/>
      <c r="C65" s="1800"/>
    </row>
    <row r="66" spans="2:3">
      <c r="B66" s="1801" t="s">
        <v>240</v>
      </c>
      <c r="C66" s="1802">
        <f>SUM('FBPQ LR1 - V5 opt3'!D227:M227,'FBPQ LR1 - V5 opt3'!I229:M229)-SUM('FBPQ LR1 - V5 opt3'!D250:M250,'FBPQ LR1 - V5 opt3'!I252:M252)</f>
        <v>0</v>
      </c>
    </row>
    <row r="67" spans="2:3">
      <c r="B67" s="1801" t="s">
        <v>239</v>
      </c>
      <c r="C67" s="1802">
        <f>(SUM('FBPQ LR1 - V5 opt3'!D231:H231,'FBPQ LR1 - V5 opt3'!I230:M230,'FBPQ LR1 - V5 opt3'!I233:M233)-SUM('FBPQ LR1 - V5 opt3'!D254:H254,'FBPQ LR1 - V5 opt3'!I253:M253,'FBPQ LR1 - V5 opt3'!I256:M256))</f>
        <v>0</v>
      </c>
    </row>
    <row r="68" spans="2:3">
      <c r="B68" s="1801" t="s">
        <v>245</v>
      </c>
      <c r="C68" s="1802">
        <f>SUM('FBPQ LR1 - V5 opt3'!D235:H235,'FBPQ LR1 - V5 opt3'!I234:M234,'FBPQ LR1 - V5 opt3'!I237:M237)-SUM('FBPQ LR1 - V5 opt3'!D258:H258,'FBPQ LR1 - V5 opt3'!I257:M257,'FBPQ LR1 - V5 opt3'!I260:M260)</f>
        <v>0</v>
      </c>
    </row>
    <row r="69" spans="2:3">
      <c r="B69" s="1803" t="s">
        <v>497</v>
      </c>
      <c r="C69" s="1804">
        <f>SUM('FBPQ LR1 - V5 opt3'!D239:H239,'FBPQ LR1 - V5 opt3'!I238:M238)-SUM('FBPQ LR1 - V5 opt3'!D262:H262,'FBPQ LR1 - V5 opt3'!I261:M261)</f>
        <v>0</v>
      </c>
    </row>
    <row r="70" spans="2:3">
      <c r="B70" s="1255"/>
      <c r="C70" s="1255"/>
    </row>
    <row r="71" spans="2:3">
      <c r="B71" s="1292" t="s">
        <v>889</v>
      </c>
      <c r="C71" s="1255"/>
    </row>
    <row r="72" spans="2:3">
      <c r="B72" s="2190" t="s">
        <v>631</v>
      </c>
      <c r="C72" s="2192"/>
    </row>
    <row r="73" spans="2:3">
      <c r="B73" s="2203" t="s">
        <v>324</v>
      </c>
      <c r="C73" s="2207"/>
    </row>
    <row r="74" spans="2:3">
      <c r="B74" s="1799"/>
      <c r="C74" s="1800"/>
    </row>
    <row r="75" spans="2:3">
      <c r="B75" s="1801" t="s">
        <v>240</v>
      </c>
      <c r="C75" s="1802">
        <f>SUM('FBPQ LR1 - V5 opt3'!D227:M227,'FBPQ LR1 - V5 opt3'!I229:M229)-SUM('FBPQ LR1 - V5 opt3'!D250:M250,'FBPQ LR1 - V5 opt3'!I252:M252)</f>
        <v>0</v>
      </c>
    </row>
    <row r="76" spans="2:3">
      <c r="B76" s="1801" t="s">
        <v>374</v>
      </c>
      <c r="C76" s="1802">
        <f>(SUM('FBPQ LR1 - V5 opt3'!D231:H231,'FBPQ LR1 - V5 opt3'!I230:M230,'FBPQ LR1 - V5 opt3'!I233:M233)-SUM('FBPQ LR1 - V5 opt3'!D254:H254,'FBPQ LR1 - V5 opt3'!I253:M253,'FBPQ LR1 - V5 opt3'!I256:M256))*(C110)</f>
        <v>0</v>
      </c>
    </row>
    <row r="77" spans="2:3">
      <c r="B77" s="1801" t="s">
        <v>239</v>
      </c>
      <c r="C77" s="1802">
        <f>(SUM('FBPQ LR1 - V5 opt3'!D231:H231,'FBPQ LR1 - V5 opt3'!I230:M230,'FBPQ LR1 - V5 opt3'!I233:M233)-SUM('FBPQ LR1 - V5 opt3'!D254:H254,'FBPQ LR1 - V5 opt3'!I253:M253,'FBPQ LR1 - V5 opt3'!I256:M256))*(1-C110)</f>
        <v>0</v>
      </c>
    </row>
    <row r="78" spans="2:3">
      <c r="B78" s="1801" t="s">
        <v>245</v>
      </c>
      <c r="C78" s="1802">
        <f>SUM('FBPQ LR1 - V5 opt3'!D235:H235,'FBPQ LR1 - V5 opt3'!I234:M234,'FBPQ LR1 - V5 opt3'!I237:M237)-SUM('FBPQ LR1 - V5 opt3'!D258:H258,'FBPQ LR1 - V5 opt3'!I257:M257,'FBPQ LR1 - V5 opt3'!I260:M260)</f>
        <v>0</v>
      </c>
    </row>
    <row r="79" spans="2:3">
      <c r="B79" s="1803" t="s">
        <v>497</v>
      </c>
      <c r="C79" s="1804">
        <f>SUM('FBPQ LR1 - V5 opt3'!D239:H239,'FBPQ LR1 - V5 opt3'!I238:M238)-SUM('FBPQ LR1 - V5 opt3'!D262:H262,'FBPQ LR1 - V5 opt3'!I261:M261)</f>
        <v>0</v>
      </c>
    </row>
    <row r="80" spans="2:3">
      <c r="B80" s="1255"/>
      <c r="C80" s="1255"/>
    </row>
    <row r="81" spans="2:3">
      <c r="B81" s="1255"/>
      <c r="C81" s="1255"/>
    </row>
    <row r="82" spans="2:3">
      <c r="B82" s="1293" t="s">
        <v>887</v>
      </c>
      <c r="C82" s="1255"/>
    </row>
    <row r="83" spans="2:3">
      <c r="B83" s="1292" t="s">
        <v>890</v>
      </c>
      <c r="C83" s="1255"/>
    </row>
    <row r="84" spans="2:3">
      <c r="B84" s="2190" t="s">
        <v>631</v>
      </c>
      <c r="C84" s="2192"/>
    </row>
    <row r="85" spans="2:3">
      <c r="B85" s="2203" t="s">
        <v>324</v>
      </c>
      <c r="C85" s="2207"/>
    </row>
    <row r="86" spans="2:3">
      <c r="B86" s="1799"/>
      <c r="C86" s="1800"/>
    </row>
    <row r="87" spans="2:3">
      <c r="B87" s="1801" t="s">
        <v>240</v>
      </c>
      <c r="C87" s="1805">
        <f>SUM('FBPQ LR1'!D82:M82)-SUM('FBPQ LR1'!D110:M110)</f>
        <v>5.9000000000000057</v>
      </c>
    </row>
    <row r="88" spans="2:3">
      <c r="B88" s="1801" t="s">
        <v>239</v>
      </c>
      <c r="C88" s="1805">
        <f>(SUM('FBPQ LR1'!D86:M86)-SUM('FBPQ LR1'!D114:M114))</f>
        <v>6.6000000000000014</v>
      </c>
    </row>
    <row r="89" spans="2:3">
      <c r="B89" s="1801" t="s">
        <v>245</v>
      </c>
      <c r="C89" s="1805">
        <f>(SUM('FBPQ LR1'!D90:M90)-SUM('FBPQ LR1'!D118:M118))</f>
        <v>0</v>
      </c>
    </row>
    <row r="90" spans="2:3">
      <c r="B90" s="1803" t="s">
        <v>497</v>
      </c>
      <c r="C90" s="1806">
        <f>(SUM('FBPQ LR1'!D94:M94)-SUM('FBPQ LR1'!D122:M122))</f>
        <v>0</v>
      </c>
    </row>
    <row r="91" spans="2:3">
      <c r="B91" s="1255"/>
      <c r="C91" s="1255"/>
    </row>
    <row r="92" spans="2:3">
      <c r="B92" s="1292" t="s">
        <v>889</v>
      </c>
      <c r="C92" s="1255"/>
    </row>
    <row r="93" spans="2:3">
      <c r="B93" s="2190" t="s">
        <v>631</v>
      </c>
      <c r="C93" s="2192"/>
    </row>
    <row r="94" spans="2:3">
      <c r="B94" s="2203" t="s">
        <v>324</v>
      </c>
      <c r="C94" s="2207"/>
    </row>
    <row r="95" spans="2:3">
      <c r="B95" s="1799"/>
      <c r="C95" s="1800"/>
    </row>
    <row r="96" spans="2:3">
      <c r="B96" s="1801" t="s">
        <v>240</v>
      </c>
      <c r="C96" s="1805">
        <f>SUM('FBPQ LR1'!D82:M82)-SUM('FBPQ LR1'!D110:M110)</f>
        <v>5.9000000000000057</v>
      </c>
    </row>
    <row r="97" spans="2:3">
      <c r="B97" s="1801" t="s">
        <v>374</v>
      </c>
      <c r="C97" s="1805">
        <f>(SUM('FBPQ LR1'!D86:M86)-SUM('FBPQ LR1'!D114:M114))*C110</f>
        <v>1.690061771346161</v>
      </c>
    </row>
    <row r="98" spans="2:3">
      <c r="B98" s="1801" t="s">
        <v>239</v>
      </c>
      <c r="C98" s="1805">
        <f>(SUM('FBPQ LR1'!D86:M86)-SUM('FBPQ LR1'!D114:M114))*(1-C110)</f>
        <v>4.9099382286538402</v>
      </c>
    </row>
    <row r="99" spans="2:3">
      <c r="B99" s="1801" t="s">
        <v>245</v>
      </c>
      <c r="C99" s="1805">
        <f>(SUM('FBPQ LR1'!D90:M90)-SUM('FBPQ LR1'!D118:M118))</f>
        <v>0</v>
      </c>
    </row>
    <row r="100" spans="2:3">
      <c r="B100" s="1803" t="s">
        <v>497</v>
      </c>
      <c r="C100" s="1806">
        <f>(SUM('FBPQ LR1'!D94:M94)-SUM('FBPQ LR1'!D122:M122))</f>
        <v>0</v>
      </c>
    </row>
    <row r="101" spans="2:3">
      <c r="B101" s="1255"/>
      <c r="C101" s="1255"/>
    </row>
    <row r="102" spans="2:3">
      <c r="B102" s="1255"/>
      <c r="C102" s="1255"/>
    </row>
    <row r="103" spans="2:3">
      <c r="B103" s="1255"/>
      <c r="C103" s="1255"/>
    </row>
    <row r="104" spans="2:3">
      <c r="B104" s="1255"/>
      <c r="C104" s="1255"/>
    </row>
    <row r="105" spans="2:3">
      <c r="B105" s="1255"/>
      <c r="C105" s="1255"/>
    </row>
    <row r="106" spans="2:3">
      <c r="B106" s="1255"/>
      <c r="C106" s="1255"/>
    </row>
    <row r="107" spans="2:3">
      <c r="B107" s="1255"/>
      <c r="C107" s="1255"/>
    </row>
    <row r="108" spans="2:3">
      <c r="B108" s="1255"/>
      <c r="C108" s="1255"/>
    </row>
    <row r="109" spans="2:3">
      <c r="B109" s="1255"/>
      <c r="C109" s="1255"/>
    </row>
    <row r="110" spans="2:3">
      <c r="B110" s="19"/>
      <c r="C110" s="1807">
        <f>'Calc-Net capex'!C50/'Calc-Net capex'!C51</f>
        <v>0.25606996535547888</v>
      </c>
    </row>
    <row r="111" spans="2:3">
      <c r="B111" s="1255"/>
      <c r="C111" s="1255"/>
    </row>
  </sheetData>
  <mergeCells count="32">
    <mergeCell ref="B85:C85"/>
    <mergeCell ref="B94:C94"/>
    <mergeCell ref="B72:C72"/>
    <mergeCell ref="B73:C73"/>
    <mergeCell ref="B63:C63"/>
    <mergeCell ref="B64:C64"/>
    <mergeCell ref="B84:C84"/>
    <mergeCell ref="B93:C93"/>
    <mergeCell ref="B16:C16"/>
    <mergeCell ref="B47:C47"/>
    <mergeCell ref="B26:C26"/>
    <mergeCell ref="E37:F37"/>
    <mergeCell ref="B36:C36"/>
    <mergeCell ref="E36:F36"/>
    <mergeCell ref="B37:C37"/>
    <mergeCell ref="B25:C25"/>
    <mergeCell ref="E17:F17"/>
    <mergeCell ref="B46:C46"/>
    <mergeCell ref="E25:F25"/>
    <mergeCell ref="B17:C17"/>
    <mergeCell ref="H47:I47"/>
    <mergeCell ref="E46:F46"/>
    <mergeCell ref="E47:F47"/>
    <mergeCell ref="H37:I37"/>
    <mergeCell ref="H36:I36"/>
    <mergeCell ref="H46:I46"/>
    <mergeCell ref="F3:H3"/>
    <mergeCell ref="F4:H4"/>
    <mergeCell ref="H17:I17"/>
    <mergeCell ref="H16:I16"/>
    <mergeCell ref="E26:F26"/>
    <mergeCell ref="E16:F16"/>
  </mergeCells>
  <phoneticPr fontId="2"/>
  <hyperlinks>
    <hyperlink ref="F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FF00"/>
  </sheetPr>
  <dimension ref="A1:BD62"/>
  <sheetViews>
    <sheetView showGridLines="0" zoomScale="80" zoomScaleNormal="80" zoomScalePageLayoutView="80" workbookViewId="0"/>
  </sheetViews>
  <sheetFormatPr defaultColWidth="8.85546875" defaultRowHeight="12.75"/>
  <cols>
    <col min="1" max="1" width="12.42578125" style="94" customWidth="1"/>
    <col min="2" max="2" width="10.140625" style="94" customWidth="1"/>
    <col min="3" max="3" width="58" style="94" bestFit="1" customWidth="1"/>
    <col min="4" max="4" width="14.85546875" style="94" bestFit="1" customWidth="1"/>
    <col min="5" max="6" width="7.7109375" style="94" bestFit="1" customWidth="1"/>
    <col min="7" max="7" width="7.7109375" style="94" customWidth="1"/>
    <col min="8" max="8" width="6.42578125" style="94" bestFit="1" customWidth="1"/>
    <col min="9" max="9" width="11.85546875" style="94" customWidth="1"/>
    <col min="10" max="10" width="7.7109375" style="94" customWidth="1"/>
    <col min="11" max="11" width="20.42578125" style="94" bestFit="1" customWidth="1"/>
    <col min="12" max="16" width="8.42578125" style="94" customWidth="1"/>
    <col min="17" max="17" width="5.140625" style="94" customWidth="1"/>
    <col min="18" max="18" width="8" style="94" customWidth="1"/>
    <col min="19" max="23" width="8.140625" style="94" customWidth="1"/>
    <col min="24" max="24" width="4.85546875" style="94" customWidth="1"/>
    <col min="25" max="25" width="24.28515625" style="94" customWidth="1"/>
    <col min="26" max="31" width="10.42578125" style="94" customWidth="1"/>
    <col min="32" max="32" width="23" style="94" customWidth="1"/>
    <col min="33" max="36" width="12.42578125" style="94" customWidth="1"/>
    <col min="37" max="37" width="6.85546875" style="94" customWidth="1"/>
    <col min="38" max="38" width="16.42578125" style="94" customWidth="1"/>
    <col min="39" max="40" width="8.140625" style="94" customWidth="1"/>
    <col min="41" max="41" width="4.140625" style="94" customWidth="1"/>
    <col min="42" max="42" width="23.7109375" style="94" customWidth="1"/>
    <col min="43" max="43" width="12.140625" style="94" customWidth="1"/>
    <col min="44" max="44" width="10.85546875" style="94" customWidth="1"/>
    <col min="45" max="45" width="13.42578125" style="94" customWidth="1"/>
    <col min="46" max="47" width="9.42578125" style="94" customWidth="1"/>
    <col min="48" max="48" width="5.42578125" style="94" customWidth="1"/>
    <col min="49" max="49" width="23.42578125" style="94" customWidth="1"/>
    <col min="50" max="53" width="8.42578125" style="94" customWidth="1"/>
    <col min="54" max="54" width="4.28515625" style="94" customWidth="1"/>
    <col min="55" max="55" width="22.7109375" style="94" bestFit="1" customWidth="1"/>
    <col min="56" max="56" width="24.140625" style="94" customWidth="1"/>
    <col min="57" max="16384" width="8.85546875" style="94"/>
  </cols>
  <sheetData>
    <row r="1" spans="1:56">
      <c r="A1" s="253" t="s">
        <v>216</v>
      </c>
    </row>
    <row r="2" spans="1:56" s="230" customFormat="1" ht="58.5" customHeight="1">
      <c r="D2" s="2247" t="s">
        <v>330</v>
      </c>
      <c r="E2" s="2247"/>
      <c r="F2" s="2247"/>
      <c r="G2" s="2247"/>
      <c r="H2" s="2247"/>
      <c r="I2" s="2247"/>
      <c r="K2" s="2240" t="s">
        <v>903</v>
      </c>
      <c r="L2" s="2241"/>
      <c r="M2" s="2241"/>
      <c r="N2" s="2241"/>
      <c r="O2" s="2241"/>
      <c r="P2" s="2241"/>
      <c r="Q2" s="1256"/>
      <c r="S2" s="2252" t="s">
        <v>904</v>
      </c>
      <c r="T2" s="2246"/>
      <c r="U2" s="2246"/>
      <c r="V2" s="2246"/>
      <c r="W2" s="2246"/>
      <c r="Z2" s="2240" t="s">
        <v>905</v>
      </c>
      <c r="AA2" s="2240"/>
      <c r="AB2" s="2240"/>
      <c r="AC2" s="2240"/>
      <c r="AD2" s="2240"/>
      <c r="AG2" s="2240" t="s">
        <v>907</v>
      </c>
      <c r="AH2" s="2241"/>
      <c r="AI2" s="2241"/>
      <c r="AJ2" s="2241"/>
      <c r="AL2" s="2246" t="s">
        <v>331</v>
      </c>
      <c r="AM2" s="2246"/>
      <c r="AN2" s="2246"/>
      <c r="AO2" s="2246"/>
      <c r="AP2" s="2246"/>
      <c r="AQ2" s="2246"/>
      <c r="AR2" s="2246"/>
      <c r="AS2" s="2246"/>
      <c r="AT2" s="2246"/>
      <c r="AU2" s="2246"/>
      <c r="AV2" s="2246"/>
      <c r="AW2" s="2246"/>
      <c r="AX2" s="2246"/>
      <c r="AY2" s="2246"/>
      <c r="AZ2" s="2246"/>
      <c r="BA2" s="2246"/>
    </row>
    <row r="3" spans="1:56" s="1255" customFormat="1" ht="28.5" customHeight="1">
      <c r="A3" s="1250"/>
      <c r="B3" s="1250"/>
      <c r="C3" s="1251"/>
      <c r="D3" s="1252"/>
      <c r="E3" s="2253" t="s">
        <v>711</v>
      </c>
      <c r="F3" s="2254"/>
      <c r="G3" s="2254"/>
      <c r="H3" s="2254"/>
      <c r="I3" s="2255"/>
      <c r="J3" s="1257"/>
      <c r="K3" s="2248" t="s">
        <v>420</v>
      </c>
      <c r="L3" s="2249"/>
      <c r="M3" s="2249"/>
      <c r="N3" s="2249"/>
      <c r="O3" s="2249"/>
      <c r="P3" s="2250"/>
      <c r="Q3" s="1258"/>
      <c r="R3" s="1259"/>
      <c r="S3" s="2251" t="s">
        <v>686</v>
      </c>
      <c r="T3" s="2251"/>
      <c r="U3" s="2251"/>
      <c r="V3" s="2251"/>
      <c r="W3" s="2251"/>
      <c r="X3" s="1258"/>
      <c r="Y3" s="1251"/>
      <c r="Z3" s="2210" t="s">
        <v>906</v>
      </c>
      <c r="AA3" s="2194"/>
      <c r="AB3" s="2194"/>
      <c r="AC3" s="2194"/>
      <c r="AD3" s="2195"/>
      <c r="AE3" s="1253"/>
      <c r="AF3" s="1253"/>
      <c r="AG3" s="2242" t="s">
        <v>908</v>
      </c>
      <c r="AH3" s="2243"/>
      <c r="AI3" s="2243"/>
      <c r="AJ3" s="2243"/>
      <c r="AK3" s="1254"/>
      <c r="AL3" s="2210" t="s">
        <v>909</v>
      </c>
      <c r="AM3" s="2238"/>
      <c r="AN3" s="2239"/>
      <c r="AO3" s="1271"/>
      <c r="AP3" s="1259"/>
      <c r="AQ3" s="2244" t="s">
        <v>910</v>
      </c>
      <c r="AR3" s="2245"/>
      <c r="AS3" s="2245"/>
      <c r="AT3" s="2245"/>
      <c r="AU3" s="2245"/>
      <c r="AV3" s="1244"/>
      <c r="AW3" s="1259"/>
      <c r="AX3" s="2235" t="s">
        <v>407</v>
      </c>
      <c r="AY3" s="2236"/>
      <c r="AZ3" s="2236"/>
      <c r="BA3" s="2237"/>
      <c r="BC3" s="1250"/>
      <c r="BD3" s="1250"/>
    </row>
    <row r="4" spans="1:56" s="97" customFormat="1" ht="67.5" customHeight="1">
      <c r="A4" s="95"/>
      <c r="B4" s="95"/>
      <c r="C4" s="95"/>
      <c r="D4" s="1241" t="s">
        <v>326</v>
      </c>
      <c r="E4" s="2224" t="s">
        <v>902</v>
      </c>
      <c r="F4" s="2225"/>
      <c r="G4" s="2225"/>
      <c r="H4" s="2225"/>
      <c r="I4" s="1241" t="s">
        <v>327</v>
      </c>
      <c r="J4" s="95"/>
      <c r="K4" s="107" t="s">
        <v>427</v>
      </c>
      <c r="L4" s="2218" t="s">
        <v>421</v>
      </c>
      <c r="M4" s="2219"/>
      <c r="N4" s="2219"/>
      <c r="O4" s="2219"/>
      <c r="P4" s="2220"/>
      <c r="Q4" s="68"/>
      <c r="R4" s="96"/>
      <c r="S4" s="119"/>
      <c r="T4" s="120"/>
      <c r="U4" s="120"/>
      <c r="V4" s="120"/>
      <c r="W4" s="121"/>
      <c r="X4" s="95"/>
      <c r="Y4" s="96"/>
      <c r="Z4" s="119"/>
      <c r="AA4" s="120"/>
      <c r="AB4" s="120"/>
      <c r="AC4" s="120"/>
      <c r="AD4" s="121"/>
      <c r="AE4" s="95"/>
      <c r="AF4" s="96"/>
      <c r="AG4" s="119"/>
      <c r="AH4" s="120"/>
      <c r="AI4" s="120"/>
      <c r="AJ4" s="121"/>
      <c r="AK4" s="96"/>
      <c r="AL4" s="1272" t="s">
        <v>355</v>
      </c>
      <c r="AM4" s="1267" t="s">
        <v>518</v>
      </c>
      <c r="AN4" s="1273" t="s">
        <v>517</v>
      </c>
      <c r="AO4" s="95"/>
      <c r="AP4" s="95"/>
      <c r="AQ4" s="1241" t="s">
        <v>245</v>
      </c>
      <c r="AR4" s="1241" t="s">
        <v>239</v>
      </c>
      <c r="AS4" s="1241" t="s">
        <v>408</v>
      </c>
      <c r="AT4" s="1241" t="s">
        <v>625</v>
      </c>
      <c r="AU4" s="1241" t="s">
        <v>885</v>
      </c>
      <c r="AV4" s="1227"/>
      <c r="AW4" s="96"/>
      <c r="AX4" s="1241" t="s">
        <v>245</v>
      </c>
      <c r="AY4" s="1241" t="s">
        <v>239</v>
      </c>
      <c r="AZ4" s="1241" t="s">
        <v>408</v>
      </c>
      <c r="BA4" s="1241" t="s">
        <v>240</v>
      </c>
      <c r="BC4" s="219"/>
      <c r="BD4" s="98"/>
    </row>
    <row r="5" spans="1:56" s="19" customFormat="1" ht="25.5">
      <c r="A5" s="1249"/>
      <c r="B5" s="1242"/>
      <c r="C5" s="1242"/>
      <c r="D5" s="1243"/>
      <c r="E5" s="1243" t="s">
        <v>245</v>
      </c>
      <c r="F5" s="1243" t="s">
        <v>239</v>
      </c>
      <c r="G5" s="1243" t="s">
        <v>408</v>
      </c>
      <c r="H5" s="1243" t="s">
        <v>240</v>
      </c>
      <c r="I5" s="1243"/>
      <c r="J5" s="1242"/>
      <c r="K5" s="116"/>
      <c r="L5" s="117" t="s">
        <v>245</v>
      </c>
      <c r="M5" s="116" t="s">
        <v>239</v>
      </c>
      <c r="N5" s="116" t="s">
        <v>408</v>
      </c>
      <c r="O5" s="116" t="s">
        <v>625</v>
      </c>
      <c r="P5" s="116" t="s">
        <v>885</v>
      </c>
      <c r="Q5" s="68"/>
      <c r="R5" s="1244"/>
      <c r="S5" s="1243" t="s">
        <v>245</v>
      </c>
      <c r="T5" s="1243" t="s">
        <v>239</v>
      </c>
      <c r="U5" s="1243" t="s">
        <v>408</v>
      </c>
      <c r="V5" s="1243" t="s">
        <v>625</v>
      </c>
      <c r="W5" s="1243" t="s">
        <v>885</v>
      </c>
      <c r="X5" s="1244"/>
      <c r="Y5" s="1244"/>
      <c r="Z5" s="1243" t="s">
        <v>245</v>
      </c>
      <c r="AA5" s="1243" t="s">
        <v>239</v>
      </c>
      <c r="AB5" s="1243" t="s">
        <v>408</v>
      </c>
      <c r="AC5" s="1243" t="s">
        <v>625</v>
      </c>
      <c r="AD5" s="1243" t="s">
        <v>885</v>
      </c>
      <c r="AE5" s="1244"/>
      <c r="AF5" s="1244"/>
      <c r="AG5" s="1243" t="s">
        <v>245</v>
      </c>
      <c r="AH5" s="1243" t="s">
        <v>239</v>
      </c>
      <c r="AI5" s="1243" t="s">
        <v>408</v>
      </c>
      <c r="AJ5" s="1243" t="s">
        <v>625</v>
      </c>
      <c r="AK5" s="1244"/>
      <c r="AL5" s="1245"/>
      <c r="AM5" s="1243"/>
      <c r="AN5" s="1246"/>
      <c r="AO5" s="1242"/>
      <c r="AP5" s="1242"/>
      <c r="AQ5" s="1243"/>
      <c r="AR5" s="1243"/>
      <c r="AS5" s="1243"/>
      <c r="AT5" s="1243"/>
      <c r="AU5" s="1243"/>
      <c r="AV5" s="1244"/>
      <c r="AW5" s="1244"/>
      <c r="AX5" s="1243"/>
      <c r="AY5" s="1243"/>
      <c r="AZ5" s="1243"/>
      <c r="BA5" s="1243"/>
      <c r="BC5" s="1247"/>
      <c r="BD5" s="1248"/>
    </row>
    <row r="6" spans="1:56" s="65" customFormat="1" ht="12.75" customHeight="1">
      <c r="A6" s="2232" t="s">
        <v>409</v>
      </c>
      <c r="B6" s="2226" t="s">
        <v>660</v>
      </c>
      <c r="C6" s="102" t="s">
        <v>640</v>
      </c>
      <c r="D6" s="107">
        <f>'RRP 1.3'!D$12</f>
        <v>1.4000000000000075</v>
      </c>
      <c r="E6" s="107">
        <f>'RRP 2.4'!L13+'RRP 2.4'!L14+'RRP 2.4'!L18+'RRP 2.4'!L19</f>
        <v>4.9000000000000004</v>
      </c>
      <c r="F6" s="107">
        <f>'RRP 2.4'!L12+'RRP 2.4'!L17-'Calc DNO Opex Allocation'!G6</f>
        <v>4.0999999999999996</v>
      </c>
      <c r="G6" s="107">
        <v>0</v>
      </c>
      <c r="H6" s="107">
        <f>'RRP 2.4'!L11+'RRP 2.4'!L16+'RRP 2.4'!L24</f>
        <v>-7.5999999999999979</v>
      </c>
      <c r="I6" s="107">
        <f t="shared" ref="I6:I39" si="0">D6-E6-F6-G6-H6</f>
        <v>0</v>
      </c>
      <c r="J6" s="68"/>
      <c r="K6" s="107" t="s">
        <v>484</v>
      </c>
      <c r="L6" s="191">
        <f>IF(ISERROR(VLOOKUP($K6,'Calc-Drivers'!$B$17:$G$27,L$42,FALSE))," ",VLOOKUP($K6,'Calc-Drivers'!$B$17:$G$27,L$42,FALSE))</f>
        <v>0.20654310937416842</v>
      </c>
      <c r="M6" s="191">
        <f>IF(ISERROR(VLOOKUP($K6,'Calc-Drivers'!$B$17:$G$27,M$42,FALSE))," ",VLOOKUP($K6,'Calc-Drivers'!$B$17:$G$27,M$42,FALSE))</f>
        <v>0.26114451714589082</v>
      </c>
      <c r="N6" s="191">
        <f>IF(ISERROR(VLOOKUP($K6,'Calc-Drivers'!$B$17:$G$27,N$42,FALSE))," ",VLOOKUP($K6,'Calc-Drivers'!$B$17:$G$27,N$42,FALSE))</f>
        <v>7.3083155245062287E-2</v>
      </c>
      <c r="O6" s="191">
        <f>IF(ISERROR(VLOOKUP($K6,'Calc-Drivers'!$B$17:$G$27,O$42,FALSE))," ",VLOOKUP($K6,'Calc-Drivers'!$B$17:$G$27,O$42,FALSE))</f>
        <v>0.29641815801486676</v>
      </c>
      <c r="P6" s="191">
        <f>IF(ISERROR(VLOOKUP($K6,'Calc-Drivers'!$B$17:$G$27,P$42,FALSE))," ",VLOOKUP($K6,'Calc-Drivers'!$B$17:$G$27,P$42,FALSE))</f>
        <v>0.16281106022001174</v>
      </c>
      <c r="Q6" s="130"/>
      <c r="R6" s="70"/>
      <c r="S6" s="126">
        <f t="shared" ref="S6:S38" si="1">IF(ISERROR($I6*L6)," ",$I6*L6)</f>
        <v>0</v>
      </c>
      <c r="T6" s="126">
        <f t="shared" ref="T6:T38" si="2">IF(ISERROR($I6*M6)," ",$I6*M6)</f>
        <v>0</v>
      </c>
      <c r="U6" s="126">
        <f t="shared" ref="U6:U38" si="3">IF(ISERROR($I6*N6)," ",$I6*N6)</f>
        <v>0</v>
      </c>
      <c r="V6" s="122">
        <f t="shared" ref="V6:W38" si="4">IF(ISERROR($I6*O6)," ",$I6*O6)</f>
        <v>0</v>
      </c>
      <c r="W6" s="122">
        <f t="shared" si="4"/>
        <v>0</v>
      </c>
      <c r="X6" s="72"/>
      <c r="Y6" s="66"/>
      <c r="Z6" s="71">
        <f t="shared" ref="Z6:Z38" si="5">IF($K6="Do not allocate"," ",S6+E6)</f>
        <v>4.9000000000000004</v>
      </c>
      <c r="AA6" s="71">
        <f t="shared" ref="AA6:AA38" si="6">IF($K6="Do not allocate"," ",T6+F6)</f>
        <v>4.0999999999999996</v>
      </c>
      <c r="AB6" s="71">
        <f t="shared" ref="AB6:AB38" si="7">IF($K6="Do not allocate"," ",U6+G6)</f>
        <v>0</v>
      </c>
      <c r="AC6" s="1269">
        <f t="shared" ref="AC6:AC38" si="8">IF($K6="Do not allocate"," ",($H6*O6/($O6+$P6)+V6))</f>
        <v>-4.9055633035979334</v>
      </c>
      <c r="AD6" s="123">
        <f t="shared" ref="AD6:AD38" si="9">IF($K6="Do not allocate"," ",($H6*P6/($O6+$P6)+W6))</f>
        <v>-2.6944366964020645</v>
      </c>
      <c r="AE6" s="72"/>
      <c r="AF6" s="72"/>
      <c r="AG6" s="73">
        <f>IF(ISERROR(Z6*100000000/'Calc-Units'!$E$21)," ",Z6*100000000/'Calc-Units'!$E$21)</f>
        <v>3.2541526192955958E-2</v>
      </c>
      <c r="AH6" s="73">
        <f>IF(ISERROR(AA6*100000000/'Calc-Units'!$D$21)," ",AA6*100000000/'Calc-Units'!$D$21)</f>
        <v>2.8146528122104851E-2</v>
      </c>
      <c r="AI6" s="73">
        <f>IF(ISERROR(AB6*100000000/'Calc-Units'!$C$21)," ",AB6*100000000/'Calc-Units'!$C$21)</f>
        <v>0</v>
      </c>
      <c r="AJ6" s="193">
        <f>IF(ISERROR(AC6*100000000/'Calc-Units'!$C$21)," ",AC6*100000000/'Calc-Units'!$C$21)</f>
        <v>-4.4052587937960394E-2</v>
      </c>
      <c r="AK6" s="74"/>
      <c r="AL6" s="67">
        <v>1</v>
      </c>
      <c r="AM6" s="106">
        <f t="shared" ref="AM6:AM38" si="10">AL6*D6</f>
        <v>1.4000000000000075</v>
      </c>
      <c r="AN6" s="69">
        <f t="shared" ref="AN6:AN38" si="11">D6*(1-AL6)</f>
        <v>0</v>
      </c>
      <c r="AO6" s="68"/>
      <c r="AP6" s="68"/>
      <c r="AQ6" s="71">
        <f>IF(ISERROR(Z6*(1-$AL6))," ",Z6*(1-$AL6))</f>
        <v>0</v>
      </c>
      <c r="AR6" s="71">
        <f>IF(ISERROR(AA6*(1-$AL6))," ",AA6*(1-$AL6))</f>
        <v>0</v>
      </c>
      <c r="AS6" s="71">
        <f>IF(ISERROR(AB6*(1-$AL6))," ",AB6*(1-$AL6))</f>
        <v>0</v>
      </c>
      <c r="AT6" s="123">
        <f>IF(ISERROR(AC6*(1-$AL6))," ",AC6*(1-$AL6))</f>
        <v>0</v>
      </c>
      <c r="AU6" s="123">
        <f>IF(ISERROR(AD6*(1-$AL6))," ",AD6*(1-$AL6))</f>
        <v>0</v>
      </c>
      <c r="AV6" s="72"/>
      <c r="AW6" s="74"/>
      <c r="AX6" s="221">
        <f>IF(ISERROR(AQ6*100000000/'Calc-Units'!$E$21)," ",AQ6*100000000/'Calc-Units'!$E$21)</f>
        <v>0</v>
      </c>
      <c r="AY6" s="221">
        <f>IF(ISERROR(AR6*100000000/'Calc-Units'!$D$21)," ",AR6*100000000/'Calc-Units'!$D$21)</f>
        <v>0</v>
      </c>
      <c r="AZ6" s="221">
        <f>IF(ISERROR(AS6*100000000/'Calc-Units'!$C$21)," ",AS6*100000000/'Calc-Units'!$C$21)</f>
        <v>0</v>
      </c>
      <c r="BA6" s="222">
        <f>IF(ISERROR(AT6*100000000/'Calc-Units'!$C$21)," ",AT6*100000000/'Calc-Units'!$C$21)</f>
        <v>0</v>
      </c>
      <c r="BC6" s="77"/>
      <c r="BD6" s="66"/>
    </row>
    <row r="7" spans="1:56" s="65" customFormat="1" ht="12.75" customHeight="1">
      <c r="A7" s="2233"/>
      <c r="B7" s="2227"/>
      <c r="C7" s="103" t="s">
        <v>470</v>
      </c>
      <c r="D7" s="106">
        <f>'RRP 1.3'!E$12</f>
        <v>44.500000000000007</v>
      </c>
      <c r="E7" s="132">
        <f>SUM('RRP 2.4'!G44:G55)+'RRP 2.4'!G71+'RRP 2.4'!H71</f>
        <v>13.300000000000002</v>
      </c>
      <c r="F7" s="106">
        <f>SUM('RRP 2.4'!G38:G40)+'RRP 2.4'!F71</f>
        <v>14.899999999999999</v>
      </c>
      <c r="G7" s="106">
        <f>'RRP 2.4'!G41+'RRP 2.4'!G42+'RRP 2.4'!G43</f>
        <v>5</v>
      </c>
      <c r="H7" s="106">
        <f>SUM('RRP 2.4'!G31:G37)+'RRP 2.4'!E71</f>
        <v>12</v>
      </c>
      <c r="I7" s="106">
        <f t="shared" si="0"/>
        <v>-0.69999999999999574</v>
      </c>
      <c r="J7" s="68"/>
      <c r="K7" s="106" t="s">
        <v>484</v>
      </c>
      <c r="L7" s="118">
        <f>IF(ISERROR(VLOOKUP($K7,'Calc-Drivers'!$B$17:$G$27,L$42,FALSE))," ",VLOOKUP($K7,'Calc-Drivers'!$B$17:$G$27,L$42,FALSE))</f>
        <v>0.20654310937416842</v>
      </c>
      <c r="M7" s="118">
        <f>IF(ISERROR(VLOOKUP($K7,'Calc-Drivers'!$B$17:$G$27,M$42,FALSE))," ",VLOOKUP($K7,'Calc-Drivers'!$B$17:$G$27,M$42,FALSE))</f>
        <v>0.26114451714589082</v>
      </c>
      <c r="N7" s="118">
        <f>IF(ISERROR(VLOOKUP($K7,'Calc-Drivers'!$B$17:$G$27,N$42,FALSE))," ",VLOOKUP($K7,'Calc-Drivers'!$B$17:$G$27,N$42,FALSE))</f>
        <v>7.3083155245062287E-2</v>
      </c>
      <c r="O7" s="118">
        <f>IF(ISERROR(VLOOKUP($K7,'Calc-Drivers'!$B$17:$G$27,O$42,FALSE))," ",VLOOKUP($K7,'Calc-Drivers'!$B$17:$G$27,O$42,FALSE))</f>
        <v>0.29641815801486676</v>
      </c>
      <c r="P7" s="118">
        <f>IF(ISERROR(VLOOKUP($K7,'Calc-Drivers'!$B$17:$G$27,P$42,FALSE))," ",VLOOKUP($K7,'Calc-Drivers'!$B$17:$G$27,P$42,FALSE))</f>
        <v>0.16281106022001174</v>
      </c>
      <c r="Q7" s="130"/>
      <c r="R7" s="70"/>
      <c r="S7" s="71">
        <f t="shared" si="1"/>
        <v>-0.14458017656191702</v>
      </c>
      <c r="T7" s="71">
        <f t="shared" si="2"/>
        <v>-0.18280116200212246</v>
      </c>
      <c r="U7" s="71">
        <f t="shared" si="3"/>
        <v>-5.115820867154329E-2</v>
      </c>
      <c r="V7" s="123">
        <f t="shared" si="4"/>
        <v>-0.20749271061040547</v>
      </c>
      <c r="W7" s="123">
        <f t="shared" si="4"/>
        <v>-0.11396774215400753</v>
      </c>
      <c r="X7" s="72"/>
      <c r="Y7" s="66"/>
      <c r="Z7" s="71">
        <f t="shared" si="5"/>
        <v>13.155419823438086</v>
      </c>
      <c r="AA7" s="71">
        <f t="shared" si="6"/>
        <v>14.717198837997875</v>
      </c>
      <c r="AB7" s="71">
        <f t="shared" si="7"/>
        <v>4.9488417913284568</v>
      </c>
      <c r="AC7" s="123">
        <f t="shared" si="8"/>
        <v>7.5381335582284379</v>
      </c>
      <c r="AD7" s="123">
        <f t="shared" si="9"/>
        <v>4.1404059890071485</v>
      </c>
      <c r="AE7" s="72"/>
      <c r="AF7" s="72"/>
      <c r="AG7" s="73">
        <f>IF(ISERROR(Z7*100000000/'Calc-Units'!$E$21)," ",Z7*100000000/'Calc-Units'!$E$21)</f>
        <v>8.7366824237498475E-2</v>
      </c>
      <c r="AH7" s="73">
        <f>IF(ISERROR(AA7*100000000/'Calc-Units'!$D$21)," ",AA7*100000000/'Calc-Units'!$D$21)</f>
        <v>0.10103367096885758</v>
      </c>
      <c r="AI7" s="73">
        <f>IF(ISERROR(AB7*100000000/'Calc-Units'!$C$21)," ",AB7*100000000/'Calc-Units'!$C$21)</f>
        <v>4.4441234311185768E-2</v>
      </c>
      <c r="AJ7" s="193">
        <f>IF(ISERROR(AC7*100000000/'Calc-Units'!$C$21)," ",AC7*100000000/'Calc-Units'!$C$21)</f>
        <v>6.7693406630466302E-2</v>
      </c>
      <c r="AK7" s="74"/>
      <c r="AL7" s="67">
        <v>1</v>
      </c>
      <c r="AM7" s="106">
        <f t="shared" si="10"/>
        <v>44.500000000000007</v>
      </c>
      <c r="AN7" s="69">
        <f t="shared" si="11"/>
        <v>0</v>
      </c>
      <c r="AO7" s="68"/>
      <c r="AP7" s="68"/>
      <c r="AQ7" s="71">
        <f t="shared" ref="AQ7:AQ38" si="12">IF(ISERROR(Z7*(1-$AL7))," ",Z7*(1-$AL7))</f>
        <v>0</v>
      </c>
      <c r="AR7" s="71">
        <f t="shared" ref="AR7:AR38" si="13">IF(ISERROR(AA7*(1-$AL7))," ",AA7*(1-$AL7))</f>
        <v>0</v>
      </c>
      <c r="AS7" s="71">
        <f t="shared" ref="AS7:AS38" si="14">IF(ISERROR(AB7*(1-$AL7))," ",AB7*(1-$AL7))</f>
        <v>0</v>
      </c>
      <c r="AT7" s="123">
        <f t="shared" ref="AT7:AT38" si="15">IF(ISERROR(AC7*(1-$AL7))," ",AC7*(1-$AL7))</f>
        <v>0</v>
      </c>
      <c r="AU7" s="123">
        <f t="shared" ref="AU7:AU38" si="16">IF(ISERROR(AD7*(1-$AL7))," ",AD7*(1-$AL7))</f>
        <v>0</v>
      </c>
      <c r="AV7" s="72"/>
      <c r="AW7" s="74"/>
      <c r="AX7" s="73">
        <f>IF(ISERROR(AQ7*100000000/'Calc-Units'!$E$21)," ",AQ7*100000000/'Calc-Units'!$E$21)</f>
        <v>0</v>
      </c>
      <c r="AY7" s="73">
        <f>IF(ISERROR(AR7*100000000/'Calc-Units'!$D$21)," ",AR7*100000000/'Calc-Units'!$D$21)</f>
        <v>0</v>
      </c>
      <c r="AZ7" s="73">
        <f>IF(ISERROR(AS7*100000000/'Calc-Units'!$C$21)," ",AS7*100000000/'Calc-Units'!$C$21)</f>
        <v>0</v>
      </c>
      <c r="BA7" s="193">
        <f>IF(ISERROR(AT7*100000000/'Calc-Units'!$C$21)," ",AT7*100000000/'Calc-Units'!$C$21)</f>
        <v>0</v>
      </c>
      <c r="BC7" s="77"/>
      <c r="BD7" s="66"/>
    </row>
    <row r="8" spans="1:56" s="65" customFormat="1">
      <c r="A8" s="2233"/>
      <c r="B8" s="2227"/>
      <c r="C8" s="103" t="s">
        <v>471</v>
      </c>
      <c r="D8" s="106">
        <f>'RRP 1.3'!F$12</f>
        <v>14.9</v>
      </c>
      <c r="E8" s="106">
        <v>0</v>
      </c>
      <c r="F8" s="106">
        <v>0</v>
      </c>
      <c r="G8" s="106">
        <v>0</v>
      </c>
      <c r="H8" s="106">
        <v>0</v>
      </c>
      <c r="I8" s="106">
        <f t="shared" si="0"/>
        <v>14.9</v>
      </c>
      <c r="J8" s="68"/>
      <c r="K8" s="106" t="s">
        <v>484</v>
      </c>
      <c r="L8" s="118">
        <f>IF(ISERROR(VLOOKUP($K8,'Calc-Drivers'!$B$17:$G$27,L$42,FALSE))," ",VLOOKUP($K8,'Calc-Drivers'!$B$17:$G$27,L$42,FALSE))</f>
        <v>0.20654310937416842</v>
      </c>
      <c r="M8" s="118">
        <f>IF(ISERROR(VLOOKUP($K8,'Calc-Drivers'!$B$17:$G$27,M$42,FALSE))," ",VLOOKUP($K8,'Calc-Drivers'!$B$17:$G$27,M$42,FALSE))</f>
        <v>0.26114451714589082</v>
      </c>
      <c r="N8" s="118">
        <f>IF(ISERROR(VLOOKUP($K8,'Calc-Drivers'!$B$17:$G$27,N$42,FALSE))," ",VLOOKUP($K8,'Calc-Drivers'!$B$17:$G$27,N$42,FALSE))</f>
        <v>7.3083155245062287E-2</v>
      </c>
      <c r="O8" s="118">
        <f>IF(ISERROR(VLOOKUP($K8,'Calc-Drivers'!$B$17:$G$27,O$42,FALSE))," ",VLOOKUP($K8,'Calc-Drivers'!$B$17:$G$27,O$42,FALSE))</f>
        <v>0.29641815801486676</v>
      </c>
      <c r="P8" s="118">
        <f>IF(ISERROR(VLOOKUP($K8,'Calc-Drivers'!$B$17:$G$27,P$42,FALSE))," ",VLOOKUP($K8,'Calc-Drivers'!$B$17:$G$27,P$42,FALSE))</f>
        <v>0.16281106022001174</v>
      </c>
      <c r="Q8" s="130"/>
      <c r="R8" s="70"/>
      <c r="S8" s="71">
        <f t="shared" si="1"/>
        <v>3.0774923296751093</v>
      </c>
      <c r="T8" s="71">
        <f t="shared" si="2"/>
        <v>3.8910533054737733</v>
      </c>
      <c r="U8" s="71">
        <f t="shared" si="3"/>
        <v>1.088939013151428</v>
      </c>
      <c r="V8" s="123">
        <f t="shared" si="4"/>
        <v>4.4166305544215145</v>
      </c>
      <c r="W8" s="123">
        <f t="shared" si="4"/>
        <v>2.425884797278175</v>
      </c>
      <c r="X8" s="72"/>
      <c r="Y8" s="66"/>
      <c r="Z8" s="71">
        <f t="shared" si="5"/>
        <v>3.0774923296751093</v>
      </c>
      <c r="AA8" s="71">
        <f t="shared" si="6"/>
        <v>3.8910533054737733</v>
      </c>
      <c r="AB8" s="71">
        <f t="shared" si="7"/>
        <v>1.088939013151428</v>
      </c>
      <c r="AC8" s="123">
        <f t="shared" si="8"/>
        <v>4.4166305544215145</v>
      </c>
      <c r="AD8" s="123">
        <f t="shared" si="9"/>
        <v>2.425884797278175</v>
      </c>
      <c r="AE8" s="72"/>
      <c r="AF8" s="72"/>
      <c r="AG8" s="73">
        <f>IF(ISERROR(Z8*100000000/'Calc-Units'!$E$21)," ",Z8*100000000/'Calc-Units'!$E$21)</f>
        <v>2.0438019847906861E-2</v>
      </c>
      <c r="AH8" s="73">
        <f>IF(ISERROR(AA8*100000000/'Calc-Units'!$D$21)," ",AA8*100000000/'Calc-Units'!$D$21)</f>
        <v>2.6712107631006492E-2</v>
      </c>
      <c r="AI8" s="73">
        <f>IF(ISERROR(AB8*100000000/'Calc-Units'!$C$21)," ",AB8*100000000/'Calc-Units'!$C$21)</f>
        <v>9.7788120684826514E-3</v>
      </c>
      <c r="AJ8" s="193">
        <f>IF(ISERROR(AC8*100000000/'Calc-Units'!$C$21)," ",AC8*100000000/'Calc-Units'!$C$21)</f>
        <v>3.9661909111525603E-2</v>
      </c>
      <c r="AK8" s="74"/>
      <c r="AL8" s="67">
        <v>0.23499999999999999</v>
      </c>
      <c r="AM8" s="106">
        <f t="shared" si="10"/>
        <v>3.5015000000000001</v>
      </c>
      <c r="AN8" s="69">
        <f t="shared" si="11"/>
        <v>11.3985</v>
      </c>
      <c r="AO8" s="68"/>
      <c r="AP8" s="68"/>
      <c r="AQ8" s="71">
        <f t="shared" si="12"/>
        <v>2.3542816322014586</v>
      </c>
      <c r="AR8" s="71">
        <f t="shared" si="13"/>
        <v>2.9766557786874368</v>
      </c>
      <c r="AS8" s="71">
        <f t="shared" si="14"/>
        <v>0.83303834506084251</v>
      </c>
      <c r="AT8" s="123">
        <f t="shared" si="15"/>
        <v>3.3787223741324586</v>
      </c>
      <c r="AU8" s="123">
        <f t="shared" si="16"/>
        <v>1.8558018699178038</v>
      </c>
      <c r="AV8" s="72"/>
      <c r="AW8" s="74"/>
      <c r="AX8" s="73">
        <f>IF(ISERROR(AQ8*100000000/'Calc-Units'!$E$21)," ",AQ8*100000000/'Calc-Units'!$E$21)</f>
        <v>1.5635085183648745E-2</v>
      </c>
      <c r="AY8" s="73">
        <f>IF(ISERROR(AR8*100000000/'Calc-Units'!$D$21)," ",AR8*100000000/'Calc-Units'!$D$21)</f>
        <v>2.0434762337719965E-2</v>
      </c>
      <c r="AZ8" s="73">
        <f>IF(ISERROR(AS8*100000000/'Calc-Units'!$C$21)," ",AS8*100000000/'Calc-Units'!$C$21)</f>
        <v>7.4807912323892273E-3</v>
      </c>
      <c r="BA8" s="193">
        <f>IF(ISERROR(AT8*100000000/'Calc-Units'!$C$21)," ",AT8*100000000/'Calc-Units'!$C$21)</f>
        <v>3.0341360470317089E-2</v>
      </c>
      <c r="BC8" s="77"/>
      <c r="BD8" s="66"/>
    </row>
    <row r="9" spans="1:56" s="65" customFormat="1">
      <c r="A9" s="2233"/>
      <c r="B9" s="2227"/>
      <c r="C9" s="103" t="s">
        <v>212</v>
      </c>
      <c r="D9" s="106">
        <f>'RRP 1.3'!G$12</f>
        <v>13.5</v>
      </c>
      <c r="E9" s="106">
        <f>SUM('RRP 2.3'!I20:I27)</f>
        <v>1</v>
      </c>
      <c r="F9" s="106">
        <f>SUM('RRP 2.3'!I17:I18)</f>
        <v>2.5</v>
      </c>
      <c r="G9" s="106">
        <f>SUM('RRP 2.3'!I19)</f>
        <v>0.4</v>
      </c>
      <c r="H9" s="106">
        <f>SUM('RRP 2.3'!I11:I16)</f>
        <v>8.4999999999999982</v>
      </c>
      <c r="I9" s="106">
        <f t="shared" si="0"/>
        <v>1.1000000000000014</v>
      </c>
      <c r="J9" s="68"/>
      <c r="K9" s="106" t="s">
        <v>484</v>
      </c>
      <c r="L9" s="118">
        <f>IF(ISERROR(VLOOKUP($K9,'Calc-Drivers'!$B$17:$G$27,L$42,FALSE))," ",VLOOKUP($K9,'Calc-Drivers'!$B$17:$G$27,L$42,FALSE))</f>
        <v>0.20654310937416842</v>
      </c>
      <c r="M9" s="118">
        <f>IF(ISERROR(VLOOKUP($K9,'Calc-Drivers'!$B$17:$G$27,M$42,FALSE))," ",VLOOKUP($K9,'Calc-Drivers'!$B$17:$G$27,M$42,FALSE))</f>
        <v>0.26114451714589082</v>
      </c>
      <c r="N9" s="118">
        <f>IF(ISERROR(VLOOKUP($K9,'Calc-Drivers'!$B$17:$G$27,N$42,FALSE))," ",VLOOKUP($K9,'Calc-Drivers'!$B$17:$G$27,N$42,FALSE))</f>
        <v>7.3083155245062287E-2</v>
      </c>
      <c r="O9" s="118">
        <f>IF(ISERROR(VLOOKUP($K9,'Calc-Drivers'!$B$17:$G$27,O$42,FALSE))," ",VLOOKUP($K9,'Calc-Drivers'!$B$17:$G$27,O$42,FALSE))</f>
        <v>0.29641815801486676</v>
      </c>
      <c r="P9" s="118">
        <f>IF(ISERROR(VLOOKUP($K9,'Calc-Drivers'!$B$17:$G$27,P$42,FALSE))," ",VLOOKUP($K9,'Calc-Drivers'!$B$17:$G$27,P$42,FALSE))</f>
        <v>0.16281106022001174</v>
      </c>
      <c r="Q9" s="130"/>
      <c r="R9" s="70"/>
      <c r="S9" s="71">
        <f t="shared" si="1"/>
        <v>0.22719742031158555</v>
      </c>
      <c r="T9" s="71">
        <f t="shared" si="2"/>
        <v>0.28725896886048025</v>
      </c>
      <c r="U9" s="71">
        <f t="shared" si="3"/>
        <v>8.0391470769568624E-2</v>
      </c>
      <c r="V9" s="123">
        <f t="shared" si="4"/>
        <v>0.32605997381635388</v>
      </c>
      <c r="W9" s="123">
        <f t="shared" si="4"/>
        <v>0.17909216624201316</v>
      </c>
      <c r="X9" s="72"/>
      <c r="Y9" s="66"/>
      <c r="Z9" s="71">
        <f t="shared" si="5"/>
        <v>1.2271974203115856</v>
      </c>
      <c r="AA9" s="71">
        <f t="shared" si="6"/>
        <v>2.7872589688604803</v>
      </c>
      <c r="AB9" s="71">
        <f t="shared" si="7"/>
        <v>0.48039147076956867</v>
      </c>
      <c r="AC9" s="123">
        <f t="shared" si="8"/>
        <v>5.8125452475772006</v>
      </c>
      <c r="AD9" s="123">
        <f t="shared" si="9"/>
        <v>3.192606892481165</v>
      </c>
      <c r="AE9" s="72"/>
      <c r="AF9" s="72"/>
      <c r="AG9" s="73">
        <f>IF(ISERROR(Z9*100000000/'Calc-Units'!$E$21)," ",Z9*100000000/'Calc-Units'!$E$21)</f>
        <v>8.1499748973464167E-3</v>
      </c>
      <c r="AH9" s="73">
        <f>IF(ISERROR(AA9*100000000/'Calc-Units'!$D$21)," ",AA9*100000000/'Calc-Units'!$D$21)</f>
        <v>1.9134551939175726E-2</v>
      </c>
      <c r="AI9" s="73">
        <f>IF(ISERROR(AB9*100000000/'Calc-Units'!$C$21)," ",AB9*100000000/'Calc-Units'!$C$21)</f>
        <v>4.3139770503422409E-3</v>
      </c>
      <c r="AJ9" s="193">
        <f>IF(ISERROR(AC9*100000000/'Calc-Units'!$C$21)," ",AC9*100000000/'Calc-Units'!$C$21)</f>
        <v>5.2197402176925457E-2</v>
      </c>
      <c r="AK9" s="74"/>
      <c r="AL9" s="67">
        <v>0.23499999999999999</v>
      </c>
      <c r="AM9" s="106">
        <f t="shared" si="10"/>
        <v>3.1724999999999999</v>
      </c>
      <c r="AN9" s="69">
        <f t="shared" si="11"/>
        <v>10.327500000000001</v>
      </c>
      <c r="AO9" s="68"/>
      <c r="AP9" s="68"/>
      <c r="AQ9" s="71">
        <f t="shared" si="12"/>
        <v>0.93880602653836298</v>
      </c>
      <c r="AR9" s="71">
        <f t="shared" si="13"/>
        <v>2.1322531111782674</v>
      </c>
      <c r="AS9" s="71">
        <f t="shared" si="14"/>
        <v>0.36749947513872006</v>
      </c>
      <c r="AT9" s="123">
        <f t="shared" si="15"/>
        <v>4.4465971143965586</v>
      </c>
      <c r="AU9" s="123">
        <f t="shared" si="16"/>
        <v>2.4423442727480911</v>
      </c>
      <c r="AV9" s="72"/>
      <c r="AW9" s="74"/>
      <c r="AX9" s="73">
        <f>IF(ISERROR(AQ9*100000000/'Calc-Units'!$E$21)," ",AQ9*100000000/'Calc-Units'!$E$21)</f>
        <v>6.2347307964700088E-3</v>
      </c>
      <c r="AY9" s="73">
        <f>IF(ISERROR(AR9*100000000/'Calc-Units'!$D$21)," ",AR9*100000000/'Calc-Units'!$D$21)</f>
        <v>1.4637932233469432E-2</v>
      </c>
      <c r="AZ9" s="73">
        <f>IF(ISERROR(AS9*100000000/'Calc-Units'!$C$21)," ",AS9*100000000/'Calc-Units'!$C$21)</f>
        <v>3.3001924435118145E-3</v>
      </c>
      <c r="BA9" s="193">
        <f>IF(ISERROR(AT9*100000000/'Calc-Units'!$C$21)," ",AT9*100000000/'Calc-Units'!$C$21)</f>
        <v>3.9931012665347966E-2</v>
      </c>
      <c r="BC9" s="77"/>
      <c r="BD9" s="66"/>
    </row>
    <row r="10" spans="1:56" s="65" customFormat="1">
      <c r="A10" s="2233"/>
      <c r="B10" s="2227"/>
      <c r="C10" s="103" t="s">
        <v>358</v>
      </c>
      <c r="D10" s="106">
        <f>'RRP 1.3'!H$12</f>
        <v>7.0000000000000018</v>
      </c>
      <c r="E10" s="106">
        <f>SUM('RRP 2.3'!G20:G27)</f>
        <v>2.1</v>
      </c>
      <c r="F10" s="106">
        <f>SUM('RRP 2.3'!G17:G18)</f>
        <v>0.8</v>
      </c>
      <c r="G10" s="132">
        <f>SUM('RRP 2.3'!G19)</f>
        <v>2.7</v>
      </c>
      <c r="H10" s="106">
        <f>SUM('RRP 2.3'!G11:G16)</f>
        <v>1.2</v>
      </c>
      <c r="I10" s="106">
        <f t="shared" si="0"/>
        <v>0.20000000000000218</v>
      </c>
      <c r="J10" s="68"/>
      <c r="K10" s="108" t="s">
        <v>484</v>
      </c>
      <c r="L10" s="118">
        <f>IF(ISERROR(VLOOKUP($K10,'Calc-Drivers'!$B$17:$G$27,L$42,FALSE))," ",VLOOKUP($K10,'Calc-Drivers'!$B$17:$G$27,L$42,FALSE))</f>
        <v>0.20654310937416842</v>
      </c>
      <c r="M10" s="118">
        <f>IF(ISERROR(VLOOKUP($K10,'Calc-Drivers'!$B$17:$G$27,M$42,FALSE))," ",VLOOKUP($K10,'Calc-Drivers'!$B$17:$G$27,M$42,FALSE))</f>
        <v>0.26114451714589082</v>
      </c>
      <c r="N10" s="118">
        <f>IF(ISERROR(VLOOKUP($K10,'Calc-Drivers'!$B$17:$G$27,N$42,FALSE))," ",VLOOKUP($K10,'Calc-Drivers'!$B$17:$G$27,N$42,FALSE))</f>
        <v>7.3083155245062287E-2</v>
      </c>
      <c r="O10" s="118">
        <f>IF(ISERROR(VLOOKUP($K10,'Calc-Drivers'!$B$17:$G$27,O$42,FALSE))," ",VLOOKUP($K10,'Calc-Drivers'!$B$17:$G$27,O$42,FALSE))</f>
        <v>0.29641815801486676</v>
      </c>
      <c r="P10" s="118">
        <f>IF(ISERROR(VLOOKUP($K10,'Calc-Drivers'!$B$17:$G$27,P$42,FALSE))," ",VLOOKUP($K10,'Calc-Drivers'!$B$17:$G$27,P$42,FALSE))</f>
        <v>0.16281106022001174</v>
      </c>
      <c r="Q10" s="130"/>
      <c r="R10" s="70"/>
      <c r="S10" s="71">
        <f t="shared" si="1"/>
        <v>4.1308621874834132E-2</v>
      </c>
      <c r="T10" s="71">
        <f t="shared" si="2"/>
        <v>5.2228903429178734E-2</v>
      </c>
      <c r="U10" s="71">
        <f t="shared" si="3"/>
        <v>1.4616631049012617E-2</v>
      </c>
      <c r="V10" s="123">
        <f t="shared" si="4"/>
        <v>5.9283631602974E-2</v>
      </c>
      <c r="W10" s="123">
        <f t="shared" si="4"/>
        <v>3.2562212044002704E-2</v>
      </c>
      <c r="X10" s="72"/>
      <c r="Y10" s="66"/>
      <c r="Z10" s="71">
        <f t="shared" si="5"/>
        <v>2.1413086218748343</v>
      </c>
      <c r="AA10" s="71">
        <f t="shared" si="6"/>
        <v>0.85222890342917879</v>
      </c>
      <c r="AB10" s="71">
        <f t="shared" si="7"/>
        <v>2.714616631049013</v>
      </c>
      <c r="AC10" s="123">
        <f t="shared" si="8"/>
        <v>0.83384625848685834</v>
      </c>
      <c r="AD10" s="123">
        <f t="shared" si="9"/>
        <v>0.45799958516011829</v>
      </c>
      <c r="AE10" s="72"/>
      <c r="AF10" s="72"/>
      <c r="AG10" s="73">
        <f>IF(ISERROR(Z10*100000000/'Calc-Units'!$E$21)," ",Z10*100000000/'Calc-Units'!$E$21)</f>
        <v>1.4220704205294355E-2</v>
      </c>
      <c r="AH10" s="73">
        <f>IF(ISERROR(AA10*100000000/'Calc-Units'!$D$21)," ",AA10*100000000/'Calc-Units'!$D$21)</f>
        <v>5.8505572675219423E-3</v>
      </c>
      <c r="AI10" s="73">
        <f>IF(ISERROR(AB10*100000000/'Calc-Units'!$C$21)," ",AB10*100000000/'Calc-Units'!$C$21)</f>
        <v>2.4377605680764008E-2</v>
      </c>
      <c r="AJ10" s="193">
        <f>IF(ISERROR(AC10*100000000/'Calc-Units'!$C$21)," ",AC10*100000000/'Calc-Units'!$C$21)</f>
        <v>7.488046398624615E-3</v>
      </c>
      <c r="AK10" s="74"/>
      <c r="AL10" s="67">
        <v>0.23499999999999999</v>
      </c>
      <c r="AM10" s="106">
        <f t="shared" si="10"/>
        <v>1.6450000000000002</v>
      </c>
      <c r="AN10" s="69">
        <f t="shared" si="11"/>
        <v>5.3550000000000013</v>
      </c>
      <c r="AO10" s="68"/>
      <c r="AP10" s="68"/>
      <c r="AQ10" s="127">
        <f t="shared" si="12"/>
        <v>1.6381010957342483</v>
      </c>
      <c r="AR10" s="127">
        <f t="shared" si="13"/>
        <v>0.65195511112332183</v>
      </c>
      <c r="AS10" s="127">
        <f t="shared" si="14"/>
        <v>2.076681722752495</v>
      </c>
      <c r="AT10" s="124">
        <f t="shared" si="15"/>
        <v>0.63789238774244661</v>
      </c>
      <c r="AU10" s="124">
        <f t="shared" si="16"/>
        <v>0.35036968264749052</v>
      </c>
      <c r="AV10" s="72"/>
      <c r="AW10" s="74"/>
      <c r="AX10" s="194">
        <f>IF(ISERROR(AQ10*100000000/'Calc-Units'!$E$21)," ",AQ10*100000000/'Calc-Units'!$E$21)</f>
        <v>1.0878838717050183E-2</v>
      </c>
      <c r="AY10" s="194">
        <f>IF(ISERROR(AR10*100000000/'Calc-Units'!$D$21)," ",AR10*100000000/'Calc-Units'!$D$21)</f>
        <v>4.4756763096542862E-3</v>
      </c>
      <c r="AZ10" s="194">
        <f>IF(ISERROR(AS10*100000000/'Calc-Units'!$C$21)," ",AS10*100000000/'Calc-Units'!$C$21)</f>
        <v>1.8648868345784466E-2</v>
      </c>
      <c r="BA10" s="195">
        <f>IF(ISERROR(AT10*100000000/'Calc-Units'!$C$21)," ",AT10*100000000/'Calc-Units'!$C$21)</f>
        <v>5.7283554949478302E-3</v>
      </c>
      <c r="BC10" s="77"/>
      <c r="BD10" s="66"/>
    </row>
    <row r="11" spans="1:56" s="65" customFormat="1" ht="16.5" customHeight="1">
      <c r="A11" s="2234"/>
      <c r="B11" s="2228"/>
      <c r="C11" s="190" t="s">
        <v>214</v>
      </c>
      <c r="D11" s="116">
        <f>'RRP 1.3'!I$12</f>
        <v>5.3000000000000007</v>
      </c>
      <c r="E11" s="116">
        <f>'RRP 2.3'!G46+'RRP 2.3'!G47</f>
        <v>0.3933301334794333</v>
      </c>
      <c r="F11" s="116">
        <f>'RRP 2.3'!G45</f>
        <v>2.1198961128685072</v>
      </c>
      <c r="G11" s="117">
        <v>0</v>
      </c>
      <c r="H11" s="116">
        <f>'RRP 2.3'!G44</f>
        <v>2.7959164081484307</v>
      </c>
      <c r="I11" s="116">
        <f t="shared" si="0"/>
        <v>-9.1426544963706391E-3</v>
      </c>
      <c r="J11" s="68"/>
      <c r="K11" s="125" t="s">
        <v>484</v>
      </c>
      <c r="L11" s="192">
        <f>IF(ISERROR(VLOOKUP($K11,'Calc-Drivers'!$B$17:$G$27,L$42,FALSE))," ",VLOOKUP($K11,'Calc-Drivers'!$B$17:$G$27,L$42,FALSE))</f>
        <v>0.20654310937416842</v>
      </c>
      <c r="M11" s="192">
        <f>IF(ISERROR(VLOOKUP($K11,'Calc-Drivers'!$B$17:$G$27,M$42,FALSE))," ",VLOOKUP($K11,'Calc-Drivers'!$B$17:$G$27,M$42,FALSE))</f>
        <v>0.26114451714589082</v>
      </c>
      <c r="N11" s="192">
        <f>IF(ISERROR(VLOOKUP($K11,'Calc-Drivers'!$B$17:$G$27,N$42,FALSE))," ",VLOOKUP($K11,'Calc-Drivers'!$B$17:$G$27,N$42,FALSE))</f>
        <v>7.3083155245062287E-2</v>
      </c>
      <c r="O11" s="192">
        <f>IF(ISERROR(VLOOKUP($K11,'Calc-Drivers'!$B$17:$G$27,O$42,FALSE))," ",VLOOKUP($K11,'Calc-Drivers'!$B$17:$G$27,O$42,FALSE))</f>
        <v>0.29641815801486676</v>
      </c>
      <c r="P11" s="192">
        <f>IF(ISERROR(VLOOKUP($K11,'Calc-Drivers'!$B$17:$G$27,P$42,FALSE))," ",VLOOKUP($K11,'Calc-Drivers'!$B$17:$G$27,P$42,FALSE))</f>
        <v>0.16281106022001174</v>
      </c>
      <c r="Q11" s="130"/>
      <c r="R11" s="70"/>
      <c r="S11" s="127">
        <f t="shared" si="1"/>
        <v>-1.8883522876141136E-3</v>
      </c>
      <c r="T11" s="127">
        <f t="shared" si="2"/>
        <v>-2.3875540938864182E-3</v>
      </c>
      <c r="U11" s="127">
        <f t="shared" si="3"/>
        <v>-6.6817403791022217E-4</v>
      </c>
      <c r="V11" s="124">
        <f t="shared" si="4"/>
        <v>-2.7100488051805243E-3</v>
      </c>
      <c r="W11" s="124">
        <f t="shared" si="4"/>
        <v>-1.4885252717793613E-3</v>
      </c>
      <c r="X11" s="72"/>
      <c r="Y11" s="66"/>
      <c r="Z11" s="127">
        <f t="shared" si="5"/>
        <v>0.39144178119181916</v>
      </c>
      <c r="AA11" s="127">
        <f t="shared" si="6"/>
        <v>2.1175085587746207</v>
      </c>
      <c r="AB11" s="127">
        <f t="shared" si="7"/>
        <v>-6.6817403791022217E-4</v>
      </c>
      <c r="AC11" s="124">
        <f t="shared" si="8"/>
        <v>1.8019669158974887</v>
      </c>
      <c r="AD11" s="124">
        <f t="shared" si="9"/>
        <v>0.98975091817398209</v>
      </c>
      <c r="AE11" s="72"/>
      <c r="AF11" s="72"/>
      <c r="AG11" s="194">
        <f>IF(ISERROR(Z11*100000000/'Calc-Units'!$E$21)," ",Z11*100000000/'Calc-Units'!$E$21)</f>
        <v>2.5996148929940646E-3</v>
      </c>
      <c r="AH11" s="194">
        <f>IF(ISERROR(AA11*100000000/'Calc-Units'!$D$21)," ",AA11*100000000/'Calc-Units'!$D$21)</f>
        <v>1.4536710780084778E-2</v>
      </c>
      <c r="AI11" s="194">
        <f>IF(ISERROR(AB11*100000000/'Calc-Units'!$C$21)," ",AB11*100000000/'Calc-Units'!$C$21)</f>
        <v>-6.0002885991326418E-6</v>
      </c>
      <c r="AJ11" s="195">
        <f>IF(ISERROR(AC11*100000000/'Calc-Units'!$C$21)," ",AC11*100000000/'Calc-Units'!$C$21)</f>
        <v>1.61818941293955E-2</v>
      </c>
      <c r="AK11" s="74"/>
      <c r="AL11" s="196">
        <v>0.23499999999999999</v>
      </c>
      <c r="AM11" s="116">
        <f t="shared" si="10"/>
        <v>1.2455000000000001</v>
      </c>
      <c r="AN11" s="197">
        <f t="shared" si="11"/>
        <v>4.0545000000000009</v>
      </c>
      <c r="AO11" s="68"/>
      <c r="AP11" s="68"/>
      <c r="AQ11" s="126">
        <f t="shared" si="12"/>
        <v>0.29945296261174165</v>
      </c>
      <c r="AR11" s="126">
        <f t="shared" si="13"/>
        <v>1.6198940474625849</v>
      </c>
      <c r="AS11" s="126">
        <f t="shared" si="14"/>
        <v>-5.1115313900131998E-4</v>
      </c>
      <c r="AT11" s="122">
        <f t="shared" si="15"/>
        <v>1.3785046906615788</v>
      </c>
      <c r="AU11" s="122">
        <f t="shared" si="16"/>
        <v>0.75715945240309634</v>
      </c>
      <c r="AV11" s="72"/>
      <c r="AW11" s="74"/>
      <c r="AX11" s="221">
        <f>IF(ISERROR(AQ11*100000000/'Calc-Units'!$E$21)," ",AQ11*100000000/'Calc-Units'!$E$21)</f>
        <v>1.9887053931404593E-3</v>
      </c>
      <c r="AY11" s="221">
        <f>IF(ISERROR(AR11*100000000/'Calc-Units'!$D$21)," ",AR11*100000000/'Calc-Units'!$D$21)</f>
        <v>1.1120583746764855E-2</v>
      </c>
      <c r="AZ11" s="221">
        <f>IF(ISERROR(AS11*100000000/'Calc-Units'!$C$21)," ",AS11*100000000/'Calc-Units'!$C$21)</f>
        <v>-4.5902207783364723E-6</v>
      </c>
      <c r="BA11" s="222">
        <f>IF(ISERROR(AT11*100000000/'Calc-Units'!$C$21)," ",AT11*100000000/'Calc-Units'!$C$21)</f>
        <v>1.2379149008987556E-2</v>
      </c>
      <c r="BC11" s="77"/>
      <c r="BD11" s="66"/>
    </row>
    <row r="12" spans="1:56" s="80" customFormat="1" ht="12.75" customHeight="1">
      <c r="A12" s="81"/>
      <c r="B12" s="2229" t="s">
        <v>71</v>
      </c>
      <c r="C12" s="104" t="s">
        <v>59</v>
      </c>
      <c r="D12" s="108">
        <f>'RRP 1.3'!J$12</f>
        <v>0.6</v>
      </c>
      <c r="E12" s="108">
        <v>0</v>
      </c>
      <c r="F12" s="108">
        <v>0</v>
      </c>
      <c r="G12" s="108">
        <v>0</v>
      </c>
      <c r="H12" s="108">
        <v>0</v>
      </c>
      <c r="I12" s="108">
        <f t="shared" si="0"/>
        <v>0.6</v>
      </c>
      <c r="J12" s="76"/>
      <c r="K12" s="108" t="s">
        <v>484</v>
      </c>
      <c r="L12" s="118">
        <f>IF(ISERROR(VLOOKUP($K12,'Calc-Drivers'!$B$17:$G$27,L$42,FALSE))," ",VLOOKUP($K12,'Calc-Drivers'!$B$17:$G$27,L$42,FALSE))</f>
        <v>0.20654310937416842</v>
      </c>
      <c r="M12" s="118">
        <f>IF(ISERROR(VLOOKUP($K12,'Calc-Drivers'!$B$17:$G$27,M$42,FALSE))," ",VLOOKUP($K12,'Calc-Drivers'!$B$17:$G$27,M$42,FALSE))</f>
        <v>0.26114451714589082</v>
      </c>
      <c r="N12" s="118">
        <f>IF(ISERROR(VLOOKUP($K12,'Calc-Drivers'!$B$17:$G$27,N$42,FALSE))," ",VLOOKUP($K12,'Calc-Drivers'!$B$17:$G$27,N$42,FALSE))</f>
        <v>7.3083155245062287E-2</v>
      </c>
      <c r="O12" s="118">
        <f>IF(ISERROR(VLOOKUP($K12,'Calc-Drivers'!$B$17:$G$27,O$42,FALSE))," ",VLOOKUP($K12,'Calc-Drivers'!$B$17:$G$27,O$42,FALSE))</f>
        <v>0.29641815801486676</v>
      </c>
      <c r="P12" s="118">
        <f>IF(ISERROR(VLOOKUP($K12,'Calc-Drivers'!$B$17:$G$27,P$42,FALSE))," ",VLOOKUP($K12,'Calc-Drivers'!$B$17:$G$27,P$42,FALSE))</f>
        <v>0.16281106022001174</v>
      </c>
      <c r="Q12" s="130"/>
      <c r="R12" s="70"/>
      <c r="S12" s="71">
        <f t="shared" si="1"/>
        <v>0.12392586562450104</v>
      </c>
      <c r="T12" s="71">
        <f t="shared" si="2"/>
        <v>0.15668671028753448</v>
      </c>
      <c r="U12" s="71">
        <f t="shared" si="3"/>
        <v>4.3849893147037369E-2</v>
      </c>
      <c r="V12" s="123">
        <f t="shared" si="4"/>
        <v>0.17785089480892005</v>
      </c>
      <c r="W12" s="123">
        <f t="shared" si="4"/>
        <v>9.7686636132007038E-2</v>
      </c>
      <c r="X12" s="72"/>
      <c r="Y12" s="77"/>
      <c r="Z12" s="126">
        <f t="shared" si="5"/>
        <v>0.12392586562450104</v>
      </c>
      <c r="AA12" s="126">
        <f t="shared" si="6"/>
        <v>0.15668671028753448</v>
      </c>
      <c r="AB12" s="126">
        <f t="shared" si="7"/>
        <v>4.3849893147037369E-2</v>
      </c>
      <c r="AC12" s="122">
        <f t="shared" si="8"/>
        <v>0.17785089480892005</v>
      </c>
      <c r="AD12" s="122">
        <f t="shared" si="9"/>
        <v>9.7686636132007038E-2</v>
      </c>
      <c r="AE12" s="72"/>
      <c r="AF12" s="78"/>
      <c r="AG12" s="221">
        <f>IF(ISERROR(Z12*100000000/'Calc-Units'!$E$21)," ",Z12*100000000/'Calc-Units'!$E$21)</f>
        <v>8.2300751065396752E-4</v>
      </c>
      <c r="AH12" s="221">
        <f>IF(ISERROR(AA12*100000000/'Calc-Units'!$D$21)," ",AA12*100000000/'Calc-Units'!$D$21)</f>
        <v>1.0756553408458988E-3</v>
      </c>
      <c r="AI12" s="221">
        <f>IF(ISERROR(AB12*100000000/'Calc-Units'!$C$21)," ",AB12*100000000/'Calc-Units'!$C$21)</f>
        <v>3.9377766718722083E-4</v>
      </c>
      <c r="AJ12" s="222">
        <f>IF(ISERROR(AC12*100000000/'Calc-Units'!$C$21)," ",AC12*100000000/'Calc-Units'!$C$21)</f>
        <v>1.5971238568399573E-3</v>
      </c>
      <c r="AK12" s="79"/>
      <c r="AL12" s="223">
        <v>0.52569999999999995</v>
      </c>
      <c r="AM12" s="107">
        <f t="shared" si="10"/>
        <v>0.31541999999999998</v>
      </c>
      <c r="AN12" s="218">
        <f t="shared" si="11"/>
        <v>0.28458</v>
      </c>
      <c r="AO12" s="68"/>
      <c r="AP12" s="68"/>
      <c r="AQ12" s="71">
        <f t="shared" si="12"/>
        <v>5.8778038065700852E-2</v>
      </c>
      <c r="AR12" s="71">
        <f t="shared" si="13"/>
        <v>7.4316506689377615E-2</v>
      </c>
      <c r="AS12" s="71">
        <f t="shared" si="14"/>
        <v>2.0798004319639827E-2</v>
      </c>
      <c r="AT12" s="123">
        <f t="shared" si="15"/>
        <v>8.4354679407870795E-2</v>
      </c>
      <c r="AU12" s="123">
        <f t="shared" si="16"/>
        <v>4.6332771517410942E-2</v>
      </c>
      <c r="AV12" s="72"/>
      <c r="AW12" s="79"/>
      <c r="AX12" s="73">
        <f>IF(ISERROR(AQ12*100000000/'Calc-Units'!$E$21)," ",AQ12*100000000/'Calc-Units'!$E$21)</f>
        <v>3.9035246230317681E-4</v>
      </c>
      <c r="AY12" s="73">
        <f>IF(ISERROR(AR12*100000000/'Calc-Units'!$D$21)," ",AR12*100000000/'Calc-Units'!$D$21)</f>
        <v>5.1018332816320992E-4</v>
      </c>
      <c r="AZ12" s="73">
        <f>IF(ISERROR(AS12*100000000/'Calc-Units'!$C$21)," ",AS12*100000000/'Calc-Units'!$C$21)</f>
        <v>1.8676874754689884E-4</v>
      </c>
      <c r="BA12" s="193">
        <f>IF(ISERROR(AT12*100000000/'Calc-Units'!$C$21)," ",AT12*100000000/'Calc-Units'!$C$21)</f>
        <v>7.5751584529919181E-4</v>
      </c>
      <c r="BC12" s="77"/>
      <c r="BD12" s="77"/>
    </row>
    <row r="13" spans="1:56" s="80" customFormat="1">
      <c r="A13" s="81"/>
      <c r="B13" s="2230"/>
      <c r="C13" s="104" t="s">
        <v>60</v>
      </c>
      <c r="D13" s="108">
        <f>'RRP 1.3'!K$12</f>
        <v>4.5</v>
      </c>
      <c r="E13" s="108">
        <v>0</v>
      </c>
      <c r="F13" s="108">
        <v>0</v>
      </c>
      <c r="G13" s="108">
        <v>0</v>
      </c>
      <c r="H13" s="108">
        <v>0</v>
      </c>
      <c r="I13" s="108">
        <f t="shared" si="0"/>
        <v>4.5</v>
      </c>
      <c r="J13" s="76"/>
      <c r="K13" s="108" t="s">
        <v>484</v>
      </c>
      <c r="L13" s="118">
        <f>IF(ISERROR(VLOOKUP($K13,'Calc-Drivers'!$B$17:$G$27,L$42,FALSE))," ",VLOOKUP($K13,'Calc-Drivers'!$B$17:$G$27,L$42,FALSE))</f>
        <v>0.20654310937416842</v>
      </c>
      <c r="M13" s="118">
        <f>IF(ISERROR(VLOOKUP($K13,'Calc-Drivers'!$B$17:$G$27,M$42,FALSE))," ",VLOOKUP($K13,'Calc-Drivers'!$B$17:$G$27,M$42,FALSE))</f>
        <v>0.26114451714589082</v>
      </c>
      <c r="N13" s="118">
        <f>IF(ISERROR(VLOOKUP($K13,'Calc-Drivers'!$B$17:$G$27,N$42,FALSE))," ",VLOOKUP($K13,'Calc-Drivers'!$B$17:$G$27,N$42,FALSE))</f>
        <v>7.3083155245062287E-2</v>
      </c>
      <c r="O13" s="118">
        <f>IF(ISERROR(VLOOKUP($K13,'Calc-Drivers'!$B$17:$G$27,O$42,FALSE))," ",VLOOKUP($K13,'Calc-Drivers'!$B$17:$G$27,O$42,FALSE))</f>
        <v>0.29641815801486676</v>
      </c>
      <c r="P13" s="118">
        <f>IF(ISERROR(VLOOKUP($K13,'Calc-Drivers'!$B$17:$G$27,P$42,FALSE))," ",VLOOKUP($K13,'Calc-Drivers'!$B$17:$G$27,P$42,FALSE))</f>
        <v>0.16281106022001174</v>
      </c>
      <c r="Q13" s="130"/>
      <c r="R13" s="70"/>
      <c r="S13" s="71">
        <f t="shared" si="1"/>
        <v>0.92944399218375784</v>
      </c>
      <c r="T13" s="71">
        <f t="shared" si="2"/>
        <v>1.1751503271565087</v>
      </c>
      <c r="U13" s="71">
        <f t="shared" si="3"/>
        <v>0.32887419860278028</v>
      </c>
      <c r="V13" s="123">
        <f t="shared" si="4"/>
        <v>1.3338817110669003</v>
      </c>
      <c r="W13" s="123">
        <f t="shared" si="4"/>
        <v>0.7326497709900528</v>
      </c>
      <c r="X13" s="72"/>
      <c r="Y13" s="77"/>
      <c r="Z13" s="71">
        <f t="shared" si="5"/>
        <v>0.92944399218375784</v>
      </c>
      <c r="AA13" s="71">
        <f t="shared" si="6"/>
        <v>1.1751503271565087</v>
      </c>
      <c r="AB13" s="71">
        <f t="shared" si="7"/>
        <v>0.32887419860278028</v>
      </c>
      <c r="AC13" s="123">
        <f t="shared" si="8"/>
        <v>1.3338817110669003</v>
      </c>
      <c r="AD13" s="123">
        <f t="shared" si="9"/>
        <v>0.7326497709900528</v>
      </c>
      <c r="AE13" s="72"/>
      <c r="AF13" s="78"/>
      <c r="AG13" s="73">
        <f>IF(ISERROR(Z13*100000000/'Calc-Units'!$E$21)," ",Z13*100000000/'Calc-Units'!$E$21)</f>
        <v>6.1725563299047563E-3</v>
      </c>
      <c r="AH13" s="73">
        <f>IF(ISERROR(AA13*100000000/'Calc-Units'!$D$21)," ",AA13*100000000/'Calc-Units'!$D$21)</f>
        <v>8.0674150563442414E-3</v>
      </c>
      <c r="AI13" s="73">
        <f>IF(ISERROR(AB13*100000000/'Calc-Units'!$C$21)," ",AB13*100000000/'Calc-Units'!$C$21)</f>
        <v>2.9533325039041562E-3</v>
      </c>
      <c r="AJ13" s="193">
        <f>IF(ISERROR(AC13*100000000/'Calc-Units'!$C$21)," ",AC13*100000000/'Calc-Units'!$C$21)</f>
        <v>1.1978428926299679E-2</v>
      </c>
      <c r="AK13" s="79"/>
      <c r="AL13" s="75">
        <v>0.52569999999999995</v>
      </c>
      <c r="AM13" s="106">
        <f t="shared" si="10"/>
        <v>2.3656499999999996</v>
      </c>
      <c r="AN13" s="69">
        <f t="shared" si="11"/>
        <v>2.1343500000000004</v>
      </c>
      <c r="AO13" s="68"/>
      <c r="AP13" s="68"/>
      <c r="AQ13" s="71">
        <f t="shared" si="12"/>
        <v>0.44083528549275641</v>
      </c>
      <c r="AR13" s="71">
        <f t="shared" si="13"/>
        <v>0.55737380017033211</v>
      </c>
      <c r="AS13" s="71">
        <f t="shared" si="14"/>
        <v>0.15598503239729869</v>
      </c>
      <c r="AT13" s="123">
        <f t="shared" si="15"/>
        <v>0.63266009555903091</v>
      </c>
      <c r="AU13" s="123">
        <f t="shared" si="16"/>
        <v>0.34749578638058209</v>
      </c>
      <c r="AV13" s="72"/>
      <c r="AW13" s="79"/>
      <c r="AX13" s="73">
        <f>IF(ISERROR(AQ13*100000000/'Calc-Units'!$E$21)," ",AQ13*100000000/'Calc-Units'!$E$21)</f>
        <v>2.9276434672738266E-3</v>
      </c>
      <c r="AY13" s="73">
        <f>IF(ISERROR(AR13*100000000/'Calc-Units'!$D$21)," ",AR13*100000000/'Calc-Units'!$D$21)</f>
        <v>3.8263749612240743E-3</v>
      </c>
      <c r="AZ13" s="73">
        <f>IF(ISERROR(AS13*100000000/'Calc-Units'!$C$21)," ",AS13*100000000/'Calc-Units'!$C$21)</f>
        <v>1.4007656066017413E-3</v>
      </c>
      <c r="BA13" s="193">
        <f>IF(ISERROR(AT13*100000000/'Calc-Units'!$C$21)," ",AT13*100000000/'Calc-Units'!$C$21)</f>
        <v>5.6813688397439385E-3</v>
      </c>
      <c r="BC13" s="77"/>
      <c r="BD13" s="77"/>
    </row>
    <row r="14" spans="1:56" s="80" customFormat="1">
      <c r="A14" s="81"/>
      <c r="B14" s="2230"/>
      <c r="C14" s="104" t="s">
        <v>61</v>
      </c>
      <c r="D14" s="108">
        <f>'RRP 1.3'!L$12</f>
        <v>4.8999999999999995</v>
      </c>
      <c r="E14" s="108">
        <v>0</v>
      </c>
      <c r="F14" s="108">
        <v>0</v>
      </c>
      <c r="G14" s="108">
        <v>0</v>
      </c>
      <c r="H14" s="108">
        <v>0</v>
      </c>
      <c r="I14" s="108">
        <f t="shared" si="0"/>
        <v>4.8999999999999995</v>
      </c>
      <c r="J14" s="76"/>
      <c r="K14" s="108" t="s">
        <v>484</v>
      </c>
      <c r="L14" s="118">
        <f>IF(ISERROR(VLOOKUP($K14,'Calc-Drivers'!$B$17:$G$27,L$42,FALSE))," ",VLOOKUP($K14,'Calc-Drivers'!$B$17:$G$27,L$42,FALSE))</f>
        <v>0.20654310937416842</v>
      </c>
      <c r="M14" s="118">
        <f>IF(ISERROR(VLOOKUP($K14,'Calc-Drivers'!$B$17:$G$27,M$42,FALSE))," ",VLOOKUP($K14,'Calc-Drivers'!$B$17:$G$27,M$42,FALSE))</f>
        <v>0.26114451714589082</v>
      </c>
      <c r="N14" s="118">
        <f>IF(ISERROR(VLOOKUP($K14,'Calc-Drivers'!$B$17:$G$27,N$42,FALSE))," ",VLOOKUP($K14,'Calc-Drivers'!$B$17:$G$27,N$42,FALSE))</f>
        <v>7.3083155245062287E-2</v>
      </c>
      <c r="O14" s="118">
        <f>IF(ISERROR(VLOOKUP($K14,'Calc-Drivers'!$B$17:$G$27,O$42,FALSE))," ",VLOOKUP($K14,'Calc-Drivers'!$B$17:$G$27,O$42,FALSE))</f>
        <v>0.29641815801486676</v>
      </c>
      <c r="P14" s="118">
        <f>IF(ISERROR(VLOOKUP($K14,'Calc-Drivers'!$B$17:$G$27,P$42,FALSE))," ",VLOOKUP($K14,'Calc-Drivers'!$B$17:$G$27,P$42,FALSE))</f>
        <v>0.16281106022001174</v>
      </c>
      <c r="Q14" s="130"/>
      <c r="R14" s="70"/>
      <c r="S14" s="71">
        <f t="shared" si="1"/>
        <v>1.0120612359334251</v>
      </c>
      <c r="T14" s="71">
        <f t="shared" si="2"/>
        <v>1.2796081340148648</v>
      </c>
      <c r="U14" s="71">
        <f t="shared" si="3"/>
        <v>0.35810746070080518</v>
      </c>
      <c r="V14" s="123">
        <f t="shared" si="4"/>
        <v>1.452448974272847</v>
      </c>
      <c r="W14" s="123">
        <f t="shared" si="4"/>
        <v>0.79777419507805747</v>
      </c>
      <c r="X14" s="72"/>
      <c r="Y14" s="77"/>
      <c r="Z14" s="71">
        <f t="shared" si="5"/>
        <v>1.0120612359334251</v>
      </c>
      <c r="AA14" s="71">
        <f t="shared" si="6"/>
        <v>1.2796081340148648</v>
      </c>
      <c r="AB14" s="71">
        <f t="shared" si="7"/>
        <v>0.35810746070080518</v>
      </c>
      <c r="AC14" s="123">
        <f t="shared" si="8"/>
        <v>1.452448974272847</v>
      </c>
      <c r="AD14" s="123">
        <f t="shared" si="9"/>
        <v>0.79777419507805747</v>
      </c>
      <c r="AE14" s="72"/>
      <c r="AF14" s="78"/>
      <c r="AG14" s="73">
        <f>IF(ISERROR(Z14*100000000/'Calc-Units'!$E$21)," ",Z14*100000000/'Calc-Units'!$E$21)</f>
        <v>6.7212280036740672E-3</v>
      </c>
      <c r="AH14" s="73">
        <f>IF(ISERROR(AA14*100000000/'Calc-Units'!$D$21)," ",AA14*100000000/'Calc-Units'!$D$21)</f>
        <v>8.7845186169081737E-3</v>
      </c>
      <c r="AI14" s="73">
        <f>IF(ISERROR(AB14*100000000/'Calc-Units'!$C$21)," ",AB14*100000000/'Calc-Units'!$C$21)</f>
        <v>3.2158509486956365E-3</v>
      </c>
      <c r="AJ14" s="193">
        <f>IF(ISERROR(AC14*100000000/'Calc-Units'!$C$21)," ",AC14*100000000/'Calc-Units'!$C$21)</f>
        <v>1.3043178164192983E-2</v>
      </c>
      <c r="AK14" s="79"/>
      <c r="AL14" s="75">
        <v>0.52569999999999995</v>
      </c>
      <c r="AM14" s="106">
        <f t="shared" si="10"/>
        <v>2.5759299999999996</v>
      </c>
      <c r="AN14" s="69">
        <f t="shared" si="11"/>
        <v>2.3240699999999999</v>
      </c>
      <c r="AO14" s="68"/>
      <c r="AP14" s="68"/>
      <c r="AQ14" s="71">
        <f t="shared" si="12"/>
        <v>0.4800206442032236</v>
      </c>
      <c r="AR14" s="71">
        <f t="shared" si="13"/>
        <v>0.60691813796325045</v>
      </c>
      <c r="AS14" s="71">
        <f t="shared" si="14"/>
        <v>0.16985036861039191</v>
      </c>
      <c r="AT14" s="123">
        <f t="shared" si="15"/>
        <v>0.68889654849761139</v>
      </c>
      <c r="AU14" s="123">
        <f t="shared" si="16"/>
        <v>0.3783843007255227</v>
      </c>
      <c r="AV14" s="72"/>
      <c r="AW14" s="79"/>
      <c r="AX14" s="73">
        <f>IF(ISERROR(AQ14*100000000/'Calc-Units'!$E$21)," ",AQ14*100000000/'Calc-Units'!$E$21)</f>
        <v>3.1878784421426106E-3</v>
      </c>
      <c r="AY14" s="73">
        <f>IF(ISERROR(AR14*100000000/'Calc-Units'!$D$21)," ",AR14*100000000/'Calc-Units'!$D$21)</f>
        <v>4.1664971799995473E-3</v>
      </c>
      <c r="AZ14" s="73">
        <f>IF(ISERROR(AS14*100000000/'Calc-Units'!$C$21)," ",AS14*100000000/'Calc-Units'!$C$21)</f>
        <v>1.5252781049663404E-3</v>
      </c>
      <c r="BA14" s="193">
        <f>IF(ISERROR(AT14*100000000/'Calc-Units'!$C$21)," ",AT14*100000000/'Calc-Units'!$C$21)</f>
        <v>6.1863794032767329E-3</v>
      </c>
      <c r="BC14" s="77"/>
      <c r="BD14" s="77"/>
    </row>
    <row r="15" spans="1:56" s="80" customFormat="1">
      <c r="A15" s="81"/>
      <c r="B15" s="2230"/>
      <c r="C15" s="104" t="s">
        <v>62</v>
      </c>
      <c r="D15" s="108">
        <f>'RRP 1.3'!M$12</f>
        <v>9.6000000000000014</v>
      </c>
      <c r="E15" s="108">
        <v>0</v>
      </c>
      <c r="F15" s="108">
        <v>0</v>
      </c>
      <c r="G15" s="108">
        <v>0</v>
      </c>
      <c r="H15" s="108">
        <v>0</v>
      </c>
      <c r="I15" s="108">
        <f t="shared" si="0"/>
        <v>9.6000000000000014</v>
      </c>
      <c r="J15" s="76"/>
      <c r="K15" s="108" t="s">
        <v>484</v>
      </c>
      <c r="L15" s="118">
        <f>IF(ISERROR(VLOOKUP($K15,'Calc-Drivers'!$B$17:$G$27,L$42,FALSE))," ",VLOOKUP($K15,'Calc-Drivers'!$B$17:$G$27,L$42,FALSE))</f>
        <v>0.20654310937416842</v>
      </c>
      <c r="M15" s="118">
        <f>IF(ISERROR(VLOOKUP($K15,'Calc-Drivers'!$B$17:$G$27,M$42,FALSE))," ",VLOOKUP($K15,'Calc-Drivers'!$B$17:$G$27,M$42,FALSE))</f>
        <v>0.26114451714589082</v>
      </c>
      <c r="N15" s="118">
        <f>IF(ISERROR(VLOOKUP($K15,'Calc-Drivers'!$B$17:$G$27,N$42,FALSE))," ",VLOOKUP($K15,'Calc-Drivers'!$B$17:$G$27,N$42,FALSE))</f>
        <v>7.3083155245062287E-2</v>
      </c>
      <c r="O15" s="118">
        <f>IF(ISERROR(VLOOKUP($K15,'Calc-Drivers'!$B$17:$G$27,O$42,FALSE))," ",VLOOKUP($K15,'Calc-Drivers'!$B$17:$G$27,O$42,FALSE))</f>
        <v>0.29641815801486676</v>
      </c>
      <c r="P15" s="118">
        <f>IF(ISERROR(VLOOKUP($K15,'Calc-Drivers'!$B$17:$G$27,P$42,FALSE))," ",VLOOKUP($K15,'Calc-Drivers'!$B$17:$G$27,P$42,FALSE))</f>
        <v>0.16281106022001174</v>
      </c>
      <c r="Q15" s="130"/>
      <c r="R15" s="70"/>
      <c r="S15" s="71">
        <f t="shared" si="1"/>
        <v>1.9828138499920172</v>
      </c>
      <c r="T15" s="71">
        <f t="shared" si="2"/>
        <v>2.506987364600552</v>
      </c>
      <c r="U15" s="71">
        <f t="shared" si="3"/>
        <v>0.70159829035259802</v>
      </c>
      <c r="V15" s="123">
        <f t="shared" si="4"/>
        <v>2.8456143169427213</v>
      </c>
      <c r="W15" s="123">
        <f t="shared" si="4"/>
        <v>1.5629861781121128</v>
      </c>
      <c r="X15" s="72"/>
      <c r="Y15" s="77"/>
      <c r="Z15" s="71">
        <f t="shared" si="5"/>
        <v>1.9828138499920172</v>
      </c>
      <c r="AA15" s="71">
        <f t="shared" si="6"/>
        <v>2.506987364600552</v>
      </c>
      <c r="AB15" s="71">
        <f t="shared" si="7"/>
        <v>0.70159829035259802</v>
      </c>
      <c r="AC15" s="123">
        <f t="shared" si="8"/>
        <v>2.8456143169427213</v>
      </c>
      <c r="AD15" s="123">
        <f t="shared" si="9"/>
        <v>1.5629861781121128</v>
      </c>
      <c r="AE15" s="72"/>
      <c r="AF15" s="78"/>
      <c r="AG15" s="73">
        <f>IF(ISERROR(Z15*100000000/'Calc-Units'!$E$21)," ",Z15*100000000/'Calc-Units'!$E$21)</f>
        <v>1.3168120170463484E-2</v>
      </c>
      <c r="AH15" s="73">
        <f>IF(ISERROR(AA15*100000000/'Calc-Units'!$D$21)," ",AA15*100000000/'Calc-Units'!$D$21)</f>
        <v>1.7210485453534385E-2</v>
      </c>
      <c r="AI15" s="73">
        <f>IF(ISERROR(AB15*100000000/'Calc-Units'!$C$21)," ",AB15*100000000/'Calc-Units'!$C$21)</f>
        <v>6.3004426749955333E-3</v>
      </c>
      <c r="AJ15" s="193">
        <f>IF(ISERROR(AC15*100000000/'Calc-Units'!$C$21)," ",AC15*100000000/'Calc-Units'!$C$21)</f>
        <v>2.5553981709439316E-2</v>
      </c>
      <c r="AK15" s="79"/>
      <c r="AL15" s="75">
        <v>0.52569999999999995</v>
      </c>
      <c r="AM15" s="106">
        <f t="shared" si="10"/>
        <v>5.0467200000000005</v>
      </c>
      <c r="AN15" s="69">
        <f t="shared" si="11"/>
        <v>4.5532800000000009</v>
      </c>
      <c r="AO15" s="68"/>
      <c r="AP15" s="68"/>
      <c r="AQ15" s="71">
        <f t="shared" si="12"/>
        <v>0.94044860905121386</v>
      </c>
      <c r="AR15" s="71">
        <f t="shared" si="13"/>
        <v>1.1890641070300421</v>
      </c>
      <c r="AS15" s="71">
        <f t="shared" si="14"/>
        <v>0.33276806911423729</v>
      </c>
      <c r="AT15" s="123">
        <f t="shared" si="15"/>
        <v>1.3496748705259329</v>
      </c>
      <c r="AU15" s="123">
        <f t="shared" si="16"/>
        <v>0.74132434427857519</v>
      </c>
      <c r="AV15" s="72"/>
      <c r="AW15" s="79"/>
      <c r="AX15" s="73">
        <f>IF(ISERROR(AQ15*100000000/'Calc-Units'!$E$21)," ",AQ15*100000000/'Calc-Units'!$E$21)</f>
        <v>6.2456393968508307E-3</v>
      </c>
      <c r="AY15" s="73">
        <f>IF(ISERROR(AR15*100000000/'Calc-Units'!$D$21)," ",AR15*100000000/'Calc-Units'!$D$21)</f>
        <v>8.1629332506113605E-3</v>
      </c>
      <c r="AZ15" s="73">
        <f>IF(ISERROR(AS15*100000000/'Calc-Units'!$C$21)," ",AS15*100000000/'Calc-Units'!$C$21)</f>
        <v>2.9882999607503818E-3</v>
      </c>
      <c r="BA15" s="193">
        <f>IF(ISERROR(AT15*100000000/'Calc-Units'!$C$21)," ",AT15*100000000/'Calc-Units'!$C$21)</f>
        <v>1.2120253524787071E-2</v>
      </c>
      <c r="BC15" s="77"/>
      <c r="BD15" s="77"/>
    </row>
    <row r="16" spans="1:56" s="80" customFormat="1">
      <c r="A16" s="81"/>
      <c r="B16" s="2230"/>
      <c r="C16" s="104" t="s">
        <v>63</v>
      </c>
      <c r="D16" s="108">
        <f>'RRP 1.3'!N$12</f>
        <v>1.9</v>
      </c>
      <c r="E16" s="108">
        <v>0</v>
      </c>
      <c r="F16" s="108">
        <v>0</v>
      </c>
      <c r="G16" s="108">
        <v>0</v>
      </c>
      <c r="H16" s="108">
        <v>0</v>
      </c>
      <c r="I16" s="108">
        <f t="shared" si="0"/>
        <v>1.9</v>
      </c>
      <c r="J16" s="76"/>
      <c r="K16" s="108" t="s">
        <v>484</v>
      </c>
      <c r="L16" s="118">
        <f>IF(ISERROR(VLOOKUP($K16,'Calc-Drivers'!$B$17:$G$27,L$42,FALSE))," ",VLOOKUP($K16,'Calc-Drivers'!$B$17:$G$27,L$42,FALSE))</f>
        <v>0.20654310937416842</v>
      </c>
      <c r="M16" s="118">
        <f>IF(ISERROR(VLOOKUP($K16,'Calc-Drivers'!$B$17:$G$27,M$42,FALSE))," ",VLOOKUP($K16,'Calc-Drivers'!$B$17:$G$27,M$42,FALSE))</f>
        <v>0.26114451714589082</v>
      </c>
      <c r="N16" s="118">
        <f>IF(ISERROR(VLOOKUP($K16,'Calc-Drivers'!$B$17:$G$27,N$42,FALSE))," ",VLOOKUP($K16,'Calc-Drivers'!$B$17:$G$27,N$42,FALSE))</f>
        <v>7.3083155245062287E-2</v>
      </c>
      <c r="O16" s="118">
        <f>IF(ISERROR(VLOOKUP($K16,'Calc-Drivers'!$B$17:$G$27,O$42,FALSE))," ",VLOOKUP($K16,'Calc-Drivers'!$B$17:$G$27,O$42,FALSE))</f>
        <v>0.29641815801486676</v>
      </c>
      <c r="P16" s="118">
        <f>IF(ISERROR(VLOOKUP($K16,'Calc-Drivers'!$B$17:$G$27,P$42,FALSE))," ",VLOOKUP($K16,'Calc-Drivers'!$B$17:$G$27,P$42,FALSE))</f>
        <v>0.16281106022001174</v>
      </c>
      <c r="Q16" s="130"/>
      <c r="R16" s="70"/>
      <c r="S16" s="71">
        <f t="shared" si="1"/>
        <v>0.39243190781091997</v>
      </c>
      <c r="T16" s="71">
        <f t="shared" si="2"/>
        <v>0.49617458257719255</v>
      </c>
      <c r="U16" s="71">
        <f t="shared" si="3"/>
        <v>0.13885799496561835</v>
      </c>
      <c r="V16" s="123">
        <f t="shared" si="4"/>
        <v>0.5631945002282468</v>
      </c>
      <c r="W16" s="123">
        <f t="shared" si="4"/>
        <v>0.30934101441802231</v>
      </c>
      <c r="X16" s="72"/>
      <c r="Y16" s="77"/>
      <c r="Z16" s="71">
        <f t="shared" si="5"/>
        <v>0.39243190781091997</v>
      </c>
      <c r="AA16" s="71">
        <f t="shared" si="6"/>
        <v>0.49617458257719255</v>
      </c>
      <c r="AB16" s="71">
        <f t="shared" si="7"/>
        <v>0.13885799496561835</v>
      </c>
      <c r="AC16" s="123">
        <f t="shared" si="8"/>
        <v>0.5631945002282468</v>
      </c>
      <c r="AD16" s="123">
        <f t="shared" si="9"/>
        <v>0.30934101441802231</v>
      </c>
      <c r="AE16" s="72"/>
      <c r="AF16" s="78"/>
      <c r="AG16" s="73">
        <f>IF(ISERROR(Z16*100000000/'Calc-Units'!$E$21)," ",Z16*100000000/'Calc-Units'!$E$21)</f>
        <v>2.6061904504042304E-3</v>
      </c>
      <c r="AH16" s="73">
        <f>IF(ISERROR(AA16*100000000/'Calc-Units'!$D$21)," ",AA16*100000000/'Calc-Units'!$D$21)</f>
        <v>3.40624191267868E-3</v>
      </c>
      <c r="AI16" s="73">
        <f>IF(ISERROR(AB16*100000000/'Calc-Units'!$C$21)," ",AB16*100000000/'Calc-Units'!$C$21)</f>
        <v>1.2469626127595327E-3</v>
      </c>
      <c r="AJ16" s="193">
        <f>IF(ISERROR(AC16*100000000/'Calc-Units'!$C$21)," ",AC16*100000000/'Calc-Units'!$C$21)</f>
        <v>5.0575588799931983E-3</v>
      </c>
      <c r="AK16" s="79"/>
      <c r="AL16" s="75">
        <v>0.52569999999999995</v>
      </c>
      <c r="AM16" s="106">
        <f t="shared" si="10"/>
        <v>0.99882999999999988</v>
      </c>
      <c r="AN16" s="69">
        <f t="shared" si="11"/>
        <v>0.90117000000000003</v>
      </c>
      <c r="AO16" s="68"/>
      <c r="AP16" s="68"/>
      <c r="AQ16" s="71">
        <f t="shared" si="12"/>
        <v>0.18613045387471935</v>
      </c>
      <c r="AR16" s="71">
        <f t="shared" si="13"/>
        <v>0.23533560451636246</v>
      </c>
      <c r="AS16" s="71">
        <f t="shared" si="14"/>
        <v>6.5860347012192788E-2</v>
      </c>
      <c r="AT16" s="123">
        <f t="shared" si="15"/>
        <v>0.26712315145825749</v>
      </c>
      <c r="AU16" s="123">
        <f t="shared" si="16"/>
        <v>0.14672044313846799</v>
      </c>
      <c r="AV16" s="72"/>
      <c r="AW16" s="79"/>
      <c r="AX16" s="73">
        <f>IF(ISERROR(AQ16*100000000/'Calc-Units'!$E$21)," ",AQ16*100000000/'Calc-Units'!$E$21)</f>
        <v>1.2361161306267267E-3</v>
      </c>
      <c r="AY16" s="73">
        <f>IF(ISERROR(AR16*100000000/'Calc-Units'!$D$21)," ",AR16*100000000/'Calc-Units'!$D$21)</f>
        <v>1.6155805391834981E-3</v>
      </c>
      <c r="AZ16" s="73">
        <f>IF(ISERROR(AS16*100000000/'Calc-Units'!$C$21)," ",AS16*100000000/'Calc-Units'!$C$21)</f>
        <v>5.9143436723184633E-4</v>
      </c>
      <c r="BA16" s="193">
        <f>IF(ISERROR(AT16*100000000/'Calc-Units'!$C$21)," ",AT16*100000000/'Calc-Units'!$C$21)</f>
        <v>2.398800176780774E-3</v>
      </c>
      <c r="BC16" s="77"/>
      <c r="BD16" s="77"/>
    </row>
    <row r="17" spans="1:56" s="80" customFormat="1">
      <c r="A17" s="81"/>
      <c r="B17" s="2230"/>
      <c r="C17" s="104" t="s">
        <v>64</v>
      </c>
      <c r="D17" s="108">
        <f>'RRP 1.3'!O$12</f>
        <v>1</v>
      </c>
      <c r="E17" s="108">
        <v>0</v>
      </c>
      <c r="F17" s="108">
        <v>0</v>
      </c>
      <c r="G17" s="108">
        <v>0</v>
      </c>
      <c r="H17" s="108">
        <v>0</v>
      </c>
      <c r="I17" s="108">
        <f t="shared" si="0"/>
        <v>1</v>
      </c>
      <c r="J17" s="76"/>
      <c r="K17" s="108" t="s">
        <v>484</v>
      </c>
      <c r="L17" s="118">
        <f>IF(ISERROR(VLOOKUP($K17,'Calc-Drivers'!$B$17:$G$27,L$42,FALSE))," ",VLOOKUP($K17,'Calc-Drivers'!$B$17:$G$27,L$42,FALSE))</f>
        <v>0.20654310937416842</v>
      </c>
      <c r="M17" s="118">
        <f>IF(ISERROR(VLOOKUP($K17,'Calc-Drivers'!$B$17:$G$27,M$42,FALSE))," ",VLOOKUP($K17,'Calc-Drivers'!$B$17:$G$27,M$42,FALSE))</f>
        <v>0.26114451714589082</v>
      </c>
      <c r="N17" s="118">
        <f>IF(ISERROR(VLOOKUP($K17,'Calc-Drivers'!$B$17:$G$27,N$42,FALSE))," ",VLOOKUP($K17,'Calc-Drivers'!$B$17:$G$27,N$42,FALSE))</f>
        <v>7.3083155245062287E-2</v>
      </c>
      <c r="O17" s="118">
        <f>IF(ISERROR(VLOOKUP($K17,'Calc-Drivers'!$B$17:$G$27,O$42,FALSE))," ",VLOOKUP($K17,'Calc-Drivers'!$B$17:$G$27,O$42,FALSE))</f>
        <v>0.29641815801486676</v>
      </c>
      <c r="P17" s="118">
        <f>IF(ISERROR(VLOOKUP($K17,'Calc-Drivers'!$B$17:$G$27,P$42,FALSE))," ",VLOOKUP($K17,'Calc-Drivers'!$B$17:$G$27,P$42,FALSE))</f>
        <v>0.16281106022001174</v>
      </c>
      <c r="Q17" s="130"/>
      <c r="R17" s="70"/>
      <c r="S17" s="71">
        <f t="shared" si="1"/>
        <v>0.20654310937416842</v>
      </c>
      <c r="T17" s="71">
        <f t="shared" si="2"/>
        <v>0.26114451714589082</v>
      </c>
      <c r="U17" s="71">
        <f t="shared" si="3"/>
        <v>7.3083155245062287E-2</v>
      </c>
      <c r="V17" s="123">
        <f t="shared" si="4"/>
        <v>0.29641815801486676</v>
      </c>
      <c r="W17" s="123">
        <f t="shared" si="4"/>
        <v>0.16281106022001174</v>
      </c>
      <c r="X17" s="72"/>
      <c r="Y17" s="77"/>
      <c r="Z17" s="71">
        <f t="shared" si="5"/>
        <v>0.20654310937416842</v>
      </c>
      <c r="AA17" s="71">
        <f t="shared" si="6"/>
        <v>0.26114451714589082</v>
      </c>
      <c r="AB17" s="71">
        <f t="shared" si="7"/>
        <v>7.3083155245062287E-2</v>
      </c>
      <c r="AC17" s="123">
        <f t="shared" si="8"/>
        <v>0.29641815801486676</v>
      </c>
      <c r="AD17" s="123">
        <f t="shared" si="9"/>
        <v>0.16281106022001174</v>
      </c>
      <c r="AE17" s="72"/>
      <c r="AF17" s="78"/>
      <c r="AG17" s="73">
        <f>IF(ISERROR(Z17*100000000/'Calc-Units'!$E$21)," ",Z17*100000000/'Calc-Units'!$E$21)</f>
        <v>1.3716791844232792E-3</v>
      </c>
      <c r="AH17" s="73">
        <f>IF(ISERROR(AA17*100000000/'Calc-Units'!$D$21)," ",AA17*100000000/'Calc-Units'!$D$21)</f>
        <v>1.7927589014098315E-3</v>
      </c>
      <c r="AI17" s="73">
        <f>IF(ISERROR(AB17*100000000/'Calc-Units'!$C$21)," ",AB17*100000000/'Calc-Units'!$C$21)</f>
        <v>6.5629611197870138E-4</v>
      </c>
      <c r="AJ17" s="193">
        <f>IF(ISERROR(AC17*100000000/'Calc-Units'!$C$21)," ",AC17*100000000/'Calc-Units'!$C$21)</f>
        <v>2.661873094733262E-3</v>
      </c>
      <c r="AK17" s="79"/>
      <c r="AL17" s="75">
        <v>0.52569999999999995</v>
      </c>
      <c r="AM17" s="106">
        <f t="shared" si="10"/>
        <v>0.52569999999999995</v>
      </c>
      <c r="AN17" s="69">
        <f t="shared" si="11"/>
        <v>0.47430000000000005</v>
      </c>
      <c r="AO17" s="68"/>
      <c r="AP17" s="68"/>
      <c r="AQ17" s="71">
        <f t="shared" si="12"/>
        <v>9.7963396776168096E-2</v>
      </c>
      <c r="AR17" s="71">
        <f t="shared" si="13"/>
        <v>0.12386084448229603</v>
      </c>
      <c r="AS17" s="71">
        <f t="shared" si="14"/>
        <v>3.4663340532733046E-2</v>
      </c>
      <c r="AT17" s="123">
        <f t="shared" si="15"/>
        <v>0.14059113234645132</v>
      </c>
      <c r="AU17" s="123">
        <f t="shared" si="16"/>
        <v>7.722128586235158E-2</v>
      </c>
      <c r="AV17" s="72"/>
      <c r="AW17" s="79"/>
      <c r="AX17" s="73">
        <f>IF(ISERROR(AQ17*100000000/'Calc-Units'!$E$21)," ",AQ17*100000000/'Calc-Units'!$E$21)</f>
        <v>6.505874371719615E-4</v>
      </c>
      <c r="AY17" s="73">
        <f>IF(ISERROR(AR17*100000000/'Calc-Units'!$D$21)," ",AR17*100000000/'Calc-Units'!$D$21)</f>
        <v>8.5030554693868324E-4</v>
      </c>
      <c r="AZ17" s="73">
        <f>IF(ISERROR(AS17*100000000/'Calc-Units'!$C$21)," ",AS17*100000000/'Calc-Units'!$C$21)</f>
        <v>3.1128124591149809E-4</v>
      </c>
      <c r="BA17" s="193">
        <f>IF(ISERROR(AT17*100000000/'Calc-Units'!$C$21)," ",AT17*100000000/'Calc-Units'!$C$21)</f>
        <v>1.2625264088319864E-3</v>
      </c>
      <c r="BC17" s="77"/>
      <c r="BD17" s="77"/>
    </row>
    <row r="18" spans="1:56" s="80" customFormat="1">
      <c r="A18" s="81"/>
      <c r="B18" s="2230"/>
      <c r="C18" s="104" t="s">
        <v>220</v>
      </c>
      <c r="D18" s="108">
        <f>'RRP 1.3'!P$12</f>
        <v>0.7</v>
      </c>
      <c r="E18" s="108">
        <v>0</v>
      </c>
      <c r="F18" s="108">
        <v>0</v>
      </c>
      <c r="G18" s="108">
        <v>0</v>
      </c>
      <c r="H18" s="108">
        <v>0</v>
      </c>
      <c r="I18" s="108">
        <f t="shared" si="0"/>
        <v>0.7</v>
      </c>
      <c r="J18" s="76"/>
      <c r="K18" s="108" t="s">
        <v>484</v>
      </c>
      <c r="L18" s="118">
        <f>IF(ISERROR(VLOOKUP($K18,'Calc-Drivers'!$B$17:$G$27,L$42,FALSE))," ",VLOOKUP($K18,'Calc-Drivers'!$B$17:$G$27,L$42,FALSE))</f>
        <v>0.20654310937416842</v>
      </c>
      <c r="M18" s="118">
        <f>IF(ISERROR(VLOOKUP($K18,'Calc-Drivers'!$B$17:$G$27,M$42,FALSE))," ",VLOOKUP($K18,'Calc-Drivers'!$B$17:$G$27,M$42,FALSE))</f>
        <v>0.26114451714589082</v>
      </c>
      <c r="N18" s="118">
        <f>IF(ISERROR(VLOOKUP($K18,'Calc-Drivers'!$B$17:$G$27,N$42,FALSE))," ",VLOOKUP($K18,'Calc-Drivers'!$B$17:$G$27,N$42,FALSE))</f>
        <v>7.3083155245062287E-2</v>
      </c>
      <c r="O18" s="118">
        <f>IF(ISERROR(VLOOKUP($K18,'Calc-Drivers'!$B$17:$G$27,O$42,FALSE))," ",VLOOKUP($K18,'Calc-Drivers'!$B$17:$G$27,O$42,FALSE))</f>
        <v>0.29641815801486676</v>
      </c>
      <c r="P18" s="118">
        <f>IF(ISERROR(VLOOKUP($K18,'Calc-Drivers'!$B$17:$G$27,P$42,FALSE))," ",VLOOKUP($K18,'Calc-Drivers'!$B$17:$G$27,P$42,FALSE))</f>
        <v>0.16281106022001174</v>
      </c>
      <c r="Q18" s="130"/>
      <c r="R18" s="70"/>
      <c r="S18" s="71">
        <f t="shared" si="1"/>
        <v>0.14458017656191788</v>
      </c>
      <c r="T18" s="71">
        <f t="shared" si="2"/>
        <v>0.18280116200212357</v>
      </c>
      <c r="U18" s="71">
        <f t="shared" si="3"/>
        <v>5.1158208671543595E-2</v>
      </c>
      <c r="V18" s="123">
        <f t="shared" si="4"/>
        <v>0.20749271061040672</v>
      </c>
      <c r="W18" s="123">
        <f t="shared" si="4"/>
        <v>0.11396774215400821</v>
      </c>
      <c r="X18" s="72"/>
      <c r="Y18" s="77"/>
      <c r="Z18" s="71">
        <f t="shared" si="5"/>
        <v>0.14458017656191788</v>
      </c>
      <c r="AA18" s="71">
        <f t="shared" si="6"/>
        <v>0.18280116200212357</v>
      </c>
      <c r="AB18" s="71">
        <f t="shared" si="7"/>
        <v>5.1158208671543595E-2</v>
      </c>
      <c r="AC18" s="123">
        <f t="shared" si="8"/>
        <v>0.20749271061040672</v>
      </c>
      <c r="AD18" s="123">
        <f t="shared" si="9"/>
        <v>0.11396774215400821</v>
      </c>
      <c r="AE18" s="72"/>
      <c r="AF18" s="78"/>
      <c r="AG18" s="73">
        <f>IF(ISERROR(Z18*100000000/'Calc-Units'!$E$21)," ",Z18*100000000/'Calc-Units'!$E$21)</f>
        <v>9.6017542909629546E-4</v>
      </c>
      <c r="AH18" s="73">
        <f>IF(ISERROR(AA18*100000000/'Calc-Units'!$D$21)," ",AA18*100000000/'Calc-Units'!$D$21)</f>
        <v>1.2549312309868819E-3</v>
      </c>
      <c r="AI18" s="73">
        <f>IF(ISERROR(AB18*100000000/'Calc-Units'!$C$21)," ",AB18*100000000/'Calc-Units'!$C$21)</f>
        <v>4.5940727838509091E-4</v>
      </c>
      <c r="AJ18" s="193">
        <f>IF(ISERROR(AC18*100000000/'Calc-Units'!$C$21)," ",AC18*100000000/'Calc-Units'!$C$21)</f>
        <v>1.8633111663132835E-3</v>
      </c>
      <c r="AK18" s="79"/>
      <c r="AL18" s="75">
        <v>0.52569999999999995</v>
      </c>
      <c r="AM18" s="106">
        <f t="shared" si="10"/>
        <v>0.36798999999999993</v>
      </c>
      <c r="AN18" s="69">
        <f t="shared" si="11"/>
        <v>0.33201000000000003</v>
      </c>
      <c r="AO18" s="68"/>
      <c r="AP18" s="68"/>
      <c r="AQ18" s="71">
        <f t="shared" si="12"/>
        <v>6.8574377743317663E-2</v>
      </c>
      <c r="AR18" s="71">
        <f t="shared" si="13"/>
        <v>8.6702591137607213E-2</v>
      </c>
      <c r="AS18" s="71">
        <f t="shared" si="14"/>
        <v>2.4264338372913131E-2</v>
      </c>
      <c r="AT18" s="123">
        <f t="shared" si="15"/>
        <v>9.8413792642515915E-2</v>
      </c>
      <c r="AU18" s="123">
        <f t="shared" si="16"/>
        <v>5.4054900103646102E-2</v>
      </c>
      <c r="AV18" s="72"/>
      <c r="AW18" s="79"/>
      <c r="AX18" s="73">
        <f>IF(ISERROR(AQ18*100000000/'Calc-Units'!$E$21)," ",AQ18*100000000/'Calc-Units'!$E$21)</f>
        <v>4.5541120602037298E-4</v>
      </c>
      <c r="AY18" s="73">
        <f>IF(ISERROR(AR18*100000000/'Calc-Units'!$D$21)," ",AR18*100000000/'Calc-Units'!$D$21)</f>
        <v>5.9521388285707817E-4</v>
      </c>
      <c r="AZ18" s="73">
        <f>IF(ISERROR(AS18*100000000/'Calc-Units'!$C$21)," ",AS18*100000000/'Calc-Units'!$C$21)</f>
        <v>2.1789687213804863E-4</v>
      </c>
      <c r="BA18" s="193">
        <f>IF(ISERROR(AT18*100000000/'Calc-Units'!$C$21)," ",AT18*100000000/'Calc-Units'!$C$21)</f>
        <v>8.8376848618239041E-4</v>
      </c>
      <c r="BC18" s="77"/>
      <c r="BD18" s="77"/>
    </row>
    <row r="19" spans="1:56" s="80" customFormat="1">
      <c r="A19" s="81"/>
      <c r="B19" s="2230"/>
      <c r="C19" s="104" t="s">
        <v>221</v>
      </c>
      <c r="D19" s="108">
        <f>'RRP 1.3'!Q$12</f>
        <v>1.2</v>
      </c>
      <c r="E19" s="108">
        <v>0</v>
      </c>
      <c r="F19" s="108">
        <v>0</v>
      </c>
      <c r="G19" s="108">
        <v>0</v>
      </c>
      <c r="H19" s="108">
        <v>0</v>
      </c>
      <c r="I19" s="108">
        <f t="shared" si="0"/>
        <v>1.2</v>
      </c>
      <c r="J19" s="76"/>
      <c r="K19" s="108" t="s">
        <v>484</v>
      </c>
      <c r="L19" s="118">
        <f>IF(ISERROR(VLOOKUP($K19,'Calc-Drivers'!$B$17:$G$27,L$42,FALSE))," ",VLOOKUP($K19,'Calc-Drivers'!$B$17:$G$27,L$42,FALSE))</f>
        <v>0.20654310937416842</v>
      </c>
      <c r="M19" s="118">
        <f>IF(ISERROR(VLOOKUP($K19,'Calc-Drivers'!$B$17:$G$27,M$42,FALSE))," ",VLOOKUP($K19,'Calc-Drivers'!$B$17:$G$27,M$42,FALSE))</f>
        <v>0.26114451714589082</v>
      </c>
      <c r="N19" s="118">
        <f>IF(ISERROR(VLOOKUP($K19,'Calc-Drivers'!$B$17:$G$27,N$42,FALSE))," ",VLOOKUP($K19,'Calc-Drivers'!$B$17:$G$27,N$42,FALSE))</f>
        <v>7.3083155245062287E-2</v>
      </c>
      <c r="O19" s="118">
        <f>IF(ISERROR(VLOOKUP($K19,'Calc-Drivers'!$B$17:$G$27,O$42,FALSE))," ",VLOOKUP($K19,'Calc-Drivers'!$B$17:$G$27,O$42,FALSE))</f>
        <v>0.29641815801486676</v>
      </c>
      <c r="P19" s="118">
        <f>IF(ISERROR(VLOOKUP($K19,'Calc-Drivers'!$B$17:$G$27,P$42,FALSE))," ",VLOOKUP($K19,'Calc-Drivers'!$B$17:$G$27,P$42,FALSE))</f>
        <v>0.16281106022001174</v>
      </c>
      <c r="Q19" s="130"/>
      <c r="R19" s="70"/>
      <c r="S19" s="71">
        <f t="shared" si="1"/>
        <v>0.24785173124900209</v>
      </c>
      <c r="T19" s="71">
        <f t="shared" si="2"/>
        <v>0.31337342057506895</v>
      </c>
      <c r="U19" s="71">
        <f t="shared" si="3"/>
        <v>8.7699786294074739E-2</v>
      </c>
      <c r="V19" s="123">
        <f t="shared" si="4"/>
        <v>0.3557017896178401</v>
      </c>
      <c r="W19" s="123">
        <f t="shared" si="4"/>
        <v>0.19537327226401408</v>
      </c>
      <c r="X19" s="72"/>
      <c r="Y19" s="77"/>
      <c r="Z19" s="71">
        <f t="shared" si="5"/>
        <v>0.24785173124900209</v>
      </c>
      <c r="AA19" s="71">
        <f t="shared" si="6"/>
        <v>0.31337342057506895</v>
      </c>
      <c r="AB19" s="71">
        <f t="shared" si="7"/>
        <v>8.7699786294074739E-2</v>
      </c>
      <c r="AC19" s="123">
        <f t="shared" si="8"/>
        <v>0.3557017896178401</v>
      </c>
      <c r="AD19" s="123">
        <f t="shared" si="9"/>
        <v>0.19537327226401408</v>
      </c>
      <c r="AE19" s="72"/>
      <c r="AF19" s="78"/>
      <c r="AG19" s="73">
        <f>IF(ISERROR(Z19*100000000/'Calc-Units'!$E$21)," ",Z19*100000000/'Calc-Units'!$E$21)</f>
        <v>1.646015021307935E-3</v>
      </c>
      <c r="AH19" s="73">
        <f>IF(ISERROR(AA19*100000000/'Calc-Units'!$D$21)," ",AA19*100000000/'Calc-Units'!$D$21)</f>
        <v>2.1513106816917977E-3</v>
      </c>
      <c r="AI19" s="73">
        <f>IF(ISERROR(AB19*100000000/'Calc-Units'!$C$21)," ",AB19*100000000/'Calc-Units'!$C$21)</f>
        <v>7.8755533437444166E-4</v>
      </c>
      <c r="AJ19" s="193">
        <f>IF(ISERROR(AC19*100000000/'Calc-Units'!$C$21)," ",AC19*100000000/'Calc-Units'!$C$21)</f>
        <v>3.1942477136799145E-3</v>
      </c>
      <c r="AK19" s="79"/>
      <c r="AL19" s="75">
        <v>0.52569999999999995</v>
      </c>
      <c r="AM19" s="106">
        <f t="shared" si="10"/>
        <v>0.63083999999999996</v>
      </c>
      <c r="AN19" s="69">
        <f t="shared" si="11"/>
        <v>0.56916</v>
      </c>
      <c r="AO19" s="68"/>
      <c r="AP19" s="68"/>
      <c r="AQ19" s="71">
        <f t="shared" si="12"/>
        <v>0.1175560761314017</v>
      </c>
      <c r="AR19" s="71">
        <f t="shared" si="13"/>
        <v>0.14863301337875523</v>
      </c>
      <c r="AS19" s="71">
        <f t="shared" si="14"/>
        <v>4.1596008639279654E-2</v>
      </c>
      <c r="AT19" s="123">
        <f t="shared" si="15"/>
        <v>0.16870935881574159</v>
      </c>
      <c r="AU19" s="123">
        <f t="shared" si="16"/>
        <v>9.2665543034821884E-2</v>
      </c>
      <c r="AV19" s="72"/>
      <c r="AW19" s="79"/>
      <c r="AX19" s="73">
        <f>IF(ISERROR(AQ19*100000000/'Calc-Units'!$E$21)," ",AQ19*100000000/'Calc-Units'!$E$21)</f>
        <v>7.8070492460635362E-4</v>
      </c>
      <c r="AY19" s="73">
        <f>IF(ISERROR(AR19*100000000/'Calc-Units'!$D$21)," ",AR19*100000000/'Calc-Units'!$D$21)</f>
        <v>1.0203666563264198E-3</v>
      </c>
      <c r="AZ19" s="73">
        <f>IF(ISERROR(AS19*100000000/'Calc-Units'!$C$21)," ",AS19*100000000/'Calc-Units'!$C$21)</f>
        <v>3.7353749509379768E-4</v>
      </c>
      <c r="BA19" s="193">
        <f>IF(ISERROR(AT19*100000000/'Calc-Units'!$C$21)," ",AT19*100000000/'Calc-Units'!$C$21)</f>
        <v>1.5150316905983836E-3</v>
      </c>
      <c r="BC19" s="77"/>
      <c r="BD19" s="77"/>
    </row>
    <row r="20" spans="1:56" s="80" customFormat="1">
      <c r="A20" s="81"/>
      <c r="B20" s="2230"/>
      <c r="C20" s="104" t="s">
        <v>785</v>
      </c>
      <c r="D20" s="108">
        <f>'RRP 1.3'!R$12</f>
        <v>4.2</v>
      </c>
      <c r="E20" s="108">
        <v>0</v>
      </c>
      <c r="F20" s="108">
        <v>0</v>
      </c>
      <c r="G20" s="108">
        <v>0</v>
      </c>
      <c r="H20" s="108">
        <v>0</v>
      </c>
      <c r="I20" s="108">
        <f t="shared" si="0"/>
        <v>4.2</v>
      </c>
      <c r="J20" s="76"/>
      <c r="K20" s="108" t="s">
        <v>484</v>
      </c>
      <c r="L20" s="118">
        <f>IF(ISERROR(VLOOKUP($K20,'Calc-Drivers'!$B$17:$G$27,L$42,FALSE))," ",VLOOKUP($K20,'Calc-Drivers'!$B$17:$G$27,L$42,FALSE))</f>
        <v>0.20654310937416842</v>
      </c>
      <c r="M20" s="118">
        <f>IF(ISERROR(VLOOKUP($K20,'Calc-Drivers'!$B$17:$G$27,M$42,FALSE))," ",VLOOKUP($K20,'Calc-Drivers'!$B$17:$G$27,M$42,FALSE))</f>
        <v>0.26114451714589082</v>
      </c>
      <c r="N20" s="118">
        <f>IF(ISERROR(VLOOKUP($K20,'Calc-Drivers'!$B$17:$G$27,N$42,FALSE))," ",VLOOKUP($K20,'Calc-Drivers'!$B$17:$G$27,N$42,FALSE))</f>
        <v>7.3083155245062287E-2</v>
      </c>
      <c r="O20" s="118">
        <f>IF(ISERROR(VLOOKUP($K20,'Calc-Drivers'!$B$17:$G$27,O$42,FALSE))," ",VLOOKUP($K20,'Calc-Drivers'!$B$17:$G$27,O$42,FALSE))</f>
        <v>0.29641815801486676</v>
      </c>
      <c r="P20" s="118">
        <f>IF(ISERROR(VLOOKUP($K20,'Calc-Drivers'!$B$17:$G$27,P$42,FALSE))," ",VLOOKUP($K20,'Calc-Drivers'!$B$17:$G$27,P$42,FALSE))</f>
        <v>0.16281106022001174</v>
      </c>
      <c r="Q20" s="130"/>
      <c r="R20" s="70"/>
      <c r="S20" s="71">
        <f t="shared" si="1"/>
        <v>0.86748105937150743</v>
      </c>
      <c r="T20" s="71">
        <f t="shared" si="2"/>
        <v>1.0968069720127416</v>
      </c>
      <c r="U20" s="71">
        <f t="shared" si="3"/>
        <v>0.3069492520292616</v>
      </c>
      <c r="V20" s="123">
        <f t="shared" si="4"/>
        <v>1.2449562636624405</v>
      </c>
      <c r="W20" s="123">
        <f t="shared" si="4"/>
        <v>0.68380645292404929</v>
      </c>
      <c r="X20" s="72"/>
      <c r="Y20" s="77"/>
      <c r="Z20" s="71">
        <f t="shared" si="5"/>
        <v>0.86748105937150743</v>
      </c>
      <c r="AA20" s="71">
        <f t="shared" si="6"/>
        <v>1.0968069720127416</v>
      </c>
      <c r="AB20" s="71">
        <f t="shared" si="7"/>
        <v>0.3069492520292616</v>
      </c>
      <c r="AC20" s="123">
        <f t="shared" si="8"/>
        <v>1.2449562636624405</v>
      </c>
      <c r="AD20" s="123">
        <f t="shared" si="9"/>
        <v>0.68380645292404929</v>
      </c>
      <c r="AE20" s="72"/>
      <c r="AF20" s="78"/>
      <c r="AG20" s="73">
        <f>IF(ISERROR(Z20*100000000/'Calc-Units'!$E$21)," ",Z20*100000000/'Calc-Units'!$E$21)</f>
        <v>5.7610525745777734E-3</v>
      </c>
      <c r="AH20" s="73">
        <f>IF(ISERROR(AA20*100000000/'Calc-Units'!$D$21)," ",AA20*100000000/'Calc-Units'!$D$21)</f>
        <v>7.5295873859212931E-3</v>
      </c>
      <c r="AI20" s="73">
        <f>IF(ISERROR(AB20*100000000/'Calc-Units'!$C$21)," ",AB20*100000000/'Calc-Units'!$C$21)</f>
        <v>2.7564436703105457E-3</v>
      </c>
      <c r="AJ20" s="193">
        <f>IF(ISERROR(AC20*100000000/'Calc-Units'!$C$21)," ",AC20*100000000/'Calc-Units'!$C$21)</f>
        <v>1.1179866997879703E-2</v>
      </c>
      <c r="AK20" s="79"/>
      <c r="AL20" s="75">
        <v>0.52569999999999995</v>
      </c>
      <c r="AM20" s="106">
        <f t="shared" si="10"/>
        <v>2.2079399999999998</v>
      </c>
      <c r="AN20" s="69">
        <f t="shared" si="11"/>
        <v>1.9920600000000004</v>
      </c>
      <c r="AO20" s="68"/>
      <c r="AP20" s="68"/>
      <c r="AQ20" s="71">
        <f t="shared" si="12"/>
        <v>0.41144626645990601</v>
      </c>
      <c r="AR20" s="71">
        <f t="shared" si="13"/>
        <v>0.52021554682564342</v>
      </c>
      <c r="AS20" s="71">
        <f t="shared" si="14"/>
        <v>0.14558603023747879</v>
      </c>
      <c r="AT20" s="123">
        <f t="shared" si="15"/>
        <v>0.59048275585509558</v>
      </c>
      <c r="AU20" s="123">
        <f t="shared" si="16"/>
        <v>0.3243294006218766</v>
      </c>
      <c r="AV20" s="72"/>
      <c r="AW20" s="79"/>
      <c r="AX20" s="73">
        <f>IF(ISERROR(AQ20*100000000/'Calc-Units'!$E$21)," ",AQ20*100000000/'Calc-Units'!$E$21)</f>
        <v>2.7324672361222382E-3</v>
      </c>
      <c r="AY20" s="73">
        <f>IF(ISERROR(AR20*100000000/'Calc-Units'!$D$21)," ",AR20*100000000/'Calc-Units'!$D$21)</f>
        <v>3.5712832971424701E-3</v>
      </c>
      <c r="AZ20" s="73">
        <f>IF(ISERROR(AS20*100000000/'Calc-Units'!$C$21)," ",AS20*100000000/'Calc-Units'!$C$21)</f>
        <v>1.3073812328282921E-3</v>
      </c>
      <c r="BA20" s="193">
        <f>IF(ISERROR(AT20*100000000/'Calc-Units'!$C$21)," ",AT20*100000000/'Calc-Units'!$C$21)</f>
        <v>5.3026109170943433E-3</v>
      </c>
      <c r="BC20" s="77"/>
      <c r="BD20" s="77"/>
    </row>
    <row r="21" spans="1:56" s="80" customFormat="1">
      <c r="A21" s="81"/>
      <c r="B21" s="2230"/>
      <c r="C21" s="104" t="s">
        <v>663</v>
      </c>
      <c r="D21" s="108">
        <f>'RRP 1.3'!S$12</f>
        <v>6.9</v>
      </c>
      <c r="E21" s="108">
        <v>0</v>
      </c>
      <c r="F21" s="108">
        <v>0</v>
      </c>
      <c r="G21" s="108">
        <v>0</v>
      </c>
      <c r="H21" s="108">
        <v>0</v>
      </c>
      <c r="I21" s="108">
        <f t="shared" si="0"/>
        <v>6.9</v>
      </c>
      <c r="J21" s="76"/>
      <c r="K21" s="108" t="s">
        <v>473</v>
      </c>
      <c r="L21" s="118" t="str">
        <f>IF(ISERROR(VLOOKUP($K21,'Calc-Drivers'!$B$17:$G$27,L$42,FALSE))," ",VLOOKUP($K21,'Calc-Drivers'!$B$17:$G$27,L$42,FALSE))</f>
        <v xml:space="preserve"> </v>
      </c>
      <c r="M21" s="118" t="str">
        <f>IF(ISERROR(VLOOKUP($K21,'Calc-Drivers'!$B$17:$G$27,M$42,FALSE))," ",VLOOKUP($K21,'Calc-Drivers'!$B$17:$G$27,M$42,FALSE))</f>
        <v xml:space="preserve"> </v>
      </c>
      <c r="N21" s="118" t="str">
        <f>IF(ISERROR(VLOOKUP($K21,'Calc-Drivers'!$B$17:$G$27,N$42,FALSE))," ",VLOOKUP($K21,'Calc-Drivers'!$B$17:$G$27,N$42,FALSE))</f>
        <v xml:space="preserve"> </v>
      </c>
      <c r="O21" s="118" t="str">
        <f>IF(ISERROR(VLOOKUP($K21,'Calc-Drivers'!$B$17:$G$27,O$42,FALSE))," ",VLOOKUP($K21,'Calc-Drivers'!$B$17:$G$27,O$42,FALSE))</f>
        <v xml:space="preserve"> </v>
      </c>
      <c r="P21" s="118" t="str">
        <f>IF(ISERROR(VLOOKUP($K21,'Calc-Drivers'!$B$17:$G$27,P$42,FALSE))," ",VLOOKUP($K21,'Calc-Drivers'!$B$17:$G$27,P$42,FALSE))</f>
        <v xml:space="preserve"> </v>
      </c>
      <c r="Q21" s="130"/>
      <c r="R21" s="70"/>
      <c r="S21" s="71" t="str">
        <f t="shared" si="1"/>
        <v xml:space="preserve"> </v>
      </c>
      <c r="T21" s="71" t="str">
        <f t="shared" si="2"/>
        <v xml:space="preserve"> </v>
      </c>
      <c r="U21" s="71" t="str">
        <f t="shared" si="3"/>
        <v xml:space="preserve"> </v>
      </c>
      <c r="V21" s="123" t="str">
        <f t="shared" si="4"/>
        <v xml:space="preserve"> </v>
      </c>
      <c r="W21" s="123" t="str">
        <f t="shared" si="4"/>
        <v xml:space="preserve"> </v>
      </c>
      <c r="X21" s="72"/>
      <c r="Y21" s="77"/>
      <c r="Z21" s="71" t="str">
        <f t="shared" si="5"/>
        <v xml:space="preserve"> </v>
      </c>
      <c r="AA21" s="71" t="str">
        <f t="shared" si="6"/>
        <v xml:space="preserve"> </v>
      </c>
      <c r="AB21" s="71" t="str">
        <f t="shared" si="7"/>
        <v xml:space="preserve"> </v>
      </c>
      <c r="AC21" s="123" t="str">
        <f t="shared" si="8"/>
        <v xml:space="preserve"> </v>
      </c>
      <c r="AD21" s="123" t="str">
        <f t="shared" si="9"/>
        <v xml:space="preserve"> </v>
      </c>
      <c r="AE21" s="72"/>
      <c r="AF21" s="78"/>
      <c r="AG21" s="73" t="str">
        <f>IF(ISERROR(Z21*100000000/'Calc-Units'!$E$21)," ",Z21*100000000/'Calc-Units'!$E$21)</f>
        <v xml:space="preserve"> </v>
      </c>
      <c r="AH21" s="73" t="str">
        <f>IF(ISERROR(AA21*100000000/'Calc-Units'!$D$21)," ",AA21*100000000/'Calc-Units'!$D$21)</f>
        <v xml:space="preserve"> </v>
      </c>
      <c r="AI21" s="73" t="str">
        <f>IF(ISERROR(AB21*100000000/'Calc-Units'!$C$21)," ",AB21*100000000/'Calc-Units'!$C$21)</f>
        <v xml:space="preserve"> </v>
      </c>
      <c r="AJ21" s="193" t="str">
        <f>IF(ISERROR(AC21*100000000/'Calc-Units'!$C$21)," ",AC21*100000000/'Calc-Units'!$C$21)</f>
        <v xml:space="preserve"> </v>
      </c>
      <c r="AK21" s="79"/>
      <c r="AL21" s="75">
        <v>0.52569999999999995</v>
      </c>
      <c r="AM21" s="106">
        <f t="shared" si="10"/>
        <v>3.6273299999999997</v>
      </c>
      <c r="AN21" s="69">
        <f t="shared" si="11"/>
        <v>3.2726700000000006</v>
      </c>
      <c r="AO21" s="68"/>
      <c r="AP21" s="68"/>
      <c r="AQ21" s="71" t="str">
        <f t="shared" si="12"/>
        <v xml:space="preserve"> </v>
      </c>
      <c r="AR21" s="71" t="str">
        <f t="shared" si="13"/>
        <v xml:space="preserve"> </v>
      </c>
      <c r="AS21" s="71" t="str">
        <f t="shared" si="14"/>
        <v xml:space="preserve"> </v>
      </c>
      <c r="AT21" s="123" t="str">
        <f t="shared" si="15"/>
        <v xml:space="preserve"> </v>
      </c>
      <c r="AU21" s="123" t="str">
        <f t="shared" si="16"/>
        <v xml:space="preserve"> </v>
      </c>
      <c r="AV21" s="72"/>
      <c r="AW21" s="79"/>
      <c r="AX21" s="73" t="str">
        <f>IF(ISERROR(AQ21*100000000/'Calc-Units'!$E$21)," ",AQ21*100000000/'Calc-Units'!$E$21)</f>
        <v xml:space="preserve"> </v>
      </c>
      <c r="AY21" s="73" t="str">
        <f>IF(ISERROR(AR21*100000000/'Calc-Units'!$D$21)," ",AR21*100000000/'Calc-Units'!$D$21)</f>
        <v xml:space="preserve"> </v>
      </c>
      <c r="AZ21" s="73" t="str">
        <f>IF(ISERROR(AS21*100000000/'Calc-Units'!$C$21)," ",AS21*100000000/'Calc-Units'!$C$21)</f>
        <v xml:space="preserve"> </v>
      </c>
      <c r="BA21" s="193" t="str">
        <f>IF(ISERROR(AT21*100000000/'Calc-Units'!$C$21)," ",AT21*100000000/'Calc-Units'!$C$21)</f>
        <v xml:space="preserve"> </v>
      </c>
      <c r="BC21" s="77"/>
      <c r="BD21" s="77"/>
    </row>
    <row r="22" spans="1:56" s="80" customFormat="1">
      <c r="A22" s="81"/>
      <c r="B22" s="2230"/>
      <c r="C22" s="104" t="s">
        <v>784</v>
      </c>
      <c r="D22" s="108">
        <f>'RRP 1.3'!T$12</f>
        <v>3</v>
      </c>
      <c r="E22" s="108">
        <v>0</v>
      </c>
      <c r="F22" s="108">
        <v>0</v>
      </c>
      <c r="G22" s="108">
        <v>0</v>
      </c>
      <c r="H22" s="108">
        <v>0</v>
      </c>
      <c r="I22" s="108">
        <f t="shared" si="0"/>
        <v>3</v>
      </c>
      <c r="J22" s="76"/>
      <c r="K22" s="108" t="s">
        <v>473</v>
      </c>
      <c r="L22" s="118" t="str">
        <f>IF(ISERROR(VLOOKUP($K22,'Calc-Drivers'!$B$17:$G$27,L$42,FALSE))," ",VLOOKUP($K22,'Calc-Drivers'!$B$17:$G$27,L$42,FALSE))</f>
        <v xml:space="preserve"> </v>
      </c>
      <c r="M22" s="118" t="str">
        <f>IF(ISERROR(VLOOKUP($K22,'Calc-Drivers'!$B$17:$G$27,M$42,FALSE))," ",VLOOKUP($K22,'Calc-Drivers'!$B$17:$G$27,M$42,FALSE))</f>
        <v xml:space="preserve"> </v>
      </c>
      <c r="N22" s="118" t="str">
        <f>IF(ISERROR(VLOOKUP($K22,'Calc-Drivers'!$B$17:$G$27,N$42,FALSE))," ",VLOOKUP($K22,'Calc-Drivers'!$B$17:$G$27,N$42,FALSE))</f>
        <v xml:space="preserve"> </v>
      </c>
      <c r="O22" s="118" t="str">
        <f>IF(ISERROR(VLOOKUP($K22,'Calc-Drivers'!$B$17:$G$27,O$42,FALSE))," ",VLOOKUP($K22,'Calc-Drivers'!$B$17:$G$27,O$42,FALSE))</f>
        <v xml:space="preserve"> </v>
      </c>
      <c r="P22" s="118" t="str">
        <f>IF(ISERROR(VLOOKUP($K22,'Calc-Drivers'!$B$17:$G$27,P$42,FALSE))," ",VLOOKUP($K22,'Calc-Drivers'!$B$17:$G$27,P$42,FALSE))</f>
        <v xml:space="preserve"> </v>
      </c>
      <c r="Q22" s="130"/>
      <c r="R22" s="70"/>
      <c r="S22" s="71" t="str">
        <f t="shared" si="1"/>
        <v xml:space="preserve"> </v>
      </c>
      <c r="T22" s="71" t="str">
        <f t="shared" si="2"/>
        <v xml:space="preserve"> </v>
      </c>
      <c r="U22" s="71" t="str">
        <f t="shared" si="3"/>
        <v xml:space="preserve"> </v>
      </c>
      <c r="V22" s="123" t="str">
        <f t="shared" si="4"/>
        <v xml:space="preserve"> </v>
      </c>
      <c r="W22" s="123" t="str">
        <f t="shared" si="4"/>
        <v xml:space="preserve"> </v>
      </c>
      <c r="X22" s="72"/>
      <c r="Y22" s="77"/>
      <c r="Z22" s="71" t="str">
        <f t="shared" si="5"/>
        <v xml:space="preserve"> </v>
      </c>
      <c r="AA22" s="71" t="str">
        <f t="shared" si="6"/>
        <v xml:space="preserve"> </v>
      </c>
      <c r="AB22" s="71" t="str">
        <f t="shared" si="7"/>
        <v xml:space="preserve"> </v>
      </c>
      <c r="AC22" s="123" t="str">
        <f t="shared" si="8"/>
        <v xml:space="preserve"> </v>
      </c>
      <c r="AD22" s="123" t="str">
        <f t="shared" si="9"/>
        <v xml:space="preserve"> </v>
      </c>
      <c r="AE22" s="72"/>
      <c r="AF22" s="78"/>
      <c r="AG22" s="73" t="str">
        <f>IF(ISERROR(Z22*100000000/'Calc-Units'!$E$21)," ",Z22*100000000/'Calc-Units'!$E$21)</f>
        <v xml:space="preserve"> </v>
      </c>
      <c r="AH22" s="73" t="str">
        <f>IF(ISERROR(AA22*100000000/'Calc-Units'!$D$21)," ",AA22*100000000/'Calc-Units'!$D$21)</f>
        <v xml:space="preserve"> </v>
      </c>
      <c r="AI22" s="73" t="str">
        <f>IF(ISERROR(AB22*100000000/'Calc-Units'!$C$21)," ",AB22*100000000/'Calc-Units'!$C$21)</f>
        <v xml:space="preserve"> </v>
      </c>
      <c r="AJ22" s="193" t="str">
        <f>IF(ISERROR(AC22*100000000/'Calc-Units'!$C$21)," ",AC22*100000000/'Calc-Units'!$C$21)</f>
        <v xml:space="preserve"> </v>
      </c>
      <c r="AK22" s="79"/>
      <c r="AL22" s="75">
        <v>0.52569999999999995</v>
      </c>
      <c r="AM22" s="106">
        <f t="shared" si="10"/>
        <v>1.5770999999999997</v>
      </c>
      <c r="AN22" s="69">
        <f t="shared" si="11"/>
        <v>1.4229000000000003</v>
      </c>
      <c r="AO22" s="68"/>
      <c r="AP22" s="68"/>
      <c r="AQ22" s="71" t="str">
        <f t="shared" si="12"/>
        <v xml:space="preserve"> </v>
      </c>
      <c r="AR22" s="71" t="str">
        <f t="shared" si="13"/>
        <v xml:space="preserve"> </v>
      </c>
      <c r="AS22" s="71" t="str">
        <f t="shared" si="14"/>
        <v xml:space="preserve"> </v>
      </c>
      <c r="AT22" s="123" t="str">
        <f t="shared" si="15"/>
        <v xml:space="preserve"> </v>
      </c>
      <c r="AU22" s="123" t="str">
        <f t="shared" si="16"/>
        <v xml:space="preserve"> </v>
      </c>
      <c r="AV22" s="72"/>
      <c r="AW22" s="79"/>
      <c r="AX22" s="73" t="str">
        <f>IF(ISERROR(AQ22*100000000/'Calc-Units'!$E$21)," ",AQ22*100000000/'Calc-Units'!$E$21)</f>
        <v xml:space="preserve"> </v>
      </c>
      <c r="AY22" s="73" t="str">
        <f>IF(ISERROR(AR22*100000000/'Calc-Units'!$D$21)," ",AR22*100000000/'Calc-Units'!$D$21)</f>
        <v xml:space="preserve"> </v>
      </c>
      <c r="AZ22" s="73" t="str">
        <f>IF(ISERROR(AS22*100000000/'Calc-Units'!$C$21)," ",AS22*100000000/'Calc-Units'!$C$21)</f>
        <v xml:space="preserve"> </v>
      </c>
      <c r="BA22" s="193" t="str">
        <f>IF(ISERROR(AT22*100000000/'Calc-Units'!$C$21)," ",AT22*100000000/'Calc-Units'!$C$21)</f>
        <v xml:space="preserve"> </v>
      </c>
      <c r="BC22" s="77"/>
      <c r="BD22" s="77"/>
    </row>
    <row r="23" spans="1:56" s="80" customFormat="1">
      <c r="A23" s="81"/>
      <c r="B23" s="2230"/>
      <c r="C23" s="104" t="s">
        <v>73</v>
      </c>
      <c r="D23" s="108">
        <f>'RRP 1.3'!U$12</f>
        <v>0.89999999999999991</v>
      </c>
      <c r="E23" s="108">
        <v>0</v>
      </c>
      <c r="F23" s="108">
        <v>0</v>
      </c>
      <c r="G23" s="108">
        <v>0</v>
      </c>
      <c r="H23" s="108">
        <v>0</v>
      </c>
      <c r="I23" s="108">
        <f t="shared" si="0"/>
        <v>0.89999999999999991</v>
      </c>
      <c r="J23" s="76"/>
      <c r="K23" s="108" t="s">
        <v>484</v>
      </c>
      <c r="L23" s="118">
        <f>IF(ISERROR(VLOOKUP($K23,'Calc-Drivers'!$B$17:$G$27,L$42,FALSE))," ",VLOOKUP($K23,'Calc-Drivers'!$B$17:$G$27,L$42,FALSE))</f>
        <v>0.20654310937416842</v>
      </c>
      <c r="M23" s="118">
        <f>IF(ISERROR(VLOOKUP($K23,'Calc-Drivers'!$B$17:$G$27,M$42,FALSE))," ",VLOOKUP($K23,'Calc-Drivers'!$B$17:$G$27,M$42,FALSE))</f>
        <v>0.26114451714589082</v>
      </c>
      <c r="N23" s="118">
        <f>IF(ISERROR(VLOOKUP($K23,'Calc-Drivers'!$B$17:$G$27,N$42,FALSE))," ",VLOOKUP($K23,'Calc-Drivers'!$B$17:$G$27,N$42,FALSE))</f>
        <v>7.3083155245062287E-2</v>
      </c>
      <c r="O23" s="118">
        <f>IF(ISERROR(VLOOKUP($K23,'Calc-Drivers'!$B$17:$G$27,O$42,FALSE))," ",VLOOKUP($K23,'Calc-Drivers'!$B$17:$G$27,O$42,FALSE))</f>
        <v>0.29641815801486676</v>
      </c>
      <c r="P23" s="118">
        <f>IF(ISERROR(VLOOKUP($K23,'Calc-Drivers'!$B$17:$G$27,P$42,FALSE))," ",VLOOKUP($K23,'Calc-Drivers'!$B$17:$G$27,P$42,FALSE))</f>
        <v>0.16281106022001174</v>
      </c>
      <c r="Q23" s="130"/>
      <c r="R23" s="70"/>
      <c r="S23" s="71">
        <f t="shared" si="1"/>
        <v>0.18588879843675157</v>
      </c>
      <c r="T23" s="71">
        <f t="shared" si="2"/>
        <v>0.23503006543130173</v>
      </c>
      <c r="U23" s="71">
        <f t="shared" si="3"/>
        <v>6.5774839720556047E-2</v>
      </c>
      <c r="V23" s="123">
        <f t="shared" si="4"/>
        <v>0.26677634221338004</v>
      </c>
      <c r="W23" s="123">
        <f t="shared" si="4"/>
        <v>0.14652995419801054</v>
      </c>
      <c r="X23" s="72"/>
      <c r="Y23" s="77"/>
      <c r="Z23" s="71">
        <f t="shared" si="5"/>
        <v>0.18588879843675157</v>
      </c>
      <c r="AA23" s="71">
        <f t="shared" si="6"/>
        <v>0.23503006543130173</v>
      </c>
      <c r="AB23" s="71">
        <f t="shared" si="7"/>
        <v>6.5774839720556047E-2</v>
      </c>
      <c r="AC23" s="123">
        <f t="shared" si="8"/>
        <v>0.26677634221338004</v>
      </c>
      <c r="AD23" s="123">
        <f t="shared" si="9"/>
        <v>0.14652995419801054</v>
      </c>
      <c r="AE23" s="72"/>
      <c r="AF23" s="78"/>
      <c r="AG23" s="73">
        <f>IF(ISERROR(Z23*100000000/'Calc-Units'!$E$21)," ",Z23*100000000/'Calc-Units'!$E$21)</f>
        <v>1.2345112659809514E-3</v>
      </c>
      <c r="AH23" s="73">
        <f>IF(ISERROR(AA23*100000000/'Calc-Units'!$D$21)," ",AA23*100000000/'Calc-Units'!$D$21)</f>
        <v>1.6134830112688485E-3</v>
      </c>
      <c r="AI23" s="73">
        <f>IF(ISERROR(AB23*100000000/'Calc-Units'!$C$21)," ",AB23*100000000/'Calc-Units'!$C$21)</f>
        <v>5.9066650078083108E-4</v>
      </c>
      <c r="AJ23" s="193">
        <f>IF(ISERROR(AC23*100000000/'Calc-Units'!$C$21)," ",AC23*100000000/'Calc-Units'!$C$21)</f>
        <v>2.3956857852599355E-3</v>
      </c>
      <c r="AK23" s="79"/>
      <c r="AL23" s="75">
        <v>0.52569999999999995</v>
      </c>
      <c r="AM23" s="106">
        <f t="shared" si="10"/>
        <v>0.47312999999999988</v>
      </c>
      <c r="AN23" s="69">
        <f t="shared" si="11"/>
        <v>0.42687000000000003</v>
      </c>
      <c r="AO23" s="68"/>
      <c r="AP23" s="68"/>
      <c r="AQ23" s="71">
        <f t="shared" si="12"/>
        <v>8.8167057098551285E-2</v>
      </c>
      <c r="AR23" s="71">
        <f t="shared" si="13"/>
        <v>0.11147476003406642</v>
      </c>
      <c r="AS23" s="71">
        <f t="shared" si="14"/>
        <v>3.1197006479459735E-2</v>
      </c>
      <c r="AT23" s="123">
        <f t="shared" si="15"/>
        <v>0.12653201911180617</v>
      </c>
      <c r="AU23" s="123">
        <f t="shared" si="16"/>
        <v>6.9499157276116413E-2</v>
      </c>
      <c r="AV23" s="72"/>
      <c r="AW23" s="79"/>
      <c r="AX23" s="73">
        <f>IF(ISERROR(AQ23*100000000/'Calc-Units'!$E$21)," ",AQ23*100000000/'Calc-Units'!$E$21)</f>
        <v>5.8552869345476527E-4</v>
      </c>
      <c r="AY23" s="73">
        <f>IF(ISERROR(AR23*100000000/'Calc-Units'!$D$21)," ",AR23*100000000/'Calc-Units'!$D$21)</f>
        <v>7.6527499224481488E-4</v>
      </c>
      <c r="AZ23" s="73">
        <f>IF(ISERROR(AS23*100000000/'Calc-Units'!$C$21)," ",AS23*100000000/'Calc-Units'!$C$21)</f>
        <v>2.8015312132034824E-4</v>
      </c>
      <c r="BA23" s="193">
        <f>IF(ISERROR(AT23*100000000/'Calc-Units'!$C$21)," ",AT23*100000000/'Calc-Units'!$C$21)</f>
        <v>1.1362737679487876E-3</v>
      </c>
      <c r="BC23" s="77"/>
      <c r="BD23" s="77"/>
    </row>
    <row r="24" spans="1:56" s="80" customFormat="1">
      <c r="A24" s="81"/>
      <c r="B24" s="2230"/>
      <c r="C24" s="104" t="s">
        <v>505</v>
      </c>
      <c r="D24" s="108">
        <f>'RRP 1.3'!V$12</f>
        <v>1.2</v>
      </c>
      <c r="E24" s="108">
        <v>0</v>
      </c>
      <c r="F24" s="108">
        <v>0</v>
      </c>
      <c r="G24" s="108">
        <v>0</v>
      </c>
      <c r="H24" s="108">
        <v>0</v>
      </c>
      <c r="I24" s="108">
        <f t="shared" si="0"/>
        <v>1.2</v>
      </c>
      <c r="J24" s="76"/>
      <c r="K24" s="108" t="s">
        <v>484</v>
      </c>
      <c r="L24" s="118">
        <f>IF(ISERROR(VLOOKUP($K24,'Calc-Drivers'!$B$17:$G$27,L$42,FALSE))," ",VLOOKUP($K24,'Calc-Drivers'!$B$17:$G$27,L$42,FALSE))</f>
        <v>0.20654310937416842</v>
      </c>
      <c r="M24" s="118">
        <f>IF(ISERROR(VLOOKUP($K24,'Calc-Drivers'!$B$17:$G$27,M$42,FALSE))," ",VLOOKUP($K24,'Calc-Drivers'!$B$17:$G$27,M$42,FALSE))</f>
        <v>0.26114451714589082</v>
      </c>
      <c r="N24" s="118">
        <f>IF(ISERROR(VLOOKUP($K24,'Calc-Drivers'!$B$17:$G$27,N$42,FALSE))," ",VLOOKUP($K24,'Calc-Drivers'!$B$17:$G$27,N$42,FALSE))</f>
        <v>7.3083155245062287E-2</v>
      </c>
      <c r="O24" s="118">
        <f>IF(ISERROR(VLOOKUP($K24,'Calc-Drivers'!$B$17:$G$27,O$42,FALSE))," ",VLOOKUP($K24,'Calc-Drivers'!$B$17:$G$27,O$42,FALSE))</f>
        <v>0.29641815801486676</v>
      </c>
      <c r="P24" s="118">
        <f>IF(ISERROR(VLOOKUP($K24,'Calc-Drivers'!$B$17:$G$27,P$42,FALSE))," ",VLOOKUP($K24,'Calc-Drivers'!$B$17:$G$27,P$42,FALSE))</f>
        <v>0.16281106022001174</v>
      </c>
      <c r="Q24" s="130"/>
      <c r="R24" s="70"/>
      <c r="S24" s="71">
        <f t="shared" si="1"/>
        <v>0.24785173124900209</v>
      </c>
      <c r="T24" s="71">
        <f t="shared" si="2"/>
        <v>0.31337342057506895</v>
      </c>
      <c r="U24" s="71">
        <f t="shared" si="3"/>
        <v>8.7699786294074739E-2</v>
      </c>
      <c r="V24" s="123">
        <f t="shared" si="4"/>
        <v>0.3557017896178401</v>
      </c>
      <c r="W24" s="123">
        <f t="shared" si="4"/>
        <v>0.19537327226401408</v>
      </c>
      <c r="X24" s="72"/>
      <c r="Y24" s="77"/>
      <c r="Z24" s="71">
        <f t="shared" si="5"/>
        <v>0.24785173124900209</v>
      </c>
      <c r="AA24" s="71">
        <f t="shared" si="6"/>
        <v>0.31337342057506895</v>
      </c>
      <c r="AB24" s="71">
        <f t="shared" si="7"/>
        <v>8.7699786294074739E-2</v>
      </c>
      <c r="AC24" s="123">
        <f t="shared" si="8"/>
        <v>0.3557017896178401</v>
      </c>
      <c r="AD24" s="123">
        <f t="shared" si="9"/>
        <v>0.19537327226401408</v>
      </c>
      <c r="AE24" s="72"/>
      <c r="AF24" s="78"/>
      <c r="AG24" s="73">
        <f>IF(ISERROR(Z24*100000000/'Calc-Units'!$E$21)," ",Z24*100000000/'Calc-Units'!$E$21)</f>
        <v>1.646015021307935E-3</v>
      </c>
      <c r="AH24" s="73">
        <f>IF(ISERROR(AA24*100000000/'Calc-Units'!$D$21)," ",AA24*100000000/'Calc-Units'!$D$21)</f>
        <v>2.1513106816917977E-3</v>
      </c>
      <c r="AI24" s="73">
        <f>IF(ISERROR(AB24*100000000/'Calc-Units'!$C$21)," ",AB24*100000000/'Calc-Units'!$C$21)</f>
        <v>7.8755533437444166E-4</v>
      </c>
      <c r="AJ24" s="193">
        <f>IF(ISERROR(AC24*100000000/'Calc-Units'!$C$21)," ",AC24*100000000/'Calc-Units'!$C$21)</f>
        <v>3.1942477136799145E-3</v>
      </c>
      <c r="AK24" s="79"/>
      <c r="AL24" s="75">
        <v>0.52569999999999995</v>
      </c>
      <c r="AM24" s="106">
        <f t="shared" si="10"/>
        <v>0.63083999999999996</v>
      </c>
      <c r="AN24" s="69">
        <f t="shared" si="11"/>
        <v>0.56916</v>
      </c>
      <c r="AO24" s="68"/>
      <c r="AP24" s="68"/>
      <c r="AQ24" s="71">
        <f t="shared" si="12"/>
        <v>0.1175560761314017</v>
      </c>
      <c r="AR24" s="71">
        <f t="shared" si="13"/>
        <v>0.14863301337875523</v>
      </c>
      <c r="AS24" s="71">
        <f t="shared" si="14"/>
        <v>4.1596008639279654E-2</v>
      </c>
      <c r="AT24" s="123">
        <f t="shared" si="15"/>
        <v>0.16870935881574159</v>
      </c>
      <c r="AU24" s="123">
        <f t="shared" si="16"/>
        <v>9.2665543034821884E-2</v>
      </c>
      <c r="AV24" s="72"/>
      <c r="AW24" s="79"/>
      <c r="AX24" s="73">
        <f>IF(ISERROR(AQ24*100000000/'Calc-Units'!$E$21)," ",AQ24*100000000/'Calc-Units'!$E$21)</f>
        <v>7.8070492460635362E-4</v>
      </c>
      <c r="AY24" s="73">
        <f>IF(ISERROR(AR24*100000000/'Calc-Units'!$D$21)," ",AR24*100000000/'Calc-Units'!$D$21)</f>
        <v>1.0203666563264198E-3</v>
      </c>
      <c r="AZ24" s="73">
        <f>IF(ISERROR(AS24*100000000/'Calc-Units'!$C$21)," ",AS24*100000000/'Calc-Units'!$C$21)</f>
        <v>3.7353749509379768E-4</v>
      </c>
      <c r="BA24" s="193">
        <f>IF(ISERROR(AT24*100000000/'Calc-Units'!$C$21)," ",AT24*100000000/'Calc-Units'!$C$21)</f>
        <v>1.5150316905983836E-3</v>
      </c>
      <c r="BC24" s="77"/>
      <c r="BD24" s="77"/>
    </row>
    <row r="25" spans="1:56" s="80" customFormat="1">
      <c r="A25" s="81"/>
      <c r="B25" s="2230"/>
      <c r="C25" s="104" t="s">
        <v>189</v>
      </c>
      <c r="D25" s="108">
        <f>'RRP 1.3'!W$12</f>
        <v>5.8999999999999995</v>
      </c>
      <c r="E25" s="108">
        <v>0</v>
      </c>
      <c r="F25" s="108">
        <v>0</v>
      </c>
      <c r="G25" s="108">
        <v>0</v>
      </c>
      <c r="H25" s="108">
        <v>0</v>
      </c>
      <c r="I25" s="108">
        <f t="shared" si="0"/>
        <v>5.8999999999999995</v>
      </c>
      <c r="J25" s="76"/>
      <c r="K25" s="108" t="s">
        <v>484</v>
      </c>
      <c r="L25" s="118">
        <f>IF(ISERROR(VLOOKUP($K25,'Calc-Drivers'!$B$17:$G$27,L$42,FALSE))," ",VLOOKUP($K25,'Calc-Drivers'!$B$17:$G$27,L$42,FALSE))</f>
        <v>0.20654310937416842</v>
      </c>
      <c r="M25" s="118">
        <f>IF(ISERROR(VLOOKUP($K25,'Calc-Drivers'!$B$17:$G$27,M$42,FALSE))," ",VLOOKUP($K25,'Calc-Drivers'!$B$17:$G$27,M$42,FALSE))</f>
        <v>0.26114451714589082</v>
      </c>
      <c r="N25" s="118">
        <f>IF(ISERROR(VLOOKUP($K25,'Calc-Drivers'!$B$17:$G$27,N$42,FALSE))," ",VLOOKUP($K25,'Calc-Drivers'!$B$17:$G$27,N$42,FALSE))</f>
        <v>7.3083155245062287E-2</v>
      </c>
      <c r="O25" s="118">
        <f>IF(ISERROR(VLOOKUP($K25,'Calc-Drivers'!$B$17:$G$27,O$42,FALSE))," ",VLOOKUP($K25,'Calc-Drivers'!$B$17:$G$27,O$42,FALSE))</f>
        <v>0.29641815801486676</v>
      </c>
      <c r="P25" s="118">
        <f>IF(ISERROR(VLOOKUP($K25,'Calc-Drivers'!$B$17:$G$27,P$42,FALSE))," ",VLOOKUP($K25,'Calc-Drivers'!$B$17:$G$27,P$42,FALSE))</f>
        <v>0.16281106022001174</v>
      </c>
      <c r="Q25" s="130"/>
      <c r="R25" s="70"/>
      <c r="S25" s="71">
        <f t="shared" si="1"/>
        <v>1.2186043453075937</v>
      </c>
      <c r="T25" s="71">
        <f t="shared" si="2"/>
        <v>1.5407526511607557</v>
      </c>
      <c r="U25" s="71">
        <f t="shared" si="3"/>
        <v>0.43119061594586744</v>
      </c>
      <c r="V25" s="123">
        <f t="shared" si="4"/>
        <v>1.7488671322877138</v>
      </c>
      <c r="W25" s="123">
        <f t="shared" si="4"/>
        <v>0.96058525529806915</v>
      </c>
      <c r="X25" s="72"/>
      <c r="Y25" s="77"/>
      <c r="Z25" s="71">
        <f t="shared" si="5"/>
        <v>1.2186043453075937</v>
      </c>
      <c r="AA25" s="71">
        <f t="shared" si="6"/>
        <v>1.5407526511607557</v>
      </c>
      <c r="AB25" s="71">
        <f t="shared" si="7"/>
        <v>0.43119061594586744</v>
      </c>
      <c r="AC25" s="123">
        <f t="shared" si="8"/>
        <v>1.7488671322877138</v>
      </c>
      <c r="AD25" s="123">
        <f t="shared" si="9"/>
        <v>0.96058525529806915</v>
      </c>
      <c r="AE25" s="72"/>
      <c r="AF25" s="78"/>
      <c r="AG25" s="73">
        <f>IF(ISERROR(Z25*100000000/'Calc-Units'!$E$21)," ",Z25*100000000/'Calc-Units'!$E$21)</f>
        <v>8.0929071880973466E-3</v>
      </c>
      <c r="AH25" s="73">
        <f>IF(ISERROR(AA25*100000000/'Calc-Units'!$D$21)," ",AA25*100000000/'Calc-Units'!$D$21)</f>
        <v>1.0577277518318006E-2</v>
      </c>
      <c r="AI25" s="73">
        <f>IF(ISERROR(AB25*100000000/'Calc-Units'!$C$21)," ",AB25*100000000/'Calc-Units'!$C$21)</f>
        <v>3.8721470606743378E-3</v>
      </c>
      <c r="AJ25" s="193">
        <f>IF(ISERROR(AC25*100000000/'Calc-Units'!$C$21)," ",AC25*100000000/'Calc-Units'!$C$21)</f>
        <v>1.5705051258926246E-2</v>
      </c>
      <c r="AK25" s="79"/>
      <c r="AL25" s="75">
        <v>0.52569999999999995</v>
      </c>
      <c r="AM25" s="106">
        <f t="shared" si="10"/>
        <v>3.1016299999999992</v>
      </c>
      <c r="AN25" s="69">
        <f t="shared" si="11"/>
        <v>2.7983700000000002</v>
      </c>
      <c r="AO25" s="68"/>
      <c r="AP25" s="68"/>
      <c r="AQ25" s="71">
        <f t="shared" si="12"/>
        <v>0.57798404097939171</v>
      </c>
      <c r="AR25" s="71">
        <f t="shared" si="13"/>
        <v>0.73077898244554651</v>
      </c>
      <c r="AS25" s="71">
        <f t="shared" si="14"/>
        <v>0.20451370914312494</v>
      </c>
      <c r="AT25" s="123">
        <f t="shared" si="15"/>
        <v>0.82948768084406277</v>
      </c>
      <c r="AU25" s="123">
        <f t="shared" si="16"/>
        <v>0.45560558658787426</v>
      </c>
      <c r="AV25" s="72"/>
      <c r="AW25" s="79"/>
      <c r="AX25" s="73">
        <f>IF(ISERROR(AQ25*100000000/'Calc-Units'!$E$21)," ",AQ25*100000000/'Calc-Units'!$E$21)</f>
        <v>3.8384658793145722E-3</v>
      </c>
      <c r="AY25" s="73">
        <f>IF(ISERROR(AR25*100000000/'Calc-Units'!$D$21)," ",AR25*100000000/'Calc-Units'!$D$21)</f>
        <v>5.0168027269382309E-3</v>
      </c>
      <c r="AZ25" s="73">
        <f>IF(ISERROR(AS25*100000000/'Calc-Units'!$C$21)," ",AS25*100000000/'Calc-Units'!$C$21)</f>
        <v>1.8365593508778383E-3</v>
      </c>
      <c r="BA25" s="193">
        <f>IF(ISERROR(AT25*100000000/'Calc-Units'!$C$21)," ",AT25*100000000/'Calc-Units'!$C$21)</f>
        <v>7.4489058121087193E-3</v>
      </c>
      <c r="BC25" s="77"/>
      <c r="BD25" s="77"/>
    </row>
    <row r="26" spans="1:56" s="80" customFormat="1">
      <c r="A26" s="84"/>
      <c r="B26" s="2231"/>
      <c r="C26" s="104" t="s">
        <v>474</v>
      </c>
      <c r="D26" s="108">
        <f>'RRP 1.3'!X$12</f>
        <v>1.6</v>
      </c>
      <c r="E26" s="108">
        <v>0</v>
      </c>
      <c r="F26" s="108">
        <v>0</v>
      </c>
      <c r="G26" s="108">
        <v>0</v>
      </c>
      <c r="H26" s="108">
        <v>0</v>
      </c>
      <c r="I26" s="108">
        <f t="shared" si="0"/>
        <v>1.6</v>
      </c>
      <c r="J26" s="76"/>
      <c r="K26" s="125" t="s">
        <v>484</v>
      </c>
      <c r="L26" s="118">
        <f>IF(ISERROR(VLOOKUP($K26,'Calc-Drivers'!$B$17:$G$27,L$42,FALSE))," ",VLOOKUP($K26,'Calc-Drivers'!$B$17:$G$27,L$42,FALSE))</f>
        <v>0.20654310937416842</v>
      </c>
      <c r="M26" s="118">
        <f>IF(ISERROR(VLOOKUP($K26,'Calc-Drivers'!$B$17:$G$27,M$42,FALSE))," ",VLOOKUP($K26,'Calc-Drivers'!$B$17:$G$27,M$42,FALSE))</f>
        <v>0.26114451714589082</v>
      </c>
      <c r="N26" s="118">
        <f>IF(ISERROR(VLOOKUP($K26,'Calc-Drivers'!$B$17:$G$27,N$42,FALSE))," ",VLOOKUP($K26,'Calc-Drivers'!$B$17:$G$27,N$42,FALSE))</f>
        <v>7.3083155245062287E-2</v>
      </c>
      <c r="O26" s="118">
        <f>IF(ISERROR(VLOOKUP($K26,'Calc-Drivers'!$B$17:$G$27,O$42,FALSE))," ",VLOOKUP($K26,'Calc-Drivers'!$B$17:$G$27,O$42,FALSE))</f>
        <v>0.29641815801486676</v>
      </c>
      <c r="P26" s="118">
        <f>IF(ISERROR(VLOOKUP($K26,'Calc-Drivers'!$B$17:$G$27,P$42,FALSE))," ",VLOOKUP($K26,'Calc-Drivers'!$B$17:$G$27,P$42,FALSE))</f>
        <v>0.16281106022001174</v>
      </c>
      <c r="Q26" s="130"/>
      <c r="R26" s="70"/>
      <c r="S26" s="71">
        <f t="shared" si="1"/>
        <v>0.33046897499866951</v>
      </c>
      <c r="T26" s="71">
        <f t="shared" si="2"/>
        <v>0.41783122743342532</v>
      </c>
      <c r="U26" s="71">
        <f t="shared" si="3"/>
        <v>0.11693304839209967</v>
      </c>
      <c r="V26" s="123">
        <f t="shared" si="4"/>
        <v>0.47426905282378684</v>
      </c>
      <c r="W26" s="123">
        <f t="shared" si="4"/>
        <v>0.2604976963520188</v>
      </c>
      <c r="X26" s="72"/>
      <c r="Y26" s="77"/>
      <c r="Z26" s="127">
        <f t="shared" si="5"/>
        <v>0.33046897499866951</v>
      </c>
      <c r="AA26" s="127">
        <f t="shared" si="6"/>
        <v>0.41783122743342532</v>
      </c>
      <c r="AB26" s="127">
        <f t="shared" si="7"/>
        <v>0.11693304839209967</v>
      </c>
      <c r="AC26" s="124">
        <f t="shared" si="8"/>
        <v>0.47426905282378684</v>
      </c>
      <c r="AD26" s="124">
        <f t="shared" si="9"/>
        <v>0.2604976963520188</v>
      </c>
      <c r="AE26" s="72"/>
      <c r="AF26" s="78"/>
      <c r="AG26" s="194">
        <f>IF(ISERROR(Z26*100000000/'Calc-Units'!$E$21)," ",Z26*100000000/'Calc-Units'!$E$21)</f>
        <v>2.194686695077247E-3</v>
      </c>
      <c r="AH26" s="194">
        <f>IF(ISERROR(AA26*100000000/'Calc-Units'!$D$21)," ",AA26*100000000/'Calc-Units'!$D$21)</f>
        <v>2.8684142422557308E-3</v>
      </c>
      <c r="AI26" s="194">
        <f>IF(ISERROR(AB26*100000000/'Calc-Units'!$C$21)," ",AB26*100000000/'Calc-Units'!$C$21)</f>
        <v>1.0500737791659222E-3</v>
      </c>
      <c r="AJ26" s="195">
        <f>IF(ISERROR(AC26*100000000/'Calc-Units'!$C$21)," ",AC26*100000000/'Calc-Units'!$C$21)</f>
        <v>4.2589969515732197E-3</v>
      </c>
      <c r="AK26" s="79"/>
      <c r="AL26" s="224">
        <v>0.52569999999999995</v>
      </c>
      <c r="AM26" s="116">
        <f t="shared" si="10"/>
        <v>0.84111999999999998</v>
      </c>
      <c r="AN26" s="197">
        <f t="shared" si="11"/>
        <v>0.75888000000000011</v>
      </c>
      <c r="AO26" s="68"/>
      <c r="AP26" s="68"/>
      <c r="AQ26" s="127">
        <f t="shared" si="12"/>
        <v>0.15674143484186898</v>
      </c>
      <c r="AR26" s="127">
        <f t="shared" si="13"/>
        <v>0.19817735117167365</v>
      </c>
      <c r="AS26" s="127">
        <f t="shared" si="14"/>
        <v>5.5461344852372883E-2</v>
      </c>
      <c r="AT26" s="124">
        <f t="shared" si="15"/>
        <v>0.22494581175432213</v>
      </c>
      <c r="AU26" s="124">
        <f t="shared" si="16"/>
        <v>0.12355405737976254</v>
      </c>
      <c r="AV26" s="72"/>
      <c r="AW26" s="79"/>
      <c r="AX26" s="194">
        <f>IF(ISERROR(AQ26*100000000/'Calc-Units'!$E$21)," ",AQ26*100000000/'Calc-Units'!$E$21)</f>
        <v>1.0409398994751385E-3</v>
      </c>
      <c r="AY26" s="194">
        <f>IF(ISERROR(AR26*100000000/'Calc-Units'!$D$21)," ",AR26*100000000/'Calc-Units'!$D$21)</f>
        <v>1.3604888751018931E-3</v>
      </c>
      <c r="AZ26" s="194">
        <f>IF(ISERROR(AS26*100000000/'Calc-Units'!$C$21)," ",AS26*100000000/'Calc-Units'!$C$21)</f>
        <v>4.9804999345839701E-4</v>
      </c>
      <c r="BA26" s="195">
        <f>IF(ISERROR(AT26*100000000/'Calc-Units'!$C$21)," ",AT26*100000000/'Calc-Units'!$C$21)</f>
        <v>2.0200422541311784E-3</v>
      </c>
      <c r="BC26" s="77"/>
      <c r="BD26" s="77"/>
    </row>
    <row r="27" spans="1:56" s="65" customFormat="1" ht="12.75" customHeight="1">
      <c r="A27" s="83" t="s">
        <v>325</v>
      </c>
      <c r="B27" s="100"/>
      <c r="C27" s="83" t="s">
        <v>475</v>
      </c>
      <c r="D27" s="109">
        <f>'RRP 1.3'!Y$12</f>
        <v>7.3000000000000007</v>
      </c>
      <c r="E27" s="109">
        <v>0</v>
      </c>
      <c r="F27" s="109">
        <v>0</v>
      </c>
      <c r="G27" s="109">
        <v>0</v>
      </c>
      <c r="H27" s="109">
        <v>0</v>
      </c>
      <c r="I27" s="109">
        <f t="shared" si="0"/>
        <v>7.3000000000000007</v>
      </c>
      <c r="J27" s="68"/>
      <c r="K27" s="110" t="s">
        <v>473</v>
      </c>
      <c r="L27" s="118" t="str">
        <f>IF(ISERROR(VLOOKUP($K27,'Calc-Drivers'!$B$17:$G$27,L$42,FALSE))," ",VLOOKUP($K27,'Calc-Drivers'!$B$17:$G$27,L$42,FALSE))</f>
        <v xml:space="preserve"> </v>
      </c>
      <c r="M27" s="118" t="str">
        <f>IF(ISERROR(VLOOKUP($K27,'Calc-Drivers'!$B$17:$G$27,M$42,FALSE))," ",VLOOKUP($K27,'Calc-Drivers'!$B$17:$G$27,M$42,FALSE))</f>
        <v xml:space="preserve"> </v>
      </c>
      <c r="N27" s="118" t="str">
        <f>IF(ISERROR(VLOOKUP($K27,'Calc-Drivers'!$B$17:$G$27,N$42,FALSE))," ",VLOOKUP($K27,'Calc-Drivers'!$B$17:$G$27,N$42,FALSE))</f>
        <v xml:space="preserve"> </v>
      </c>
      <c r="O27" s="118" t="str">
        <f>IF(ISERROR(VLOOKUP($K27,'Calc-Drivers'!$B$17:$G$27,O$42,FALSE))," ",VLOOKUP($K27,'Calc-Drivers'!$B$17:$G$27,O$42,FALSE))</f>
        <v xml:space="preserve"> </v>
      </c>
      <c r="P27" s="118" t="str">
        <f>IF(ISERROR(VLOOKUP($K27,'Calc-Drivers'!$B$17:$G$27,P$42,FALSE))," ",VLOOKUP($K27,'Calc-Drivers'!$B$17:$G$27,P$42,FALSE))</f>
        <v xml:space="preserve"> </v>
      </c>
      <c r="Q27" s="130"/>
      <c r="R27" s="70"/>
      <c r="S27" s="126" t="str">
        <f t="shared" si="1"/>
        <v xml:space="preserve"> </v>
      </c>
      <c r="T27" s="126" t="str">
        <f t="shared" si="2"/>
        <v xml:space="preserve"> </v>
      </c>
      <c r="U27" s="126" t="str">
        <f t="shared" si="3"/>
        <v xml:space="preserve"> </v>
      </c>
      <c r="V27" s="122" t="str">
        <f t="shared" si="4"/>
        <v xml:space="preserve"> </v>
      </c>
      <c r="W27" s="122" t="str">
        <f t="shared" si="4"/>
        <v xml:space="preserve"> </v>
      </c>
      <c r="X27" s="72"/>
      <c r="Y27" s="66"/>
      <c r="Z27" s="126" t="str">
        <f t="shared" si="5"/>
        <v xml:space="preserve"> </v>
      </c>
      <c r="AA27" s="126" t="str">
        <f t="shared" si="6"/>
        <v xml:space="preserve"> </v>
      </c>
      <c r="AB27" s="126" t="str">
        <f t="shared" si="7"/>
        <v xml:space="preserve"> </v>
      </c>
      <c r="AC27" s="122" t="str">
        <f t="shared" si="8"/>
        <v xml:space="preserve"> </v>
      </c>
      <c r="AD27" s="122" t="str">
        <f t="shared" si="9"/>
        <v xml:space="preserve"> </v>
      </c>
      <c r="AE27" s="72"/>
      <c r="AF27" s="72"/>
      <c r="AG27" s="221" t="str">
        <f>IF(ISERROR(Z27*100000000/'Calc-Units'!$E$21)," ",Z27*100000000/'Calc-Units'!$E$21)</f>
        <v xml:space="preserve"> </v>
      </c>
      <c r="AH27" s="221" t="str">
        <f>IF(ISERROR(AA27*100000000/'Calc-Units'!$D$21)," ",AA27*100000000/'Calc-Units'!$D$21)</f>
        <v xml:space="preserve"> </v>
      </c>
      <c r="AI27" s="221" t="str">
        <f>IF(ISERROR(AB27*100000000/'Calc-Units'!$C$21)," ",AB27*100000000/'Calc-Units'!$C$21)</f>
        <v xml:space="preserve"> </v>
      </c>
      <c r="AJ27" s="222" t="str">
        <f>IF(ISERROR(AC27*100000000/'Calc-Units'!$C$21)," ",AC27*100000000/'Calc-Units'!$C$21)</f>
        <v xml:space="preserve"> </v>
      </c>
      <c r="AK27" s="74"/>
      <c r="AL27" s="82">
        <v>0</v>
      </c>
      <c r="AM27" s="106">
        <f t="shared" si="10"/>
        <v>0</v>
      </c>
      <c r="AN27" s="69">
        <f t="shared" si="11"/>
        <v>7.3000000000000007</v>
      </c>
      <c r="AO27" s="68"/>
      <c r="AP27" s="68"/>
      <c r="AQ27" s="126" t="str">
        <f t="shared" si="12"/>
        <v xml:space="preserve"> </v>
      </c>
      <c r="AR27" s="126" t="str">
        <f t="shared" si="13"/>
        <v xml:space="preserve"> </v>
      </c>
      <c r="AS27" s="126" t="str">
        <f t="shared" si="14"/>
        <v xml:space="preserve"> </v>
      </c>
      <c r="AT27" s="122" t="str">
        <f t="shared" si="15"/>
        <v xml:space="preserve"> </v>
      </c>
      <c r="AU27" s="122" t="str">
        <f t="shared" si="16"/>
        <v xml:space="preserve"> </v>
      </c>
      <c r="AV27" s="72"/>
      <c r="AW27" s="74"/>
      <c r="AX27" s="221" t="str">
        <f>IF(ISERROR(AQ27*100000000/'Calc-Units'!$E$21)," ",AQ27*100000000/'Calc-Units'!$E$21)</f>
        <v xml:space="preserve"> </v>
      </c>
      <c r="AY27" s="221" t="str">
        <f>IF(ISERROR(AR27*100000000/'Calc-Units'!$D$21)," ",AR27*100000000/'Calc-Units'!$D$21)</f>
        <v xml:space="preserve"> </v>
      </c>
      <c r="AZ27" s="221" t="str">
        <f>IF(ISERROR(AS27*100000000/'Calc-Units'!$C$21)," ",AS27*100000000/'Calc-Units'!$C$21)</f>
        <v xml:space="preserve"> </v>
      </c>
      <c r="BA27" s="222" t="str">
        <f>IF(ISERROR(AT27*100000000/'Calc-Units'!$C$21)," ",AT27*100000000/'Calc-Units'!$C$21)</f>
        <v xml:space="preserve"> </v>
      </c>
      <c r="BC27" s="77"/>
      <c r="BD27" s="66"/>
    </row>
    <row r="28" spans="1:56" s="65" customFormat="1">
      <c r="A28" s="81"/>
      <c r="B28" s="101"/>
      <c r="C28" s="81" t="s">
        <v>476</v>
      </c>
      <c r="D28" s="110">
        <f>'RRP 1.3'!Z$12</f>
        <v>20.5</v>
      </c>
      <c r="E28" s="110">
        <v>0</v>
      </c>
      <c r="F28" s="110">
        <v>0</v>
      </c>
      <c r="G28" s="110">
        <v>0</v>
      </c>
      <c r="H28" s="110">
        <v>0</v>
      </c>
      <c r="I28" s="110">
        <f t="shared" si="0"/>
        <v>20.5</v>
      </c>
      <c r="J28" s="68"/>
      <c r="K28" s="109" t="s">
        <v>473</v>
      </c>
      <c r="L28" s="191" t="str">
        <f>IF(ISERROR(VLOOKUP($K28,'Calc-Drivers'!$B$17:$G$27,L$42,FALSE))," ",VLOOKUP($K28,'Calc-Drivers'!$B$17:$G$27,L$42,FALSE))</f>
        <v xml:space="preserve"> </v>
      </c>
      <c r="M28" s="191" t="str">
        <f>IF(ISERROR(VLOOKUP($K28,'Calc-Drivers'!$B$17:$G$27,M$42,FALSE))," ",VLOOKUP($K28,'Calc-Drivers'!$B$17:$G$27,M$42,FALSE))</f>
        <v xml:space="preserve"> </v>
      </c>
      <c r="N28" s="191" t="str">
        <f>IF(ISERROR(VLOOKUP($K28,'Calc-Drivers'!$B$17:$G$27,N$42,FALSE))," ",VLOOKUP($K28,'Calc-Drivers'!$B$17:$G$27,N$42,FALSE))</f>
        <v xml:space="preserve"> </v>
      </c>
      <c r="O28" s="191" t="str">
        <f>IF(ISERROR(VLOOKUP($K28,'Calc-Drivers'!$B$17:$G$27,O$42,FALSE))," ",VLOOKUP($K28,'Calc-Drivers'!$B$17:$G$27,O$42,FALSE))</f>
        <v xml:space="preserve"> </v>
      </c>
      <c r="P28" s="191" t="str">
        <f>IF(ISERROR(VLOOKUP($K28,'Calc-Drivers'!$B$17:$G$27,P$42,FALSE))," ",VLOOKUP($K28,'Calc-Drivers'!$B$17:$G$27,P$42,FALSE))</f>
        <v xml:space="preserve"> </v>
      </c>
      <c r="Q28" s="130"/>
      <c r="R28" s="70"/>
      <c r="S28" s="71" t="str">
        <f t="shared" si="1"/>
        <v xml:space="preserve"> </v>
      </c>
      <c r="T28" s="71" t="str">
        <f t="shared" si="2"/>
        <v xml:space="preserve"> </v>
      </c>
      <c r="U28" s="71" t="str">
        <f t="shared" si="3"/>
        <v xml:space="preserve"> </v>
      </c>
      <c r="V28" s="123" t="str">
        <f t="shared" si="4"/>
        <v xml:space="preserve"> </v>
      </c>
      <c r="W28" s="123" t="str">
        <f t="shared" si="4"/>
        <v xml:space="preserve"> </v>
      </c>
      <c r="X28" s="72"/>
      <c r="Y28" s="66"/>
      <c r="Z28" s="71" t="str">
        <f t="shared" si="5"/>
        <v xml:space="preserve"> </v>
      </c>
      <c r="AA28" s="71" t="str">
        <f t="shared" si="6"/>
        <v xml:space="preserve"> </v>
      </c>
      <c r="AB28" s="71" t="str">
        <f t="shared" si="7"/>
        <v xml:space="preserve"> </v>
      </c>
      <c r="AC28" s="123" t="str">
        <f t="shared" si="8"/>
        <v xml:space="preserve"> </v>
      </c>
      <c r="AD28" s="123" t="str">
        <f t="shared" si="9"/>
        <v xml:space="preserve"> </v>
      </c>
      <c r="AE28" s="72"/>
      <c r="AF28" s="72"/>
      <c r="AG28" s="73" t="str">
        <f>IF(ISERROR(Z28*100000000/'Calc-Units'!$E$21)," ",Z28*100000000/'Calc-Units'!$E$21)</f>
        <v xml:space="preserve"> </v>
      </c>
      <c r="AH28" s="73" t="str">
        <f>IF(ISERROR(AA28*100000000/'Calc-Units'!$D$21)," ",AA28*100000000/'Calc-Units'!$D$21)</f>
        <v xml:space="preserve"> </v>
      </c>
      <c r="AI28" s="73" t="str">
        <f>IF(ISERROR(AB28*100000000/'Calc-Units'!$C$21)," ",AB28*100000000/'Calc-Units'!$C$21)</f>
        <v xml:space="preserve"> </v>
      </c>
      <c r="AJ28" s="193" t="str">
        <f>IF(ISERROR(AC28*100000000/'Calc-Units'!$C$21)," ",AC28*100000000/'Calc-Units'!$C$21)</f>
        <v xml:space="preserve"> </v>
      </c>
      <c r="AK28" s="74"/>
      <c r="AL28" s="82">
        <v>0.57699999999999996</v>
      </c>
      <c r="AM28" s="106">
        <f t="shared" si="10"/>
        <v>11.828499999999998</v>
      </c>
      <c r="AN28" s="69">
        <f t="shared" si="11"/>
        <v>8.6715000000000018</v>
      </c>
      <c r="AO28" s="68"/>
      <c r="AP28" s="68"/>
      <c r="AQ28" s="71" t="str">
        <f t="shared" si="12"/>
        <v xml:space="preserve"> </v>
      </c>
      <c r="AR28" s="71" t="str">
        <f t="shared" si="13"/>
        <v xml:space="preserve"> </v>
      </c>
      <c r="AS28" s="71" t="str">
        <f t="shared" si="14"/>
        <v xml:space="preserve"> </v>
      </c>
      <c r="AT28" s="123" t="str">
        <f t="shared" si="15"/>
        <v xml:space="preserve"> </v>
      </c>
      <c r="AU28" s="123" t="str">
        <f t="shared" si="16"/>
        <v xml:space="preserve"> </v>
      </c>
      <c r="AV28" s="72"/>
      <c r="AW28" s="74"/>
      <c r="AX28" s="73" t="str">
        <f>IF(ISERROR(AQ28*100000000/'Calc-Units'!$E$21)," ",AQ28*100000000/'Calc-Units'!$E$21)</f>
        <v xml:space="preserve"> </v>
      </c>
      <c r="AY28" s="73" t="str">
        <f>IF(ISERROR(AR28*100000000/'Calc-Units'!$D$21)," ",AR28*100000000/'Calc-Units'!$D$21)</f>
        <v xml:space="preserve"> </v>
      </c>
      <c r="AZ28" s="73" t="str">
        <f>IF(ISERROR(AS28*100000000/'Calc-Units'!$C$21)," ",AS28*100000000/'Calc-Units'!$C$21)</f>
        <v xml:space="preserve"> </v>
      </c>
      <c r="BA28" s="193" t="str">
        <f>IF(ISERROR(AT28*100000000/'Calc-Units'!$C$21)," ",AT28*100000000/'Calc-Units'!$C$21)</f>
        <v xml:space="preserve"> </v>
      </c>
      <c r="BC28" s="77"/>
      <c r="BD28" s="66"/>
    </row>
    <row r="29" spans="1:56" s="65" customFormat="1">
      <c r="A29" s="81"/>
      <c r="B29" s="101"/>
      <c r="C29" s="81" t="s">
        <v>774</v>
      </c>
      <c r="D29" s="110">
        <f>'RRP 1.3'!AA$12</f>
        <v>5.8000000000000007</v>
      </c>
      <c r="E29" s="110">
        <v>0</v>
      </c>
      <c r="F29" s="110">
        <v>0</v>
      </c>
      <c r="G29" s="110">
        <v>0</v>
      </c>
      <c r="H29" s="110">
        <v>0</v>
      </c>
      <c r="I29" s="110">
        <f t="shared" si="0"/>
        <v>5.8000000000000007</v>
      </c>
      <c r="J29" s="68"/>
      <c r="K29" s="110" t="s">
        <v>473</v>
      </c>
      <c r="L29" s="118" t="str">
        <f>IF(ISERROR(VLOOKUP($K29,'Calc-Drivers'!$B$17:$G$27,L$42,FALSE))," ",VLOOKUP($K29,'Calc-Drivers'!$B$17:$G$27,L$42,FALSE))</f>
        <v xml:space="preserve"> </v>
      </c>
      <c r="M29" s="118" t="str">
        <f>IF(ISERROR(VLOOKUP($K29,'Calc-Drivers'!$B$17:$G$27,M$42,FALSE))," ",VLOOKUP($K29,'Calc-Drivers'!$B$17:$G$27,M$42,FALSE))</f>
        <v xml:space="preserve"> </v>
      </c>
      <c r="N29" s="118" t="str">
        <f>IF(ISERROR(VLOOKUP($K29,'Calc-Drivers'!$B$17:$G$27,N$42,FALSE))," ",VLOOKUP($K29,'Calc-Drivers'!$B$17:$G$27,N$42,FALSE))</f>
        <v xml:space="preserve"> </v>
      </c>
      <c r="O29" s="118" t="str">
        <f>IF(ISERROR(VLOOKUP($K29,'Calc-Drivers'!$B$17:$G$27,O$42,FALSE))," ",VLOOKUP($K29,'Calc-Drivers'!$B$17:$G$27,O$42,FALSE))</f>
        <v xml:space="preserve"> </v>
      </c>
      <c r="P29" s="118" t="str">
        <f>IF(ISERROR(VLOOKUP($K29,'Calc-Drivers'!$B$17:$G$27,P$42,FALSE))," ",VLOOKUP($K29,'Calc-Drivers'!$B$17:$G$27,P$42,FALSE))</f>
        <v xml:space="preserve"> </v>
      </c>
      <c r="Q29" s="130"/>
      <c r="R29" s="70"/>
      <c r="S29" s="71" t="str">
        <f t="shared" si="1"/>
        <v xml:space="preserve"> </v>
      </c>
      <c r="T29" s="71" t="str">
        <f t="shared" si="2"/>
        <v xml:space="preserve"> </v>
      </c>
      <c r="U29" s="71" t="str">
        <f t="shared" si="3"/>
        <v xml:space="preserve"> </v>
      </c>
      <c r="V29" s="123" t="str">
        <f t="shared" si="4"/>
        <v xml:space="preserve"> </v>
      </c>
      <c r="W29" s="123" t="str">
        <f t="shared" si="4"/>
        <v xml:space="preserve"> </v>
      </c>
      <c r="X29" s="72"/>
      <c r="Y29" s="66"/>
      <c r="Z29" s="71" t="str">
        <f t="shared" si="5"/>
        <v xml:space="preserve"> </v>
      </c>
      <c r="AA29" s="71" t="str">
        <f t="shared" si="6"/>
        <v xml:space="preserve"> </v>
      </c>
      <c r="AB29" s="71" t="str">
        <f t="shared" si="7"/>
        <v xml:space="preserve"> </v>
      </c>
      <c r="AC29" s="123" t="str">
        <f t="shared" si="8"/>
        <v xml:space="preserve"> </v>
      </c>
      <c r="AD29" s="123" t="str">
        <f t="shared" si="9"/>
        <v xml:space="preserve"> </v>
      </c>
      <c r="AE29" s="72"/>
      <c r="AF29" s="72"/>
      <c r="AG29" s="73" t="str">
        <f>IF(ISERROR(Z29*100000000/'Calc-Units'!$E$21)," ",Z29*100000000/'Calc-Units'!$E$21)</f>
        <v xml:space="preserve"> </v>
      </c>
      <c r="AH29" s="73" t="str">
        <f>IF(ISERROR(AA29*100000000/'Calc-Units'!$D$21)," ",AA29*100000000/'Calc-Units'!$D$21)</f>
        <v xml:space="preserve"> </v>
      </c>
      <c r="AI29" s="73" t="str">
        <f>IF(ISERROR(AB29*100000000/'Calc-Units'!$C$21)," ",AB29*100000000/'Calc-Units'!$C$21)</f>
        <v xml:space="preserve"> </v>
      </c>
      <c r="AJ29" s="193" t="str">
        <f>IF(ISERROR(AC29*100000000/'Calc-Units'!$C$21)," ",AC29*100000000/'Calc-Units'!$C$21)</f>
        <v xml:space="preserve"> </v>
      </c>
      <c r="AK29" s="74"/>
      <c r="AL29" s="82">
        <v>0</v>
      </c>
      <c r="AM29" s="106">
        <f t="shared" si="10"/>
        <v>0</v>
      </c>
      <c r="AN29" s="69">
        <f t="shared" si="11"/>
        <v>5.8000000000000007</v>
      </c>
      <c r="AO29" s="68"/>
      <c r="AP29" s="68"/>
      <c r="AQ29" s="71" t="str">
        <f t="shared" si="12"/>
        <v xml:space="preserve"> </v>
      </c>
      <c r="AR29" s="71" t="str">
        <f t="shared" si="13"/>
        <v xml:space="preserve"> </v>
      </c>
      <c r="AS29" s="71" t="str">
        <f t="shared" si="14"/>
        <v xml:space="preserve"> </v>
      </c>
      <c r="AT29" s="123" t="str">
        <f t="shared" si="15"/>
        <v xml:space="preserve"> </v>
      </c>
      <c r="AU29" s="123" t="str">
        <f t="shared" si="16"/>
        <v xml:space="preserve"> </v>
      </c>
      <c r="AV29" s="72"/>
      <c r="AW29" s="74"/>
      <c r="AX29" s="73" t="str">
        <f>IF(ISERROR(AQ29*100000000/'Calc-Units'!$E$21)," ",AQ29*100000000/'Calc-Units'!$E$21)</f>
        <v xml:space="preserve"> </v>
      </c>
      <c r="AY29" s="73" t="str">
        <f>IF(ISERROR(AR29*100000000/'Calc-Units'!$D$21)," ",AR29*100000000/'Calc-Units'!$D$21)</f>
        <v xml:space="preserve"> </v>
      </c>
      <c r="AZ29" s="73" t="str">
        <f>IF(ISERROR(AS29*100000000/'Calc-Units'!$C$21)," ",AS29*100000000/'Calc-Units'!$C$21)</f>
        <v xml:space="preserve"> </v>
      </c>
      <c r="BA29" s="193" t="str">
        <f>IF(ISERROR(AT29*100000000/'Calc-Units'!$C$21)," ",AT29*100000000/'Calc-Units'!$C$21)</f>
        <v xml:space="preserve"> </v>
      </c>
      <c r="BC29" s="66"/>
      <c r="BD29" s="66"/>
    </row>
    <row r="30" spans="1:56" s="65" customFormat="1">
      <c r="A30" s="81"/>
      <c r="B30" s="101"/>
      <c r="C30" s="81" t="s">
        <v>775</v>
      </c>
      <c r="D30" s="110">
        <f>'RRP 1.3'!AB$12</f>
        <v>25.2</v>
      </c>
      <c r="E30" s="110">
        <v>0</v>
      </c>
      <c r="F30" s="110">
        <v>0</v>
      </c>
      <c r="G30" s="110">
        <v>0</v>
      </c>
      <c r="H30" s="110">
        <v>0</v>
      </c>
      <c r="I30" s="110">
        <f t="shared" si="0"/>
        <v>25.2</v>
      </c>
      <c r="J30" s="68"/>
      <c r="K30" s="110" t="s">
        <v>473</v>
      </c>
      <c r="L30" s="118" t="str">
        <f>IF(ISERROR(VLOOKUP($K30,'Calc-Drivers'!$B$17:$G$27,L$42,FALSE))," ",VLOOKUP($K30,'Calc-Drivers'!$B$17:$G$27,L$42,FALSE))</f>
        <v xml:space="preserve"> </v>
      </c>
      <c r="M30" s="118" t="str">
        <f>IF(ISERROR(VLOOKUP($K30,'Calc-Drivers'!$B$17:$G$27,M$42,FALSE))," ",VLOOKUP($K30,'Calc-Drivers'!$B$17:$G$27,M$42,FALSE))</f>
        <v xml:space="preserve"> </v>
      </c>
      <c r="N30" s="118" t="str">
        <f>IF(ISERROR(VLOOKUP($K30,'Calc-Drivers'!$B$17:$G$27,N$42,FALSE))," ",VLOOKUP($K30,'Calc-Drivers'!$B$17:$G$27,N$42,FALSE))</f>
        <v xml:space="preserve"> </v>
      </c>
      <c r="O30" s="118" t="str">
        <f>IF(ISERROR(VLOOKUP($K30,'Calc-Drivers'!$B$17:$G$27,O$42,FALSE))," ",VLOOKUP($K30,'Calc-Drivers'!$B$17:$G$27,O$42,FALSE))</f>
        <v xml:space="preserve"> </v>
      </c>
      <c r="P30" s="118" t="str">
        <f>IF(ISERROR(VLOOKUP($K30,'Calc-Drivers'!$B$17:$G$27,P$42,FALSE))," ",VLOOKUP($K30,'Calc-Drivers'!$B$17:$G$27,P$42,FALSE))</f>
        <v xml:space="preserve"> </v>
      </c>
      <c r="Q30" s="130"/>
      <c r="R30" s="70"/>
      <c r="S30" s="71" t="str">
        <f t="shared" si="1"/>
        <v xml:space="preserve"> </v>
      </c>
      <c r="T30" s="71" t="str">
        <f t="shared" si="2"/>
        <v xml:space="preserve"> </v>
      </c>
      <c r="U30" s="71" t="str">
        <f t="shared" si="3"/>
        <v xml:space="preserve"> </v>
      </c>
      <c r="V30" s="123" t="str">
        <f t="shared" si="4"/>
        <v xml:space="preserve"> </v>
      </c>
      <c r="W30" s="123" t="str">
        <f t="shared" si="4"/>
        <v xml:space="preserve"> </v>
      </c>
      <c r="X30" s="72"/>
      <c r="Y30" s="66"/>
      <c r="Z30" s="71" t="str">
        <f t="shared" si="5"/>
        <v xml:space="preserve"> </v>
      </c>
      <c r="AA30" s="71" t="str">
        <f t="shared" si="6"/>
        <v xml:space="preserve"> </v>
      </c>
      <c r="AB30" s="71" t="str">
        <f t="shared" si="7"/>
        <v xml:space="preserve"> </v>
      </c>
      <c r="AC30" s="123" t="str">
        <f t="shared" si="8"/>
        <v xml:space="preserve"> </v>
      </c>
      <c r="AD30" s="123" t="str">
        <f t="shared" si="9"/>
        <v xml:space="preserve"> </v>
      </c>
      <c r="AE30" s="72"/>
      <c r="AF30" s="72"/>
      <c r="AG30" s="73" t="str">
        <f>IF(ISERROR(Z30*100000000/'Calc-Units'!$E$21)," ",Z30*100000000/'Calc-Units'!$E$21)</f>
        <v xml:space="preserve"> </v>
      </c>
      <c r="AH30" s="73" t="str">
        <f>IF(ISERROR(AA30*100000000/'Calc-Units'!$D$21)," ",AA30*100000000/'Calc-Units'!$D$21)</f>
        <v xml:space="preserve"> </v>
      </c>
      <c r="AI30" s="73" t="str">
        <f>IF(ISERROR(AB30*100000000/'Calc-Units'!$C$21)," ",AB30*100000000/'Calc-Units'!$C$21)</f>
        <v xml:space="preserve"> </v>
      </c>
      <c r="AJ30" s="193" t="str">
        <f>IF(ISERROR(AC30*100000000/'Calc-Units'!$C$21)," ",AC30*100000000/'Calc-Units'!$C$21)</f>
        <v xml:space="preserve"> </v>
      </c>
      <c r="AK30" s="74"/>
      <c r="AL30" s="82">
        <v>0</v>
      </c>
      <c r="AM30" s="106">
        <f t="shared" si="10"/>
        <v>0</v>
      </c>
      <c r="AN30" s="69">
        <f t="shared" si="11"/>
        <v>25.2</v>
      </c>
      <c r="AO30" s="68"/>
      <c r="AP30" s="68"/>
      <c r="AQ30" s="71" t="str">
        <f t="shared" si="12"/>
        <v xml:space="preserve"> </v>
      </c>
      <c r="AR30" s="71" t="str">
        <f t="shared" si="13"/>
        <v xml:space="preserve"> </v>
      </c>
      <c r="AS30" s="71" t="str">
        <f t="shared" si="14"/>
        <v xml:space="preserve"> </v>
      </c>
      <c r="AT30" s="123" t="str">
        <f t="shared" si="15"/>
        <v xml:space="preserve"> </v>
      </c>
      <c r="AU30" s="123" t="str">
        <f t="shared" si="16"/>
        <v xml:space="preserve"> </v>
      </c>
      <c r="AV30" s="72"/>
      <c r="AW30" s="74"/>
      <c r="AX30" s="73" t="str">
        <f>IF(ISERROR(AQ30*100000000/'Calc-Units'!$E$21)," ",AQ30*100000000/'Calc-Units'!$E$21)</f>
        <v xml:space="preserve"> </v>
      </c>
      <c r="AY30" s="73" t="str">
        <f>IF(ISERROR(AR30*100000000/'Calc-Units'!$D$21)," ",AR30*100000000/'Calc-Units'!$D$21)</f>
        <v xml:space="preserve"> </v>
      </c>
      <c r="AZ30" s="73" t="str">
        <f>IF(ISERROR(AS30*100000000/'Calc-Units'!$C$21)," ",AS30*100000000/'Calc-Units'!$C$21)</f>
        <v xml:space="preserve"> </v>
      </c>
      <c r="BA30" s="193" t="str">
        <f>IF(ISERROR(AT30*100000000/'Calc-Units'!$C$21)," ",AT30*100000000/'Calc-Units'!$C$21)</f>
        <v xml:space="preserve"> </v>
      </c>
      <c r="BC30" s="66"/>
      <c r="BD30" s="66"/>
    </row>
    <row r="31" spans="1:56" s="65" customFormat="1">
      <c r="A31" s="81"/>
      <c r="B31" s="101"/>
      <c r="C31" s="81" t="s">
        <v>760</v>
      </c>
      <c r="D31" s="110">
        <f>'RRP 1.3'!AC$12</f>
        <v>0.3</v>
      </c>
      <c r="E31" s="110">
        <v>0</v>
      </c>
      <c r="F31" s="110">
        <v>0</v>
      </c>
      <c r="G31" s="110">
        <v>0</v>
      </c>
      <c r="H31" s="110">
        <v>0</v>
      </c>
      <c r="I31" s="110">
        <f t="shared" si="0"/>
        <v>0.3</v>
      </c>
      <c r="J31" s="68"/>
      <c r="K31" s="110" t="s">
        <v>473</v>
      </c>
      <c r="L31" s="118" t="str">
        <f>IF(ISERROR(VLOOKUP($K31,'Calc-Drivers'!$B$17:$G$27,L$42,FALSE))," ",VLOOKUP($K31,'Calc-Drivers'!$B$17:$G$27,L$42,FALSE))</f>
        <v xml:space="preserve"> </v>
      </c>
      <c r="M31" s="118" t="str">
        <f>IF(ISERROR(VLOOKUP($K31,'Calc-Drivers'!$B$17:$G$27,M$42,FALSE))," ",VLOOKUP($K31,'Calc-Drivers'!$B$17:$G$27,M$42,FALSE))</f>
        <v xml:space="preserve"> </v>
      </c>
      <c r="N31" s="118" t="str">
        <f>IF(ISERROR(VLOOKUP($K31,'Calc-Drivers'!$B$17:$G$27,N$42,FALSE))," ",VLOOKUP($K31,'Calc-Drivers'!$B$17:$G$27,N$42,FALSE))</f>
        <v xml:space="preserve"> </v>
      </c>
      <c r="O31" s="118" t="str">
        <f>IF(ISERROR(VLOOKUP($K31,'Calc-Drivers'!$B$17:$G$27,O$42,FALSE))," ",VLOOKUP($K31,'Calc-Drivers'!$B$17:$G$27,O$42,FALSE))</f>
        <v xml:space="preserve"> </v>
      </c>
      <c r="P31" s="118" t="str">
        <f>IF(ISERROR(VLOOKUP($K31,'Calc-Drivers'!$B$17:$G$27,P$42,FALSE))," ",VLOOKUP($K31,'Calc-Drivers'!$B$17:$G$27,P$42,FALSE))</f>
        <v xml:space="preserve"> </v>
      </c>
      <c r="Q31" s="130"/>
      <c r="R31" s="70"/>
      <c r="S31" s="71" t="str">
        <f t="shared" si="1"/>
        <v xml:space="preserve"> </v>
      </c>
      <c r="T31" s="71" t="str">
        <f t="shared" si="2"/>
        <v xml:space="preserve"> </v>
      </c>
      <c r="U31" s="71" t="str">
        <f t="shared" si="3"/>
        <v xml:space="preserve"> </v>
      </c>
      <c r="V31" s="123" t="str">
        <f t="shared" si="4"/>
        <v xml:space="preserve"> </v>
      </c>
      <c r="W31" s="123" t="str">
        <f t="shared" si="4"/>
        <v xml:space="preserve"> </v>
      </c>
      <c r="X31" s="72"/>
      <c r="Y31" s="66"/>
      <c r="Z31" s="71" t="str">
        <f t="shared" si="5"/>
        <v xml:space="preserve"> </v>
      </c>
      <c r="AA31" s="71" t="str">
        <f t="shared" si="6"/>
        <v xml:space="preserve"> </v>
      </c>
      <c r="AB31" s="71" t="str">
        <f t="shared" si="7"/>
        <v xml:space="preserve"> </v>
      </c>
      <c r="AC31" s="123" t="str">
        <f t="shared" si="8"/>
        <v xml:space="preserve"> </v>
      </c>
      <c r="AD31" s="123" t="str">
        <f t="shared" si="9"/>
        <v xml:space="preserve"> </v>
      </c>
      <c r="AE31" s="72"/>
      <c r="AF31" s="72"/>
      <c r="AG31" s="73" t="str">
        <f>IF(ISERROR(Z31*100000000/'Calc-Units'!$E$21)," ",Z31*100000000/'Calc-Units'!$E$21)</f>
        <v xml:space="preserve"> </v>
      </c>
      <c r="AH31" s="73" t="str">
        <f>IF(ISERROR(AA31*100000000/'Calc-Units'!$D$21)," ",AA31*100000000/'Calc-Units'!$D$21)</f>
        <v xml:space="preserve"> </v>
      </c>
      <c r="AI31" s="73" t="str">
        <f>IF(ISERROR(AB31*100000000/'Calc-Units'!$C$21)," ",AB31*100000000/'Calc-Units'!$C$21)</f>
        <v xml:space="preserve"> </v>
      </c>
      <c r="AJ31" s="193" t="str">
        <f>IF(ISERROR(AC31*100000000/'Calc-Units'!$C$21)," ",AC31*100000000/'Calc-Units'!$C$21)</f>
        <v xml:space="preserve"> </v>
      </c>
      <c r="AK31" s="74"/>
      <c r="AL31" s="82">
        <v>0</v>
      </c>
      <c r="AM31" s="106">
        <f t="shared" si="10"/>
        <v>0</v>
      </c>
      <c r="AN31" s="69">
        <f t="shared" si="11"/>
        <v>0.3</v>
      </c>
      <c r="AO31" s="68"/>
      <c r="AP31" s="68"/>
      <c r="AQ31" s="71" t="str">
        <f t="shared" si="12"/>
        <v xml:space="preserve"> </v>
      </c>
      <c r="AR31" s="71" t="str">
        <f t="shared" si="13"/>
        <v xml:space="preserve"> </v>
      </c>
      <c r="AS31" s="71" t="str">
        <f t="shared" si="14"/>
        <v xml:space="preserve"> </v>
      </c>
      <c r="AT31" s="123" t="str">
        <f t="shared" si="15"/>
        <v xml:space="preserve"> </v>
      </c>
      <c r="AU31" s="123" t="str">
        <f t="shared" si="16"/>
        <v xml:space="preserve"> </v>
      </c>
      <c r="AV31" s="72"/>
      <c r="AW31" s="74"/>
      <c r="AX31" s="73" t="str">
        <f>IF(ISERROR(AQ31*100000000/'Calc-Units'!$E$21)," ",AQ31*100000000/'Calc-Units'!$E$21)</f>
        <v xml:space="preserve"> </v>
      </c>
      <c r="AY31" s="73" t="str">
        <f>IF(ISERROR(AR31*100000000/'Calc-Units'!$D$21)," ",AR31*100000000/'Calc-Units'!$D$21)</f>
        <v xml:space="preserve"> </v>
      </c>
      <c r="AZ31" s="73" t="str">
        <f>IF(ISERROR(AS31*100000000/'Calc-Units'!$C$21)," ",AS31*100000000/'Calc-Units'!$C$21)</f>
        <v xml:space="preserve"> </v>
      </c>
      <c r="BA31" s="193" t="str">
        <f>IF(ISERROR(AT31*100000000/'Calc-Units'!$C$21)," ",AT31*100000000/'Calc-Units'!$C$21)</f>
        <v xml:space="preserve"> </v>
      </c>
      <c r="BC31" s="66"/>
      <c r="BD31" s="66"/>
    </row>
    <row r="32" spans="1:56" s="65" customFormat="1">
      <c r="A32" s="81"/>
      <c r="B32" s="101"/>
      <c r="C32" s="81" t="s">
        <v>58</v>
      </c>
      <c r="D32" s="110">
        <f>'RRP 1.3'!AD$12</f>
        <v>0.1</v>
      </c>
      <c r="E32" s="110">
        <v>0</v>
      </c>
      <c r="F32" s="110">
        <v>0</v>
      </c>
      <c r="G32" s="110">
        <v>0</v>
      </c>
      <c r="H32" s="110">
        <v>0</v>
      </c>
      <c r="I32" s="110">
        <f t="shared" si="0"/>
        <v>0.1</v>
      </c>
      <c r="J32" s="68"/>
      <c r="K32" s="110" t="s">
        <v>473</v>
      </c>
      <c r="L32" s="118" t="str">
        <f>IF(ISERROR(VLOOKUP($K32,'Calc-Drivers'!$B$17:$G$27,L$42,FALSE))," ",VLOOKUP($K32,'Calc-Drivers'!$B$17:$G$27,L$42,FALSE))</f>
        <v xml:space="preserve"> </v>
      </c>
      <c r="M32" s="118" t="str">
        <f>IF(ISERROR(VLOOKUP($K32,'Calc-Drivers'!$B$17:$G$27,M$42,FALSE))," ",VLOOKUP($K32,'Calc-Drivers'!$B$17:$G$27,M$42,FALSE))</f>
        <v xml:space="preserve"> </v>
      </c>
      <c r="N32" s="118" t="str">
        <f>IF(ISERROR(VLOOKUP($K32,'Calc-Drivers'!$B$17:$G$27,N$42,FALSE))," ",VLOOKUP($K32,'Calc-Drivers'!$B$17:$G$27,N$42,FALSE))</f>
        <v xml:space="preserve"> </v>
      </c>
      <c r="O32" s="118" t="str">
        <f>IF(ISERROR(VLOOKUP($K32,'Calc-Drivers'!$B$17:$G$27,O$42,FALSE))," ",VLOOKUP($K32,'Calc-Drivers'!$B$17:$G$27,O$42,FALSE))</f>
        <v xml:space="preserve"> </v>
      </c>
      <c r="P32" s="118" t="str">
        <f>IF(ISERROR(VLOOKUP($K32,'Calc-Drivers'!$B$17:$G$27,P$42,FALSE))," ",VLOOKUP($K32,'Calc-Drivers'!$B$17:$G$27,P$42,FALSE))</f>
        <v xml:space="preserve"> </v>
      </c>
      <c r="Q32" s="130"/>
      <c r="R32" s="70"/>
      <c r="S32" s="71" t="str">
        <f t="shared" si="1"/>
        <v xml:space="preserve"> </v>
      </c>
      <c r="T32" s="71" t="str">
        <f t="shared" si="2"/>
        <v xml:space="preserve"> </v>
      </c>
      <c r="U32" s="71" t="str">
        <f t="shared" si="3"/>
        <v xml:space="preserve"> </v>
      </c>
      <c r="V32" s="123" t="str">
        <f t="shared" si="4"/>
        <v xml:space="preserve"> </v>
      </c>
      <c r="W32" s="123" t="str">
        <f t="shared" si="4"/>
        <v xml:space="preserve"> </v>
      </c>
      <c r="X32" s="72"/>
      <c r="Y32" s="66"/>
      <c r="Z32" s="71" t="str">
        <f t="shared" si="5"/>
        <v xml:space="preserve"> </v>
      </c>
      <c r="AA32" s="71" t="str">
        <f t="shared" si="6"/>
        <v xml:space="preserve"> </v>
      </c>
      <c r="AB32" s="71" t="str">
        <f t="shared" si="7"/>
        <v xml:space="preserve"> </v>
      </c>
      <c r="AC32" s="123" t="str">
        <f t="shared" si="8"/>
        <v xml:space="preserve"> </v>
      </c>
      <c r="AD32" s="123" t="str">
        <f t="shared" si="9"/>
        <v xml:space="preserve"> </v>
      </c>
      <c r="AE32" s="72"/>
      <c r="AF32" s="72"/>
      <c r="AG32" s="73" t="str">
        <f>IF(ISERROR(Z32*100000000/'Calc-Units'!$E$21)," ",Z32*100000000/'Calc-Units'!$E$21)</f>
        <v xml:space="preserve"> </v>
      </c>
      <c r="AH32" s="73" t="str">
        <f>IF(ISERROR(AA32*100000000/'Calc-Units'!$D$21)," ",AA32*100000000/'Calc-Units'!$D$21)</f>
        <v xml:space="preserve"> </v>
      </c>
      <c r="AI32" s="73" t="str">
        <f>IF(ISERROR(AB32*100000000/'Calc-Units'!$C$21)," ",AB32*100000000/'Calc-Units'!$C$21)</f>
        <v xml:space="preserve"> </v>
      </c>
      <c r="AJ32" s="193" t="str">
        <f>IF(ISERROR(AC32*100000000/'Calc-Units'!$C$21)," ",AC32*100000000/'Calc-Units'!$C$21)</f>
        <v xml:space="preserve"> </v>
      </c>
      <c r="AK32" s="74"/>
      <c r="AL32" s="82">
        <v>0</v>
      </c>
      <c r="AM32" s="106">
        <f t="shared" si="10"/>
        <v>0</v>
      </c>
      <c r="AN32" s="69">
        <f t="shared" si="11"/>
        <v>0.1</v>
      </c>
      <c r="AO32" s="68"/>
      <c r="AP32" s="68"/>
      <c r="AQ32" s="71" t="str">
        <f t="shared" si="12"/>
        <v xml:space="preserve"> </v>
      </c>
      <c r="AR32" s="71" t="str">
        <f t="shared" si="13"/>
        <v xml:space="preserve"> </v>
      </c>
      <c r="AS32" s="71" t="str">
        <f t="shared" si="14"/>
        <v xml:space="preserve"> </v>
      </c>
      <c r="AT32" s="123" t="str">
        <f t="shared" si="15"/>
        <v xml:space="preserve"> </v>
      </c>
      <c r="AU32" s="123" t="str">
        <f t="shared" si="16"/>
        <v xml:space="preserve"> </v>
      </c>
      <c r="AV32" s="72"/>
      <c r="AW32" s="74"/>
      <c r="AX32" s="73" t="str">
        <f>IF(ISERROR(AQ32*100000000/'Calc-Units'!$E$21)," ",AQ32*100000000/'Calc-Units'!$E$21)</f>
        <v xml:space="preserve"> </v>
      </c>
      <c r="AY32" s="73" t="str">
        <f>IF(ISERROR(AR32*100000000/'Calc-Units'!$D$21)," ",AR32*100000000/'Calc-Units'!$D$21)</f>
        <v xml:space="preserve"> </v>
      </c>
      <c r="AZ32" s="73" t="str">
        <f>IF(ISERROR(AS32*100000000/'Calc-Units'!$C$21)," ",AS32*100000000/'Calc-Units'!$C$21)</f>
        <v xml:space="preserve"> </v>
      </c>
      <c r="BA32" s="193" t="str">
        <f>IF(ISERROR(AT32*100000000/'Calc-Units'!$C$21)," ",AT32*100000000/'Calc-Units'!$C$21)</f>
        <v xml:space="preserve"> </v>
      </c>
      <c r="BC32" s="66"/>
      <c r="BD32" s="66"/>
    </row>
    <row r="33" spans="1:56" s="65" customFormat="1">
      <c r="A33" s="81"/>
      <c r="B33" s="101"/>
      <c r="C33" s="81" t="s">
        <v>761</v>
      </c>
      <c r="D33" s="110">
        <f>'RRP 1.3'!AE$12</f>
        <v>1.0999999999999999</v>
      </c>
      <c r="E33" s="110">
        <v>0</v>
      </c>
      <c r="F33" s="110">
        <v>0</v>
      </c>
      <c r="G33" s="110">
        <v>0</v>
      </c>
      <c r="H33" s="110">
        <v>0</v>
      </c>
      <c r="I33" s="110">
        <f t="shared" si="0"/>
        <v>1.0999999999999999</v>
      </c>
      <c r="J33" s="68"/>
      <c r="K33" s="110" t="s">
        <v>473</v>
      </c>
      <c r="L33" s="118" t="str">
        <f>IF(ISERROR(VLOOKUP($K33,'Calc-Drivers'!$B$17:$G$27,L$42,FALSE))," ",VLOOKUP($K33,'Calc-Drivers'!$B$17:$G$27,L$42,FALSE))</f>
        <v xml:space="preserve"> </v>
      </c>
      <c r="M33" s="118" t="str">
        <f>IF(ISERROR(VLOOKUP($K33,'Calc-Drivers'!$B$17:$G$27,M$42,FALSE))," ",VLOOKUP($K33,'Calc-Drivers'!$B$17:$G$27,M$42,FALSE))</f>
        <v xml:space="preserve"> </v>
      </c>
      <c r="N33" s="118" t="str">
        <f>IF(ISERROR(VLOOKUP($K33,'Calc-Drivers'!$B$17:$G$27,N$42,FALSE))," ",VLOOKUP($K33,'Calc-Drivers'!$B$17:$G$27,N$42,FALSE))</f>
        <v xml:space="preserve"> </v>
      </c>
      <c r="O33" s="118" t="str">
        <f>IF(ISERROR(VLOOKUP($K33,'Calc-Drivers'!$B$17:$G$27,O$42,FALSE))," ",VLOOKUP($K33,'Calc-Drivers'!$B$17:$G$27,O$42,FALSE))</f>
        <v xml:space="preserve"> </v>
      </c>
      <c r="P33" s="118" t="str">
        <f>IF(ISERROR(VLOOKUP($K33,'Calc-Drivers'!$B$17:$G$27,P$42,FALSE))," ",VLOOKUP($K33,'Calc-Drivers'!$B$17:$G$27,P$42,FALSE))</f>
        <v xml:space="preserve"> </v>
      </c>
      <c r="Q33" s="130"/>
      <c r="R33" s="70"/>
      <c r="S33" s="71" t="str">
        <f t="shared" si="1"/>
        <v xml:space="preserve"> </v>
      </c>
      <c r="T33" s="71" t="str">
        <f t="shared" si="2"/>
        <v xml:space="preserve"> </v>
      </c>
      <c r="U33" s="71" t="str">
        <f t="shared" si="3"/>
        <v xml:space="preserve"> </v>
      </c>
      <c r="V33" s="123" t="str">
        <f t="shared" si="4"/>
        <v xml:space="preserve"> </v>
      </c>
      <c r="W33" s="123" t="str">
        <f t="shared" si="4"/>
        <v xml:space="preserve"> </v>
      </c>
      <c r="X33" s="72"/>
      <c r="Y33" s="66"/>
      <c r="Z33" s="71" t="str">
        <f t="shared" si="5"/>
        <v xml:space="preserve"> </v>
      </c>
      <c r="AA33" s="71" t="str">
        <f t="shared" si="6"/>
        <v xml:space="preserve"> </v>
      </c>
      <c r="AB33" s="71" t="str">
        <f t="shared" si="7"/>
        <v xml:space="preserve"> </v>
      </c>
      <c r="AC33" s="123" t="str">
        <f t="shared" si="8"/>
        <v xml:space="preserve"> </v>
      </c>
      <c r="AD33" s="123" t="str">
        <f t="shared" si="9"/>
        <v xml:space="preserve"> </v>
      </c>
      <c r="AE33" s="72"/>
      <c r="AF33" s="72"/>
      <c r="AG33" s="73" t="str">
        <f>IF(ISERROR(Z33*100000000/'Calc-Units'!$E$21)," ",Z33*100000000/'Calc-Units'!$E$21)</f>
        <v xml:space="preserve"> </v>
      </c>
      <c r="AH33" s="73" t="str">
        <f>IF(ISERROR(AA33*100000000/'Calc-Units'!$D$21)," ",AA33*100000000/'Calc-Units'!$D$21)</f>
        <v xml:space="preserve"> </v>
      </c>
      <c r="AI33" s="73" t="str">
        <f>IF(ISERROR(AB33*100000000/'Calc-Units'!$C$21)," ",AB33*100000000/'Calc-Units'!$C$21)</f>
        <v xml:space="preserve"> </v>
      </c>
      <c r="AJ33" s="193" t="str">
        <f>IF(ISERROR(AC33*100000000/'Calc-Units'!$C$21)," ",AC33*100000000/'Calc-Units'!$C$21)</f>
        <v xml:space="preserve"> </v>
      </c>
      <c r="AK33" s="74"/>
      <c r="AL33" s="82">
        <v>0</v>
      </c>
      <c r="AM33" s="106">
        <f t="shared" si="10"/>
        <v>0</v>
      </c>
      <c r="AN33" s="69">
        <f t="shared" si="11"/>
        <v>1.0999999999999999</v>
      </c>
      <c r="AO33" s="68"/>
      <c r="AP33" s="68"/>
      <c r="AQ33" s="71" t="str">
        <f t="shared" si="12"/>
        <v xml:space="preserve"> </v>
      </c>
      <c r="AR33" s="71" t="str">
        <f t="shared" si="13"/>
        <v xml:space="preserve"> </v>
      </c>
      <c r="AS33" s="71" t="str">
        <f t="shared" si="14"/>
        <v xml:space="preserve"> </v>
      </c>
      <c r="AT33" s="123" t="str">
        <f t="shared" si="15"/>
        <v xml:space="preserve"> </v>
      </c>
      <c r="AU33" s="123" t="str">
        <f t="shared" si="16"/>
        <v xml:space="preserve"> </v>
      </c>
      <c r="AV33" s="72"/>
      <c r="AW33" s="74"/>
      <c r="AX33" s="73" t="str">
        <f>IF(ISERROR(AQ33*100000000/'Calc-Units'!$E$21)," ",AQ33*100000000/'Calc-Units'!$E$21)</f>
        <v xml:space="preserve"> </v>
      </c>
      <c r="AY33" s="73" t="str">
        <f>IF(ISERROR(AR33*100000000/'Calc-Units'!$D$21)," ",AR33*100000000/'Calc-Units'!$D$21)</f>
        <v xml:space="preserve"> </v>
      </c>
      <c r="AZ33" s="73" t="str">
        <f>IF(ISERROR(AS33*100000000/'Calc-Units'!$C$21)," ",AS33*100000000/'Calc-Units'!$C$21)</f>
        <v xml:space="preserve"> </v>
      </c>
      <c r="BA33" s="193" t="str">
        <f>IF(ISERROR(AT33*100000000/'Calc-Units'!$C$21)," ",AT33*100000000/'Calc-Units'!$C$21)</f>
        <v xml:space="preserve"> </v>
      </c>
      <c r="BC33" s="66"/>
      <c r="BD33" s="66"/>
    </row>
    <row r="34" spans="1:56" s="65" customFormat="1">
      <c r="A34" s="81"/>
      <c r="B34" s="101"/>
      <c r="C34" s="81" t="s">
        <v>762</v>
      </c>
      <c r="D34" s="110">
        <f>'RRP 1.3'!AF$12</f>
        <v>34</v>
      </c>
      <c r="E34" s="110">
        <v>0</v>
      </c>
      <c r="F34" s="110">
        <v>0</v>
      </c>
      <c r="G34" s="110">
        <v>0</v>
      </c>
      <c r="H34" s="110">
        <v>0</v>
      </c>
      <c r="I34" s="110">
        <f t="shared" si="0"/>
        <v>34</v>
      </c>
      <c r="J34" s="68"/>
      <c r="K34" s="110" t="s">
        <v>473</v>
      </c>
      <c r="L34" s="118" t="str">
        <f>IF(ISERROR(VLOOKUP($K34,'Calc-Drivers'!$B$17:$G$27,L$42,FALSE))," ",VLOOKUP($K34,'Calc-Drivers'!$B$17:$G$27,L$42,FALSE))</f>
        <v xml:space="preserve"> </v>
      </c>
      <c r="M34" s="118" t="str">
        <f>IF(ISERROR(VLOOKUP($K34,'Calc-Drivers'!$B$17:$G$27,M$42,FALSE))," ",VLOOKUP($K34,'Calc-Drivers'!$B$17:$G$27,M$42,FALSE))</f>
        <v xml:space="preserve"> </v>
      </c>
      <c r="N34" s="118" t="str">
        <f>IF(ISERROR(VLOOKUP($K34,'Calc-Drivers'!$B$17:$G$27,N$42,FALSE))," ",VLOOKUP($K34,'Calc-Drivers'!$B$17:$G$27,N$42,FALSE))</f>
        <v xml:space="preserve"> </v>
      </c>
      <c r="O34" s="118" t="str">
        <f>IF(ISERROR(VLOOKUP($K34,'Calc-Drivers'!$B$17:$G$27,O$42,FALSE))," ",VLOOKUP($K34,'Calc-Drivers'!$B$17:$G$27,O$42,FALSE))</f>
        <v xml:space="preserve"> </v>
      </c>
      <c r="P34" s="118" t="str">
        <f>IF(ISERROR(VLOOKUP($K34,'Calc-Drivers'!$B$17:$G$27,P$42,FALSE))," ",VLOOKUP($K34,'Calc-Drivers'!$B$17:$G$27,P$42,FALSE))</f>
        <v xml:space="preserve"> </v>
      </c>
      <c r="Q34" s="130"/>
      <c r="R34" s="70"/>
      <c r="S34" s="71" t="str">
        <f t="shared" si="1"/>
        <v xml:space="preserve"> </v>
      </c>
      <c r="T34" s="71" t="str">
        <f t="shared" si="2"/>
        <v xml:space="preserve"> </v>
      </c>
      <c r="U34" s="71" t="str">
        <f t="shared" si="3"/>
        <v xml:space="preserve"> </v>
      </c>
      <c r="V34" s="123" t="str">
        <f t="shared" si="4"/>
        <v xml:space="preserve"> </v>
      </c>
      <c r="W34" s="123" t="str">
        <f t="shared" si="4"/>
        <v xml:space="preserve"> </v>
      </c>
      <c r="X34" s="72"/>
      <c r="Y34" s="66"/>
      <c r="Z34" s="71" t="str">
        <f t="shared" si="5"/>
        <v xml:space="preserve"> </v>
      </c>
      <c r="AA34" s="71" t="str">
        <f t="shared" si="6"/>
        <v xml:space="preserve"> </v>
      </c>
      <c r="AB34" s="71" t="str">
        <f t="shared" si="7"/>
        <v xml:space="preserve"> </v>
      </c>
      <c r="AC34" s="123" t="str">
        <f t="shared" si="8"/>
        <v xml:space="preserve"> </v>
      </c>
      <c r="AD34" s="123" t="str">
        <f t="shared" si="9"/>
        <v xml:space="preserve"> </v>
      </c>
      <c r="AE34" s="72"/>
      <c r="AF34" s="72"/>
      <c r="AG34" s="73" t="str">
        <f>IF(ISERROR(Z34*100000000/'Calc-Units'!$E$21)," ",Z34*100000000/'Calc-Units'!$E$21)</f>
        <v xml:space="preserve"> </v>
      </c>
      <c r="AH34" s="73" t="str">
        <f>IF(ISERROR(AA34*100000000/'Calc-Units'!$D$21)," ",AA34*100000000/'Calc-Units'!$D$21)</f>
        <v xml:space="preserve"> </v>
      </c>
      <c r="AI34" s="73" t="str">
        <f>IF(ISERROR(AB34*100000000/'Calc-Units'!$C$21)," ",AB34*100000000/'Calc-Units'!$C$21)</f>
        <v xml:space="preserve"> </v>
      </c>
      <c r="AJ34" s="193" t="str">
        <f>IF(ISERROR(AC34*100000000/'Calc-Units'!$C$21)," ",AC34*100000000/'Calc-Units'!$C$21)</f>
        <v xml:space="preserve"> </v>
      </c>
      <c r="AK34" s="74"/>
      <c r="AL34" s="82">
        <v>0</v>
      </c>
      <c r="AM34" s="106">
        <f t="shared" si="10"/>
        <v>0</v>
      </c>
      <c r="AN34" s="69">
        <f t="shared" si="11"/>
        <v>34</v>
      </c>
      <c r="AO34" s="68"/>
      <c r="AP34" s="68"/>
      <c r="AQ34" s="71" t="str">
        <f t="shared" si="12"/>
        <v xml:space="preserve"> </v>
      </c>
      <c r="AR34" s="71" t="str">
        <f t="shared" si="13"/>
        <v xml:space="preserve"> </v>
      </c>
      <c r="AS34" s="71" t="str">
        <f t="shared" si="14"/>
        <v xml:space="preserve"> </v>
      </c>
      <c r="AT34" s="123" t="str">
        <f t="shared" si="15"/>
        <v xml:space="preserve"> </v>
      </c>
      <c r="AU34" s="123" t="str">
        <f t="shared" si="16"/>
        <v xml:space="preserve"> </v>
      </c>
      <c r="AV34" s="72"/>
      <c r="AW34" s="74"/>
      <c r="AX34" s="73" t="str">
        <f>IF(ISERROR(AQ34*100000000/'Calc-Units'!$E$21)," ",AQ34*100000000/'Calc-Units'!$E$21)</f>
        <v xml:space="preserve"> </v>
      </c>
      <c r="AY34" s="73" t="str">
        <f>IF(ISERROR(AR34*100000000/'Calc-Units'!$D$21)," ",AR34*100000000/'Calc-Units'!$D$21)</f>
        <v xml:space="preserve"> </v>
      </c>
      <c r="AZ34" s="73" t="str">
        <f>IF(ISERROR(AS34*100000000/'Calc-Units'!$C$21)," ",AS34*100000000/'Calc-Units'!$C$21)</f>
        <v xml:space="preserve"> </v>
      </c>
      <c r="BA34" s="193" t="str">
        <f>IF(ISERROR(AT34*100000000/'Calc-Units'!$C$21)," ",AT34*100000000/'Calc-Units'!$C$21)</f>
        <v xml:space="preserve"> </v>
      </c>
      <c r="BC34" s="66"/>
      <c r="BD34" s="66"/>
    </row>
    <row r="35" spans="1:56" s="65" customFormat="1">
      <c r="A35" s="81"/>
      <c r="B35" s="101"/>
      <c r="C35" s="81" t="s">
        <v>763</v>
      </c>
      <c r="D35" s="110">
        <f>'RRP 1.3'!AG$12</f>
        <v>18.0171204</v>
      </c>
      <c r="E35" s="110">
        <v>0</v>
      </c>
      <c r="F35" s="110">
        <v>0</v>
      </c>
      <c r="G35" s="110">
        <v>0</v>
      </c>
      <c r="H35" s="110">
        <v>0</v>
      </c>
      <c r="I35" s="110">
        <f t="shared" si="0"/>
        <v>18.0171204</v>
      </c>
      <c r="J35" s="68"/>
      <c r="K35" s="110" t="s">
        <v>473</v>
      </c>
      <c r="L35" s="118" t="str">
        <f>IF(ISERROR(VLOOKUP($K35,'Calc-Drivers'!$B$17:$G$27,L$42,FALSE))," ",VLOOKUP($K35,'Calc-Drivers'!$B$17:$G$27,L$42,FALSE))</f>
        <v xml:space="preserve"> </v>
      </c>
      <c r="M35" s="118" t="str">
        <f>IF(ISERROR(VLOOKUP($K35,'Calc-Drivers'!$B$17:$G$27,M$42,FALSE))," ",VLOOKUP($K35,'Calc-Drivers'!$B$17:$G$27,M$42,FALSE))</f>
        <v xml:space="preserve"> </v>
      </c>
      <c r="N35" s="118" t="str">
        <f>IF(ISERROR(VLOOKUP($K35,'Calc-Drivers'!$B$17:$G$27,N$42,FALSE))," ",VLOOKUP($K35,'Calc-Drivers'!$B$17:$G$27,N$42,FALSE))</f>
        <v xml:space="preserve"> </v>
      </c>
      <c r="O35" s="118" t="str">
        <f>IF(ISERROR(VLOOKUP($K35,'Calc-Drivers'!$B$17:$G$27,O$42,FALSE))," ",VLOOKUP($K35,'Calc-Drivers'!$B$17:$G$27,O$42,FALSE))</f>
        <v xml:space="preserve"> </v>
      </c>
      <c r="P35" s="118" t="str">
        <f>IF(ISERROR(VLOOKUP($K35,'Calc-Drivers'!$B$17:$G$27,P$42,FALSE))," ",VLOOKUP($K35,'Calc-Drivers'!$B$17:$G$27,P$42,FALSE))</f>
        <v xml:space="preserve"> </v>
      </c>
      <c r="Q35" s="130"/>
      <c r="R35" s="70"/>
      <c r="S35" s="71" t="str">
        <f t="shared" si="1"/>
        <v xml:space="preserve"> </v>
      </c>
      <c r="T35" s="71" t="str">
        <f t="shared" si="2"/>
        <v xml:space="preserve"> </v>
      </c>
      <c r="U35" s="71" t="str">
        <f t="shared" si="3"/>
        <v xml:space="preserve"> </v>
      </c>
      <c r="V35" s="123" t="str">
        <f t="shared" si="4"/>
        <v xml:space="preserve"> </v>
      </c>
      <c r="W35" s="123" t="str">
        <f t="shared" si="4"/>
        <v xml:space="preserve"> </v>
      </c>
      <c r="X35" s="72"/>
      <c r="Y35" s="66"/>
      <c r="Z35" s="71" t="str">
        <f t="shared" si="5"/>
        <v xml:space="preserve"> </v>
      </c>
      <c r="AA35" s="71" t="str">
        <f t="shared" si="6"/>
        <v xml:space="preserve"> </v>
      </c>
      <c r="AB35" s="71" t="str">
        <f t="shared" si="7"/>
        <v xml:space="preserve"> </v>
      </c>
      <c r="AC35" s="123" t="str">
        <f t="shared" si="8"/>
        <v xml:space="preserve"> </v>
      </c>
      <c r="AD35" s="123" t="str">
        <f t="shared" si="9"/>
        <v xml:space="preserve"> </v>
      </c>
      <c r="AE35" s="72"/>
      <c r="AF35" s="72"/>
      <c r="AG35" s="73" t="str">
        <f>IF(ISERROR(Z35*100000000/'Calc-Units'!$E$21)," ",Z35*100000000/'Calc-Units'!$E$21)</f>
        <v xml:space="preserve"> </v>
      </c>
      <c r="AH35" s="73" t="str">
        <f>IF(ISERROR(AA35*100000000/'Calc-Units'!$D$21)," ",AA35*100000000/'Calc-Units'!$D$21)</f>
        <v xml:space="preserve"> </v>
      </c>
      <c r="AI35" s="73" t="str">
        <f>IF(ISERROR(AB35*100000000/'Calc-Units'!$C$21)," ",AB35*100000000/'Calc-Units'!$C$21)</f>
        <v xml:space="preserve"> </v>
      </c>
      <c r="AJ35" s="193" t="str">
        <f>IF(ISERROR(AC35*100000000/'Calc-Units'!$C$21)," ",AC35*100000000/'Calc-Units'!$C$21)</f>
        <v xml:space="preserve"> </v>
      </c>
      <c r="AK35" s="74"/>
      <c r="AL35" s="82">
        <v>0</v>
      </c>
      <c r="AM35" s="106">
        <f t="shared" si="10"/>
        <v>0</v>
      </c>
      <c r="AN35" s="69">
        <f t="shared" si="11"/>
        <v>18.0171204</v>
      </c>
      <c r="AO35" s="68"/>
      <c r="AP35" s="68"/>
      <c r="AQ35" s="71" t="str">
        <f t="shared" si="12"/>
        <v xml:space="preserve"> </v>
      </c>
      <c r="AR35" s="71" t="str">
        <f t="shared" si="13"/>
        <v xml:space="preserve"> </v>
      </c>
      <c r="AS35" s="71" t="str">
        <f t="shared" si="14"/>
        <v xml:space="preserve"> </v>
      </c>
      <c r="AT35" s="123" t="str">
        <f t="shared" si="15"/>
        <v xml:space="preserve"> </v>
      </c>
      <c r="AU35" s="123" t="str">
        <f t="shared" si="16"/>
        <v xml:space="preserve"> </v>
      </c>
      <c r="AV35" s="72"/>
      <c r="AW35" s="74"/>
      <c r="AX35" s="73" t="str">
        <f>IF(ISERROR(AQ35*100000000/'Calc-Units'!$E$21)," ",AQ35*100000000/'Calc-Units'!$E$21)</f>
        <v xml:space="preserve"> </v>
      </c>
      <c r="AY35" s="73" t="str">
        <f>IF(ISERROR(AR35*100000000/'Calc-Units'!$D$21)," ",AR35*100000000/'Calc-Units'!$D$21)</f>
        <v xml:space="preserve"> </v>
      </c>
      <c r="AZ35" s="73" t="str">
        <f>IF(ISERROR(AS35*100000000/'Calc-Units'!$C$21)," ",AS35*100000000/'Calc-Units'!$C$21)</f>
        <v xml:space="preserve"> </v>
      </c>
      <c r="BA35" s="193" t="str">
        <f>IF(ISERROR(AT35*100000000/'Calc-Units'!$C$21)," ",AT35*100000000/'Calc-Units'!$C$21)</f>
        <v xml:space="preserve"> </v>
      </c>
      <c r="BC35" s="66"/>
      <c r="BD35" s="66"/>
    </row>
    <row r="36" spans="1:56" s="65" customFormat="1">
      <c r="A36" s="81"/>
      <c r="B36" s="101"/>
      <c r="C36" s="81" t="s">
        <v>645</v>
      </c>
      <c r="D36" s="110">
        <f>'RRP 1.3'!AH$12</f>
        <v>5.1675739700000003</v>
      </c>
      <c r="E36" s="110">
        <v>0</v>
      </c>
      <c r="F36" s="110">
        <v>0</v>
      </c>
      <c r="G36" s="110">
        <v>0</v>
      </c>
      <c r="H36" s="110">
        <v>0</v>
      </c>
      <c r="I36" s="110">
        <f t="shared" si="0"/>
        <v>5.1675739700000003</v>
      </c>
      <c r="J36" s="68"/>
      <c r="K36" s="110" t="s">
        <v>473</v>
      </c>
      <c r="L36" s="118" t="str">
        <f>IF(ISERROR(VLOOKUP($K36,'Calc-Drivers'!$B$17:$G$27,L$42,FALSE))," ",VLOOKUP($K36,'Calc-Drivers'!$B$17:$G$27,L$42,FALSE))</f>
        <v xml:space="preserve"> </v>
      </c>
      <c r="M36" s="118" t="str">
        <f>IF(ISERROR(VLOOKUP($K36,'Calc-Drivers'!$B$17:$G$27,M$42,FALSE))," ",VLOOKUP($K36,'Calc-Drivers'!$B$17:$G$27,M$42,FALSE))</f>
        <v xml:space="preserve"> </v>
      </c>
      <c r="N36" s="118" t="str">
        <f>IF(ISERROR(VLOOKUP($K36,'Calc-Drivers'!$B$17:$G$27,N$42,FALSE))," ",VLOOKUP($K36,'Calc-Drivers'!$B$17:$G$27,N$42,FALSE))</f>
        <v xml:space="preserve"> </v>
      </c>
      <c r="O36" s="118" t="str">
        <f>IF(ISERROR(VLOOKUP($K36,'Calc-Drivers'!$B$17:$G$27,O$42,FALSE))," ",VLOOKUP($K36,'Calc-Drivers'!$B$17:$G$27,O$42,FALSE))</f>
        <v xml:space="preserve"> </v>
      </c>
      <c r="P36" s="118" t="str">
        <f>IF(ISERROR(VLOOKUP($K36,'Calc-Drivers'!$B$17:$G$27,P$42,FALSE))," ",VLOOKUP($K36,'Calc-Drivers'!$B$17:$G$27,P$42,FALSE))</f>
        <v xml:space="preserve"> </v>
      </c>
      <c r="Q36" s="130"/>
      <c r="R36" s="70"/>
      <c r="S36" s="71" t="str">
        <f t="shared" si="1"/>
        <v xml:space="preserve"> </v>
      </c>
      <c r="T36" s="71" t="str">
        <f t="shared" si="2"/>
        <v xml:space="preserve"> </v>
      </c>
      <c r="U36" s="71" t="str">
        <f t="shared" si="3"/>
        <v xml:space="preserve"> </v>
      </c>
      <c r="V36" s="123" t="str">
        <f t="shared" si="4"/>
        <v xml:space="preserve"> </v>
      </c>
      <c r="W36" s="123" t="str">
        <f t="shared" si="4"/>
        <v xml:space="preserve"> </v>
      </c>
      <c r="X36" s="72"/>
      <c r="Y36" s="66"/>
      <c r="Z36" s="71" t="str">
        <f t="shared" si="5"/>
        <v xml:space="preserve"> </v>
      </c>
      <c r="AA36" s="71" t="str">
        <f t="shared" si="6"/>
        <v xml:space="preserve"> </v>
      </c>
      <c r="AB36" s="71" t="str">
        <f t="shared" si="7"/>
        <v xml:space="preserve"> </v>
      </c>
      <c r="AC36" s="123" t="str">
        <f t="shared" si="8"/>
        <v xml:space="preserve"> </v>
      </c>
      <c r="AD36" s="123" t="str">
        <f t="shared" si="9"/>
        <v xml:space="preserve"> </v>
      </c>
      <c r="AE36" s="72"/>
      <c r="AF36" s="72"/>
      <c r="AG36" s="73" t="str">
        <f>IF(ISERROR(Z36*100000000/'Calc-Units'!$E$21)," ",Z36*100000000/'Calc-Units'!$E$21)</f>
        <v xml:space="preserve"> </v>
      </c>
      <c r="AH36" s="73" t="str">
        <f>IF(ISERROR(AA36*100000000/'Calc-Units'!$D$21)," ",AA36*100000000/'Calc-Units'!$D$21)</f>
        <v xml:space="preserve"> </v>
      </c>
      <c r="AI36" s="73" t="str">
        <f>IF(ISERROR(AB36*100000000/'Calc-Units'!$C$21)," ",AB36*100000000/'Calc-Units'!$C$21)</f>
        <v xml:space="preserve"> </v>
      </c>
      <c r="AJ36" s="193" t="str">
        <f>IF(ISERROR(AC36*100000000/'Calc-Units'!$C$21)," ",AC36*100000000/'Calc-Units'!$C$21)</f>
        <v xml:space="preserve"> </v>
      </c>
      <c r="AK36" s="74"/>
      <c r="AL36" s="82">
        <v>0</v>
      </c>
      <c r="AM36" s="106">
        <f t="shared" si="10"/>
        <v>0</v>
      </c>
      <c r="AN36" s="69">
        <f t="shared" si="11"/>
        <v>5.1675739700000003</v>
      </c>
      <c r="AO36" s="68"/>
      <c r="AP36" s="68"/>
      <c r="AQ36" s="71" t="str">
        <f t="shared" si="12"/>
        <v xml:space="preserve"> </v>
      </c>
      <c r="AR36" s="71" t="str">
        <f t="shared" si="13"/>
        <v xml:space="preserve"> </v>
      </c>
      <c r="AS36" s="71" t="str">
        <f t="shared" si="14"/>
        <v xml:space="preserve"> </v>
      </c>
      <c r="AT36" s="123" t="str">
        <f t="shared" si="15"/>
        <v xml:space="preserve"> </v>
      </c>
      <c r="AU36" s="123" t="str">
        <f t="shared" si="16"/>
        <v xml:space="preserve"> </v>
      </c>
      <c r="AV36" s="72"/>
      <c r="AW36" s="74"/>
      <c r="AX36" s="73" t="str">
        <f>IF(ISERROR(AQ36*100000000/'Calc-Units'!$E$21)," ",AQ36*100000000/'Calc-Units'!$E$21)</f>
        <v xml:space="preserve"> </v>
      </c>
      <c r="AY36" s="73" t="str">
        <f>IF(ISERROR(AR36*100000000/'Calc-Units'!$D$21)," ",AR36*100000000/'Calc-Units'!$D$21)</f>
        <v xml:space="preserve"> </v>
      </c>
      <c r="AZ36" s="73" t="str">
        <f>IF(ISERROR(AS36*100000000/'Calc-Units'!$C$21)," ",AS36*100000000/'Calc-Units'!$C$21)</f>
        <v xml:space="preserve"> </v>
      </c>
      <c r="BA36" s="193" t="str">
        <f>IF(ISERROR(AT36*100000000/'Calc-Units'!$C$21)," ",AT36*100000000/'Calc-Units'!$C$21)</f>
        <v xml:space="preserve"> </v>
      </c>
      <c r="BC36" s="66"/>
      <c r="BD36" s="66"/>
    </row>
    <row r="37" spans="1:56" s="65" customFormat="1">
      <c r="A37" s="81"/>
      <c r="B37" s="101"/>
      <c r="C37" s="81" t="s">
        <v>647</v>
      </c>
      <c r="D37" s="110">
        <f>'RRP 1.3'!AI$12</f>
        <v>0</v>
      </c>
      <c r="E37" s="110">
        <v>0</v>
      </c>
      <c r="F37" s="110">
        <v>0</v>
      </c>
      <c r="G37" s="110">
        <v>0</v>
      </c>
      <c r="H37" s="110">
        <v>0</v>
      </c>
      <c r="I37" s="110">
        <f t="shared" si="0"/>
        <v>0</v>
      </c>
      <c r="J37" s="68"/>
      <c r="K37" s="110" t="s">
        <v>473</v>
      </c>
      <c r="L37" s="118" t="str">
        <f>IF(ISERROR(VLOOKUP($K37,'Calc-Drivers'!$B$17:$G$27,L$42,FALSE))," ",VLOOKUP($K37,'Calc-Drivers'!$B$17:$G$27,L$42,FALSE))</f>
        <v xml:space="preserve"> </v>
      </c>
      <c r="M37" s="118" t="str">
        <f>IF(ISERROR(VLOOKUP($K37,'Calc-Drivers'!$B$17:$G$27,M$42,FALSE))," ",VLOOKUP($K37,'Calc-Drivers'!$B$17:$G$27,M$42,FALSE))</f>
        <v xml:space="preserve"> </v>
      </c>
      <c r="N37" s="118" t="str">
        <f>IF(ISERROR(VLOOKUP($K37,'Calc-Drivers'!$B$17:$G$27,N$42,FALSE))," ",VLOOKUP($K37,'Calc-Drivers'!$B$17:$G$27,N$42,FALSE))</f>
        <v xml:space="preserve"> </v>
      </c>
      <c r="O37" s="118" t="str">
        <f>IF(ISERROR(VLOOKUP($K37,'Calc-Drivers'!$B$17:$G$27,O$42,FALSE))," ",VLOOKUP($K37,'Calc-Drivers'!$B$17:$G$27,O$42,FALSE))</f>
        <v xml:space="preserve"> </v>
      </c>
      <c r="P37" s="118" t="str">
        <f>IF(ISERROR(VLOOKUP($K37,'Calc-Drivers'!$B$17:$G$27,P$42,FALSE))," ",VLOOKUP($K37,'Calc-Drivers'!$B$17:$G$27,P$42,FALSE))</f>
        <v xml:space="preserve"> </v>
      </c>
      <c r="Q37" s="130"/>
      <c r="R37" s="70"/>
      <c r="S37" s="71" t="str">
        <f t="shared" si="1"/>
        <v xml:space="preserve"> </v>
      </c>
      <c r="T37" s="71" t="str">
        <f t="shared" si="2"/>
        <v xml:space="preserve"> </v>
      </c>
      <c r="U37" s="71" t="str">
        <f t="shared" si="3"/>
        <v xml:space="preserve"> </v>
      </c>
      <c r="V37" s="123" t="str">
        <f t="shared" si="4"/>
        <v xml:space="preserve"> </v>
      </c>
      <c r="W37" s="123" t="str">
        <f t="shared" si="4"/>
        <v xml:space="preserve"> </v>
      </c>
      <c r="X37" s="72"/>
      <c r="Y37" s="66"/>
      <c r="Z37" s="71" t="str">
        <f t="shared" si="5"/>
        <v xml:space="preserve"> </v>
      </c>
      <c r="AA37" s="71" t="str">
        <f t="shared" si="6"/>
        <v xml:space="preserve"> </v>
      </c>
      <c r="AB37" s="71" t="str">
        <f t="shared" si="7"/>
        <v xml:space="preserve"> </v>
      </c>
      <c r="AC37" s="123" t="str">
        <f t="shared" si="8"/>
        <v xml:space="preserve"> </v>
      </c>
      <c r="AD37" s="123" t="str">
        <f t="shared" si="9"/>
        <v xml:space="preserve"> </v>
      </c>
      <c r="AE37" s="72"/>
      <c r="AF37" s="72"/>
      <c r="AG37" s="73" t="str">
        <f>IF(ISERROR(Z37*100000000/'Calc-Units'!$E$21)," ",Z37*100000000/'Calc-Units'!$E$21)</f>
        <v xml:space="preserve"> </v>
      </c>
      <c r="AH37" s="73" t="str">
        <f>IF(ISERROR(AA37*100000000/'Calc-Units'!$D$21)," ",AA37*100000000/'Calc-Units'!$D$21)</f>
        <v xml:space="preserve"> </v>
      </c>
      <c r="AI37" s="73" t="str">
        <f>IF(ISERROR(AB37*100000000/'Calc-Units'!$C$21)," ",AB37*100000000/'Calc-Units'!$C$21)</f>
        <v xml:space="preserve"> </v>
      </c>
      <c r="AJ37" s="193" t="str">
        <f>IF(ISERROR(AC37*100000000/'Calc-Units'!$C$21)," ",AC37*100000000/'Calc-Units'!$C$21)</f>
        <v xml:space="preserve"> </v>
      </c>
      <c r="AK37" s="74"/>
      <c r="AL37" s="82">
        <v>0</v>
      </c>
      <c r="AM37" s="106">
        <f t="shared" si="10"/>
        <v>0</v>
      </c>
      <c r="AN37" s="69">
        <f t="shared" si="11"/>
        <v>0</v>
      </c>
      <c r="AO37" s="68"/>
      <c r="AP37" s="68"/>
      <c r="AQ37" s="71" t="str">
        <f t="shared" si="12"/>
        <v xml:space="preserve"> </v>
      </c>
      <c r="AR37" s="71" t="str">
        <f t="shared" si="13"/>
        <v xml:space="preserve"> </v>
      </c>
      <c r="AS37" s="71" t="str">
        <f t="shared" si="14"/>
        <v xml:space="preserve"> </v>
      </c>
      <c r="AT37" s="123" t="str">
        <f t="shared" si="15"/>
        <v xml:space="preserve"> </v>
      </c>
      <c r="AU37" s="123" t="str">
        <f t="shared" si="16"/>
        <v xml:space="preserve"> </v>
      </c>
      <c r="AV37" s="72"/>
      <c r="AW37" s="74"/>
      <c r="AX37" s="73" t="str">
        <f>IF(ISERROR(AQ37*100000000/'Calc-Units'!$E$21)," ",AQ37*100000000/'Calc-Units'!$E$21)</f>
        <v xml:space="preserve"> </v>
      </c>
      <c r="AY37" s="73" t="str">
        <f>IF(ISERROR(AR37*100000000/'Calc-Units'!$D$21)," ",AR37*100000000/'Calc-Units'!$D$21)</f>
        <v xml:space="preserve"> </v>
      </c>
      <c r="AZ37" s="73" t="str">
        <f>IF(ISERROR(AS37*100000000/'Calc-Units'!$C$21)," ",AS37*100000000/'Calc-Units'!$C$21)</f>
        <v xml:space="preserve"> </v>
      </c>
      <c r="BA37" s="193" t="str">
        <f>IF(ISERROR(AT37*100000000/'Calc-Units'!$C$21)," ",AT37*100000000/'Calc-Units'!$C$21)</f>
        <v xml:space="preserve"> </v>
      </c>
      <c r="BC37" s="66"/>
      <c r="BD37" s="66"/>
    </row>
    <row r="38" spans="1:56" s="65" customFormat="1">
      <c r="A38" s="81"/>
      <c r="B38" s="101"/>
      <c r="C38" s="84" t="s">
        <v>648</v>
      </c>
      <c r="D38" s="111">
        <f>'RRP 1.3'!AJ$12</f>
        <v>-11.484694370000085</v>
      </c>
      <c r="E38" s="111">
        <v>0</v>
      </c>
      <c r="F38" s="111">
        <v>0</v>
      </c>
      <c r="G38" s="111">
        <v>0</v>
      </c>
      <c r="H38" s="111">
        <v>0</v>
      </c>
      <c r="I38" s="111">
        <f t="shared" si="0"/>
        <v>-11.484694370000085</v>
      </c>
      <c r="J38" s="68"/>
      <c r="K38" s="111" t="s">
        <v>473</v>
      </c>
      <c r="L38" s="192" t="str">
        <f>IF(ISERROR(VLOOKUP($K38,'Calc-Drivers'!$B$17:$G$27,L$42,FALSE))," ",VLOOKUP($K38,'Calc-Drivers'!$B$17:$G$27,L$42,FALSE))</f>
        <v xml:space="preserve"> </v>
      </c>
      <c r="M38" s="192" t="str">
        <f>IF(ISERROR(VLOOKUP($K38,'Calc-Drivers'!$B$17:$G$27,M$42,FALSE))," ",VLOOKUP($K38,'Calc-Drivers'!$B$17:$G$27,M$42,FALSE))</f>
        <v xml:space="preserve"> </v>
      </c>
      <c r="N38" s="192" t="str">
        <f>IF(ISERROR(VLOOKUP($K38,'Calc-Drivers'!$B$17:$G$27,N$42,FALSE))," ",VLOOKUP($K38,'Calc-Drivers'!$B$17:$G$27,N$42,FALSE))</f>
        <v xml:space="preserve"> </v>
      </c>
      <c r="O38" s="192" t="str">
        <f>IF(ISERROR(VLOOKUP($K38,'Calc-Drivers'!$B$17:$G$27,O$42,FALSE))," ",VLOOKUP($K38,'Calc-Drivers'!$B$17:$G$27,O$42,FALSE))</f>
        <v xml:space="preserve"> </v>
      </c>
      <c r="P38" s="192" t="str">
        <f>IF(ISERROR(VLOOKUP($K38,'Calc-Drivers'!$B$17:$G$27,P$42,FALSE))," ",VLOOKUP($K38,'Calc-Drivers'!$B$17:$G$27,P$42,FALSE))</f>
        <v xml:space="preserve"> </v>
      </c>
      <c r="Q38" s="130"/>
      <c r="R38" s="70"/>
      <c r="S38" s="127" t="str">
        <f t="shared" si="1"/>
        <v xml:space="preserve"> </v>
      </c>
      <c r="T38" s="127" t="str">
        <f t="shared" si="2"/>
        <v xml:space="preserve"> </v>
      </c>
      <c r="U38" s="127" t="str">
        <f t="shared" si="3"/>
        <v xml:space="preserve"> </v>
      </c>
      <c r="V38" s="124" t="str">
        <f t="shared" si="4"/>
        <v xml:space="preserve"> </v>
      </c>
      <c r="W38" s="124" t="str">
        <f t="shared" si="4"/>
        <v xml:space="preserve"> </v>
      </c>
      <c r="X38" s="72"/>
      <c r="Y38" s="66"/>
      <c r="Z38" s="127" t="str">
        <f t="shared" si="5"/>
        <v xml:space="preserve"> </v>
      </c>
      <c r="AA38" s="127" t="str">
        <f t="shared" si="6"/>
        <v xml:space="preserve"> </v>
      </c>
      <c r="AB38" s="127" t="str">
        <f t="shared" si="7"/>
        <v xml:space="preserve"> </v>
      </c>
      <c r="AC38" s="124" t="str">
        <f t="shared" si="8"/>
        <v xml:space="preserve"> </v>
      </c>
      <c r="AD38" s="124" t="str">
        <f t="shared" si="9"/>
        <v xml:space="preserve"> </v>
      </c>
      <c r="AE38" s="72"/>
      <c r="AF38" s="72"/>
      <c r="AG38" s="194" t="str">
        <f>IF(ISERROR(Z38*100000000/'Calc-Units'!$E$21)," ",Z38*100000000/'Calc-Units'!$E$21)</f>
        <v xml:space="preserve"> </v>
      </c>
      <c r="AH38" s="194" t="str">
        <f>IF(ISERROR(AA38*100000000/'Calc-Units'!$D$21)," ",AA38*100000000/'Calc-Units'!$D$21)</f>
        <v xml:space="preserve"> </v>
      </c>
      <c r="AI38" s="194" t="str">
        <f>IF(ISERROR(AB38*100000000/'Calc-Units'!$C$21)," ",AB38*100000000/'Calc-Units'!$C$21)</f>
        <v xml:space="preserve"> </v>
      </c>
      <c r="AJ38" s="195" t="str">
        <f>IF(ISERROR(AC38*100000000/'Calc-Units'!$C$21)," ",AC38*100000000/'Calc-Units'!$C$21)</f>
        <v xml:space="preserve"> </v>
      </c>
      <c r="AK38" s="74"/>
      <c r="AL38" s="82">
        <v>0</v>
      </c>
      <c r="AM38" s="106">
        <f t="shared" si="10"/>
        <v>0</v>
      </c>
      <c r="AN38" s="69">
        <f t="shared" si="11"/>
        <v>-11.484694370000085</v>
      </c>
      <c r="AO38" s="68"/>
      <c r="AP38" s="68"/>
      <c r="AQ38" s="127" t="str">
        <f t="shared" si="12"/>
        <v xml:space="preserve"> </v>
      </c>
      <c r="AR38" s="127" t="str">
        <f t="shared" si="13"/>
        <v xml:space="preserve"> </v>
      </c>
      <c r="AS38" s="127" t="str">
        <f t="shared" si="14"/>
        <v xml:space="preserve"> </v>
      </c>
      <c r="AT38" s="124" t="str">
        <f t="shared" si="15"/>
        <v xml:space="preserve"> </v>
      </c>
      <c r="AU38" s="124" t="str">
        <f t="shared" si="16"/>
        <v xml:space="preserve"> </v>
      </c>
      <c r="AV38" s="72"/>
      <c r="AW38" s="74"/>
      <c r="AX38" s="194" t="str">
        <f>IF(ISERROR(AQ38*100000000/'Calc-Units'!$E$21)," ",AQ38*100000000/'Calc-Units'!$E$21)</f>
        <v xml:space="preserve"> </v>
      </c>
      <c r="AY38" s="194" t="str">
        <f>IF(ISERROR(AR38*100000000/'Calc-Units'!$D$21)," ",AR38*100000000/'Calc-Units'!$D$21)</f>
        <v xml:space="preserve"> </v>
      </c>
      <c r="AZ38" s="194" t="str">
        <f>IF(ISERROR(AS38*100000000/'Calc-Units'!$C$21)," ",AS38*100000000/'Calc-Units'!$C$21)</f>
        <v xml:space="preserve"> </v>
      </c>
      <c r="BA38" s="195" t="str">
        <f>IF(ISERROR(AT38*100000000/'Calc-Units'!$C$21)," ",AT38*100000000/'Calc-Units'!$C$21)</f>
        <v xml:space="preserve"> </v>
      </c>
      <c r="BC38" s="66"/>
      <c r="BD38" s="66"/>
    </row>
    <row r="39" spans="1:56" s="65" customFormat="1" ht="25.5">
      <c r="A39" s="105"/>
      <c r="B39" s="220"/>
      <c r="C39" s="105" t="s">
        <v>659</v>
      </c>
      <c r="D39" s="112">
        <f>SUM(D6:D38)</f>
        <v>240.7</v>
      </c>
      <c r="E39" s="112">
        <f>SUM(E6:E38)</f>
        <v>21.693330133479439</v>
      </c>
      <c r="F39" s="112">
        <f>SUM(F6:F38)</f>
        <v>24.419896112868507</v>
      </c>
      <c r="G39" s="112">
        <f>SUM(G6:G38)</f>
        <v>8.1000000000000014</v>
      </c>
      <c r="H39" s="112">
        <f>SUM(H6:H38)</f>
        <v>16.89591640814843</v>
      </c>
      <c r="I39" s="112">
        <f t="shared" si="0"/>
        <v>169.59085734550362</v>
      </c>
      <c r="J39" s="72"/>
      <c r="K39" s="129"/>
      <c r="L39" s="129"/>
      <c r="M39" s="129"/>
      <c r="N39" s="129"/>
      <c r="O39" s="129"/>
      <c r="P39" s="129"/>
      <c r="Q39" s="129"/>
      <c r="R39" s="1364" t="s">
        <v>246</v>
      </c>
      <c r="S39" s="113">
        <f>SUM(S6:S38)</f>
        <v>11.089476621105231</v>
      </c>
      <c r="T39" s="113">
        <f>SUM(T6:T38)</f>
        <v>14.021073016640447</v>
      </c>
      <c r="U39" s="113">
        <f>SUM(U6:U38)</f>
        <v>3.9238972626219355</v>
      </c>
      <c r="V39" s="113">
        <f>SUM(V6:V38)</f>
        <v>15.914945036593165</v>
      </c>
      <c r="W39" s="112"/>
      <c r="X39" s="1260"/>
      <c r="Y39" s="1265" t="s">
        <v>679</v>
      </c>
      <c r="Z39" s="2215">
        <f>SUM(Z40:AD40)</f>
        <v>124.80000000000001</v>
      </c>
      <c r="AA39" s="2216"/>
      <c r="AB39" s="2216"/>
      <c r="AC39" s="2217"/>
      <c r="AD39" s="1268"/>
      <c r="AE39" s="1266"/>
      <c r="AF39" s="1270" t="s">
        <v>679</v>
      </c>
      <c r="AG39" s="2212">
        <f>SUM(AG40:AJ40)</f>
        <v>0.83044208888912197</v>
      </c>
      <c r="AH39" s="2213"/>
      <c r="AI39" s="2213"/>
      <c r="AJ39" s="2214"/>
      <c r="AK39" s="74"/>
      <c r="AL39" s="1274" t="s">
        <v>246</v>
      </c>
      <c r="AM39" s="112">
        <f>SUM(AM6:AM38)</f>
        <v>92.579170000000033</v>
      </c>
      <c r="AN39" s="1275">
        <f>SUM(AN6:AN38)</f>
        <v>148.1208299999999</v>
      </c>
      <c r="AO39" s="140"/>
      <c r="AP39" s="1265" t="s">
        <v>679</v>
      </c>
      <c r="AQ39" s="2212">
        <f>SUM(AQ40:AU40)</f>
        <v>49.253760000000007</v>
      </c>
      <c r="AR39" s="2221"/>
      <c r="AS39" s="2221"/>
      <c r="AT39" s="2221"/>
      <c r="AU39" s="2222"/>
      <c r="AV39" s="141"/>
      <c r="AW39" s="1270" t="s">
        <v>679</v>
      </c>
      <c r="AX39" s="1365">
        <f>SUM(AX40:BA40)</f>
        <v>0.32066501856265328</v>
      </c>
      <c r="AY39" s="1365"/>
      <c r="AZ39" s="1365"/>
      <c r="BA39" s="1365"/>
      <c r="BC39" s="66"/>
      <c r="BD39" s="66"/>
    </row>
    <row r="40" spans="1:56" s="1255" customFormat="1" ht="20.25" customHeight="1">
      <c r="A40" s="1373"/>
      <c r="B40" s="1374"/>
      <c r="C40" s="1375"/>
      <c r="D40" s="1376"/>
      <c r="E40" s="1376"/>
      <c r="F40" s="1376"/>
      <c r="G40" s="1376"/>
      <c r="H40" s="1376"/>
      <c r="I40" s="1376"/>
      <c r="J40" s="1266"/>
      <c r="K40" s="1377"/>
      <c r="L40" s="1377"/>
      <c r="M40" s="1377"/>
      <c r="N40" s="1377"/>
      <c r="O40" s="1377"/>
      <c r="P40" s="1377"/>
      <c r="Q40" s="1377"/>
      <c r="R40" s="1378"/>
      <c r="S40" s="1379"/>
      <c r="T40" s="1379"/>
      <c r="U40" s="1379"/>
      <c r="V40" s="1379"/>
      <c r="W40" s="1266"/>
      <c r="X40" s="1266"/>
      <c r="Y40" s="1270" t="s">
        <v>680</v>
      </c>
      <c r="Z40" s="1380">
        <f>SUM(Z6:Z38)</f>
        <v>32.782806754584669</v>
      </c>
      <c r="AA40" s="1380">
        <f>SUM(AA6:AA38)</f>
        <v>38.440969129508957</v>
      </c>
      <c r="AB40" s="1380">
        <f>SUM(AB6:AB38)</f>
        <v>12.023897262621933</v>
      </c>
      <c r="AC40" s="1380">
        <f>SUM(AC6:AC38)</f>
        <v>26.820732867181473</v>
      </c>
      <c r="AD40" s="1380">
        <f>SUM(AD6:AD38)</f>
        <v>14.731593986102972</v>
      </c>
      <c r="AE40" s="1266"/>
      <c r="AF40" s="1270" t="s">
        <v>680</v>
      </c>
      <c r="AG40" s="1365">
        <f>SUM(AG6:AG38)</f>
        <v>0.2177148091189654</v>
      </c>
      <c r="AH40" s="1365">
        <f>SUM(AH6:AH38)</f>
        <v>0.26389751674260697</v>
      </c>
      <c r="AI40" s="1365">
        <f>SUM(AI6:AI38)</f>
        <v>0.10797614029976192</v>
      </c>
      <c r="AJ40" s="1365">
        <f>SUM(AJ6:AJ38)</f>
        <v>0.24085362272778771</v>
      </c>
      <c r="AK40" s="1381"/>
      <c r="AL40" s="1382"/>
      <c r="AM40" s="1382"/>
      <c r="AN40" s="1382"/>
      <c r="AO40" s="1376"/>
      <c r="AP40" s="1270" t="s">
        <v>680</v>
      </c>
      <c r="AQ40" s="1365">
        <f>SUM(AQ6:AQ38)</f>
        <v>8.9728434739354341</v>
      </c>
      <c r="AR40" s="1365">
        <f>SUM(AR6:AR38)</f>
        <v>12.112242307675322</v>
      </c>
      <c r="AS40" s="1365">
        <f>SUM(AS6:AS38)</f>
        <v>4.6008479981634585</v>
      </c>
      <c r="AT40" s="1366">
        <f>SUM(AT6:AT38)</f>
        <v>15.212297822567482</v>
      </c>
      <c r="AU40" s="1365">
        <f>SUM(AU6:AU38)</f>
        <v>8.3555283976583095</v>
      </c>
      <c r="AV40" s="1368"/>
      <c r="AW40" s="1270" t="s">
        <v>680</v>
      </c>
      <c r="AX40" s="1367">
        <f>SUM(AX6:AX38)</f>
        <v>5.9589800190278326E-2</v>
      </c>
      <c r="AY40" s="1367">
        <f>SUM(AY6:AY38)</f>
        <v>8.3150626520666224E-2</v>
      </c>
      <c r="AZ40" s="1367">
        <f>SUM(AZ6:AZ38)</f>
        <v>4.1316205394726406E-2</v>
      </c>
      <c r="BA40" s="1367">
        <f>SUM(BA6:BA38)</f>
        <v>0.13660838645698234</v>
      </c>
      <c r="BC40" s="1250"/>
      <c r="BD40" s="1250"/>
    </row>
    <row r="41" spans="1:56" s="65" customFormat="1" ht="20.25" customHeight="1">
      <c r="A41" s="99"/>
      <c r="B41" s="128"/>
      <c r="C41" s="128"/>
      <c r="D41" s="129"/>
      <c r="E41" s="129"/>
      <c r="F41" s="129"/>
      <c r="G41" s="129"/>
      <c r="H41" s="129"/>
      <c r="I41" s="129"/>
      <c r="J41" s="72"/>
      <c r="K41" s="68"/>
      <c r="L41" s="132"/>
      <c r="M41" s="68"/>
      <c r="N41" s="68"/>
      <c r="O41" s="68"/>
      <c r="P41" s="68"/>
      <c r="Q41" s="68"/>
      <c r="R41" s="70"/>
      <c r="S41" s="72"/>
      <c r="T41" s="72"/>
      <c r="U41" s="72"/>
      <c r="V41" s="72"/>
      <c r="W41" s="72"/>
      <c r="X41" s="72"/>
      <c r="Y41" s="133" t="s">
        <v>681</v>
      </c>
      <c r="Z41" s="131">
        <f>Z40/$Z$39</f>
        <v>0.2626827464309669</v>
      </c>
      <c r="AA41" s="131">
        <f>AA40/$Z$39</f>
        <v>0.30802058597362941</v>
      </c>
      <c r="AB41" s="131">
        <f>AB40/$Z$39</f>
        <v>9.6345330629983433E-2</v>
      </c>
      <c r="AC41" s="131">
        <f>AC40/$Z$39</f>
        <v>0.21490971848703103</v>
      </c>
      <c r="AD41" s="131">
        <f>AD40/$Z$39</f>
        <v>0.11804161847838919</v>
      </c>
      <c r="AE41" s="72"/>
      <c r="AF41" s="133" t="s">
        <v>681</v>
      </c>
      <c r="AG41" s="131">
        <f>AG40/$AG$39</f>
        <v>0.2621673588464204</v>
      </c>
      <c r="AH41" s="131">
        <f>AH40/$AG$39</f>
        <v>0.31777955413558251</v>
      </c>
      <c r="AI41" s="131">
        <f>AI40/$AG$39</f>
        <v>0.13002248048891771</v>
      </c>
      <c r="AJ41" s="131">
        <f>AJ40/$AG$39</f>
        <v>0.29003060652907942</v>
      </c>
      <c r="AK41" s="74"/>
      <c r="AL41" s="129"/>
      <c r="AM41" s="129"/>
      <c r="AN41" s="129"/>
      <c r="AO41" s="129"/>
      <c r="AP41" s="1270" t="s">
        <v>681</v>
      </c>
      <c r="AQ41" s="1369">
        <f>AQ40/$AQ$39</f>
        <v>0.18217580696246202</v>
      </c>
      <c r="AR41" s="1369">
        <f>AR40/$AQ$39</f>
        <v>0.24591507953251326</v>
      </c>
      <c r="AS41" s="1369">
        <f>AS40/$AQ$39</f>
        <v>9.3411101978071481E-2</v>
      </c>
      <c r="AT41" s="1370">
        <f>AT40/$AQ$39</f>
        <v>0.30885556397252678</v>
      </c>
      <c r="AU41" s="1371">
        <f>AU40/$AQ$39</f>
        <v>0.16964244755442648</v>
      </c>
      <c r="AV41" s="1372"/>
      <c r="AW41" s="1270" t="s">
        <v>681</v>
      </c>
      <c r="AX41" s="1371">
        <f>AX40/$AX$39</f>
        <v>0.18583193282941571</v>
      </c>
      <c r="AY41" s="1371">
        <f>AY40/$AX$39</f>
        <v>0.25930682084806139</v>
      </c>
      <c r="AZ41" s="1371">
        <f>AZ40/$AX$39</f>
        <v>0.12884537758412778</v>
      </c>
      <c r="BA41" s="1371">
        <f>BA40/$AX$39</f>
        <v>0.42601586873839514</v>
      </c>
      <c r="BC41" s="66"/>
      <c r="BD41" s="66"/>
    </row>
    <row r="42" spans="1:56" s="85" customFormat="1">
      <c r="A42" s="2223"/>
      <c r="B42" s="2223"/>
      <c r="C42" s="87"/>
      <c r="D42" s="86"/>
      <c r="I42" s="90"/>
      <c r="J42" s="89"/>
      <c r="K42" s="115" t="s">
        <v>894</v>
      </c>
      <c r="L42" s="115">
        <v>6</v>
      </c>
      <c r="M42" s="115">
        <v>5</v>
      </c>
      <c r="N42" s="115">
        <v>4</v>
      </c>
      <c r="O42" s="115">
        <v>3</v>
      </c>
      <c r="P42" s="115">
        <v>2</v>
      </c>
      <c r="Q42" s="115"/>
      <c r="R42" s="91"/>
      <c r="S42" s="90"/>
      <c r="T42" s="90"/>
      <c r="U42" s="90"/>
      <c r="V42" s="90"/>
      <c r="W42" s="90"/>
      <c r="X42" s="90"/>
      <c r="Y42" s="1261"/>
      <c r="Z42" s="1262"/>
      <c r="AA42" s="1262"/>
      <c r="AB42" s="1262"/>
      <c r="AC42" s="1262"/>
      <c r="AD42" s="90"/>
      <c r="AE42" s="90"/>
      <c r="AF42" s="90"/>
      <c r="AG42" s="92"/>
      <c r="AH42" s="92"/>
      <c r="AI42" s="92"/>
      <c r="AJ42" s="92"/>
      <c r="AK42" s="92"/>
      <c r="AL42" s="88"/>
      <c r="AM42" s="89"/>
      <c r="AN42" s="89"/>
      <c r="AO42" s="89"/>
      <c r="AP42" s="89"/>
      <c r="AQ42" s="90" t="s">
        <v>523</v>
      </c>
      <c r="AR42" s="90"/>
      <c r="AS42" s="90"/>
      <c r="AT42" s="90"/>
      <c r="AU42" s="90"/>
      <c r="AV42" s="90"/>
      <c r="AW42" s="92"/>
      <c r="AX42" s="92"/>
      <c r="AY42" s="92"/>
      <c r="AZ42" s="92"/>
      <c r="BA42" s="92"/>
    </row>
    <row r="43" spans="1:56" s="85" customFormat="1">
      <c r="A43" s="2223"/>
      <c r="B43" s="2223"/>
      <c r="C43" s="87"/>
      <c r="D43" s="93"/>
      <c r="I43" s="90"/>
      <c r="J43" s="89"/>
      <c r="L43" s="91"/>
      <c r="M43" s="91"/>
      <c r="N43" s="91"/>
      <c r="O43" s="91"/>
      <c r="P43" s="91"/>
      <c r="Q43" s="91"/>
      <c r="R43" s="91"/>
      <c r="S43" s="90"/>
      <c r="T43" s="90"/>
      <c r="U43" s="90"/>
      <c r="V43" s="90"/>
      <c r="W43" s="90"/>
      <c r="X43" s="90"/>
      <c r="Y43" s="1263"/>
      <c r="Z43" s="1264"/>
      <c r="AA43" s="1264"/>
      <c r="AB43" s="1264"/>
      <c r="AC43" s="1264"/>
      <c r="AD43" s="90"/>
      <c r="AE43" s="90"/>
      <c r="AF43" s="90"/>
      <c r="AG43" s="92"/>
      <c r="AH43" s="92"/>
      <c r="AI43" s="92"/>
      <c r="AJ43" s="92"/>
      <c r="AK43" s="92"/>
      <c r="AL43" s="88"/>
      <c r="AM43" s="89"/>
      <c r="AN43" s="89"/>
      <c r="AO43" s="89"/>
      <c r="AP43" s="89"/>
      <c r="AQ43" s="90"/>
      <c r="AR43" s="90"/>
      <c r="AS43" s="90"/>
      <c r="AT43" s="90"/>
      <c r="AU43" s="90"/>
      <c r="AV43" s="90"/>
      <c r="AW43" s="92"/>
      <c r="AX43" s="92"/>
      <c r="AY43" s="92"/>
      <c r="AZ43" s="92"/>
      <c r="BA43" s="92"/>
    </row>
    <row r="44" spans="1:56" s="85" customFormat="1">
      <c r="A44" s="2223"/>
      <c r="B44" s="2223"/>
      <c r="C44" s="87"/>
      <c r="D44" s="86"/>
      <c r="I44" s="90"/>
      <c r="J44" s="89"/>
      <c r="L44" s="91"/>
      <c r="M44" s="91"/>
      <c r="N44" s="91"/>
      <c r="O44" s="91"/>
      <c r="P44" s="91"/>
      <c r="Q44" s="91"/>
      <c r="R44" s="91"/>
      <c r="S44" s="90"/>
      <c r="T44" s="90"/>
      <c r="U44" s="90"/>
      <c r="V44" s="90"/>
      <c r="W44" s="90"/>
      <c r="X44" s="90"/>
      <c r="Y44" s="241" t="s">
        <v>841</v>
      </c>
      <c r="Z44" s="241"/>
      <c r="AA44" s="241"/>
      <c r="AB44" s="241"/>
      <c r="AC44" s="241"/>
      <c r="AD44" s="242"/>
      <c r="AE44" s="242"/>
      <c r="AF44" s="90"/>
      <c r="AG44" s="92"/>
      <c r="AH44" s="92"/>
      <c r="AI44" s="92"/>
      <c r="AJ44" s="92"/>
      <c r="AK44" s="92"/>
      <c r="AL44" s="88"/>
      <c r="AM44" s="89"/>
      <c r="AN44" s="89"/>
      <c r="AO44" s="89"/>
      <c r="AP44" s="89"/>
      <c r="AQ44" s="90"/>
      <c r="AR44" s="90"/>
      <c r="AS44" s="90"/>
      <c r="AT44" s="90"/>
      <c r="AU44" s="90"/>
      <c r="AV44" s="90"/>
      <c r="AW44" s="92"/>
      <c r="AX44" s="92"/>
      <c r="AY44" s="92"/>
      <c r="AZ44" s="92"/>
      <c r="BA44" s="92"/>
    </row>
    <row r="45" spans="1:56" s="85" customFormat="1">
      <c r="A45" s="2223"/>
      <c r="B45" s="2223"/>
      <c r="C45" s="87"/>
      <c r="D45" s="86"/>
      <c r="I45" s="90"/>
      <c r="J45" s="89"/>
      <c r="L45" s="91"/>
      <c r="M45" s="91"/>
      <c r="N45" s="91"/>
      <c r="O45" s="91"/>
      <c r="P45" s="91"/>
      <c r="Q45" s="91"/>
      <c r="R45" s="91"/>
      <c r="S45" s="90"/>
      <c r="T45" s="90"/>
      <c r="U45" s="90"/>
      <c r="V45" s="90"/>
      <c r="W45" s="90"/>
      <c r="X45" s="90"/>
      <c r="Y45" s="241"/>
      <c r="Z45" s="241"/>
      <c r="AA45" s="241"/>
      <c r="AB45" s="241"/>
      <c r="AC45" s="241"/>
      <c r="AD45" s="242"/>
      <c r="AE45" s="242"/>
      <c r="AF45" s="90"/>
      <c r="AG45" s="92"/>
      <c r="AH45" s="92"/>
      <c r="AI45" s="92"/>
      <c r="AJ45" s="92"/>
      <c r="AK45" s="92"/>
      <c r="AL45" s="88"/>
      <c r="AM45" s="89"/>
      <c r="AN45" s="89"/>
      <c r="AO45" s="89"/>
      <c r="AP45" s="89"/>
      <c r="AQ45" s="90"/>
      <c r="AR45" s="90"/>
      <c r="AS45" s="90"/>
      <c r="AT45" s="90"/>
      <c r="AU45" s="90"/>
      <c r="AV45" s="90"/>
      <c r="AW45" s="92"/>
      <c r="AX45" s="92"/>
      <c r="AY45" s="92"/>
      <c r="AZ45" s="92"/>
      <c r="BA45" s="92"/>
    </row>
    <row r="46" spans="1:56" s="85" customFormat="1">
      <c r="A46" s="2223"/>
      <c r="B46" s="2223"/>
      <c r="C46" s="87"/>
      <c r="D46" s="86"/>
      <c r="I46" s="90"/>
      <c r="J46" s="89"/>
      <c r="L46" s="91"/>
      <c r="M46" s="91"/>
      <c r="N46" s="91"/>
      <c r="O46" s="91"/>
      <c r="P46" s="91"/>
      <c r="Q46" s="91"/>
      <c r="R46" s="91"/>
      <c r="S46" s="90"/>
      <c r="T46" s="90"/>
      <c r="U46" s="90"/>
      <c r="V46" s="90"/>
      <c r="W46" s="90"/>
      <c r="X46" s="90"/>
      <c r="Y46" s="209" t="s">
        <v>489</v>
      </c>
      <c r="Z46" s="210">
        <f>SUMIF(Z6:Z11,"&gt;0",Z6:Z11)+SUMIF(Z27:Z38,"&gt;0",Z27:Z38)</f>
        <v>24.892859976491437</v>
      </c>
      <c r="AA46" s="210">
        <f>SUMIF(AA6:AA11,"&gt;0",AA6:AA11)+SUMIF(AA27:AA38,"&gt;0",AA27:AA38)</f>
        <v>28.465248574535927</v>
      </c>
      <c r="AB46" s="210">
        <f>SUMIF(AB6:AB11,"&gt;0",AB6:AB11)+SUMIF(AB27:AB38,"&gt;0",AB27:AB38)</f>
        <v>9.2327889062984667</v>
      </c>
      <c r="AC46" s="210">
        <f>SUMIF(AC6:AC11,"&gt;0",AC6:AC11)+SUMIF(AC27:AC38,"&gt;0",AC27:AC38)</f>
        <v>20.403122534611498</v>
      </c>
      <c r="AD46" s="210">
        <f>SUMIF(AD6:AD11,"&gt;0",AD6:AD11)+SUMIF(AD27:AD38,"&gt;0",AD27:AD38)</f>
        <v>11.206648182100588</v>
      </c>
      <c r="AE46" s="242"/>
      <c r="AF46" s="90"/>
      <c r="AG46" s="92"/>
      <c r="AH46" s="92"/>
      <c r="AI46" s="92"/>
      <c r="AJ46" s="92"/>
      <c r="AK46" s="92"/>
      <c r="AL46" s="88"/>
      <c r="AM46" s="89"/>
      <c r="AN46" s="89"/>
      <c r="AO46" s="89"/>
      <c r="AP46" s="89"/>
      <c r="AQ46" s="90"/>
      <c r="AR46" s="90"/>
      <c r="AS46" s="90"/>
      <c r="AT46" s="90"/>
      <c r="AU46" s="90"/>
      <c r="AV46" s="90"/>
      <c r="AW46" s="92"/>
      <c r="AX46" s="92"/>
      <c r="AY46" s="92"/>
      <c r="AZ46" s="92"/>
      <c r="BA46" s="92"/>
    </row>
    <row r="47" spans="1:56" s="85" customFormat="1">
      <c r="A47" s="2223"/>
      <c r="B47" s="2223"/>
      <c r="C47" s="87"/>
      <c r="D47" s="86"/>
      <c r="E47" s="90"/>
      <c r="F47" s="90"/>
      <c r="G47" s="90"/>
      <c r="H47" s="90"/>
      <c r="I47" s="90"/>
      <c r="J47" s="89"/>
      <c r="L47" s="91"/>
      <c r="M47" s="91"/>
      <c r="N47" s="91"/>
      <c r="O47" s="91"/>
      <c r="P47" s="91"/>
      <c r="Q47" s="91"/>
      <c r="R47" s="91"/>
      <c r="S47" s="90"/>
      <c r="T47" s="90"/>
      <c r="U47" s="90"/>
      <c r="V47" s="90"/>
      <c r="W47" s="90"/>
      <c r="X47" s="90"/>
      <c r="Y47" s="211" t="s">
        <v>356</v>
      </c>
      <c r="Z47" s="212">
        <f>SUMIF(Z12:Z27,"&gt;0",Z12:Z27)</f>
        <v>7.8899467780932335</v>
      </c>
      <c r="AA47" s="212">
        <f>SUMIF(AA12:AA27,"&gt;0",AA12:AA27)</f>
        <v>9.9757205549730283</v>
      </c>
      <c r="AB47" s="212">
        <f>SUMIF(AB12:AB27,"&gt;0",AB12:AB27)</f>
        <v>2.7917765303613797</v>
      </c>
      <c r="AC47" s="212">
        <f>SUMIF(AC12:AC27,"&gt;0",AC12:AC27)</f>
        <v>11.32317363616791</v>
      </c>
      <c r="AD47" s="212">
        <f>SUMIF(AD12:AD27,"&gt;0",AD12:AD27)</f>
        <v>6.2193825004044472</v>
      </c>
      <c r="AE47" s="242"/>
      <c r="AF47" s="90"/>
      <c r="AG47" s="92"/>
      <c r="AH47" s="92"/>
      <c r="AI47" s="92"/>
      <c r="AJ47" s="92"/>
      <c r="AK47" s="92"/>
      <c r="AL47" s="88"/>
      <c r="AM47" s="89"/>
      <c r="AN47" s="89"/>
      <c r="AO47" s="89"/>
      <c r="AP47" s="89"/>
      <c r="AQ47" s="90"/>
      <c r="AR47" s="90"/>
      <c r="AS47" s="90"/>
      <c r="AT47" s="90"/>
      <c r="AU47" s="90"/>
      <c r="AV47" s="90"/>
      <c r="AW47" s="92"/>
      <c r="AX47" s="92"/>
      <c r="AY47" s="92"/>
      <c r="AZ47" s="92"/>
      <c r="BA47" s="92"/>
    </row>
    <row r="48" spans="1:56" s="85" customFormat="1">
      <c r="A48" s="2223"/>
      <c r="B48" s="2223"/>
      <c r="C48" s="87"/>
      <c r="D48" s="86"/>
      <c r="I48" s="90"/>
      <c r="J48" s="89"/>
      <c r="L48" s="91"/>
      <c r="M48" s="91"/>
      <c r="N48" s="91"/>
      <c r="O48" s="91"/>
      <c r="P48" s="91"/>
      <c r="Q48" s="91"/>
      <c r="R48" s="91"/>
      <c r="S48" s="90"/>
      <c r="T48" s="90"/>
      <c r="U48" s="90"/>
      <c r="V48" s="90"/>
      <c r="W48" s="90"/>
      <c r="X48" s="90"/>
      <c r="Y48" s="211" t="s">
        <v>842</v>
      </c>
      <c r="Z48" s="213">
        <f>Z46/(Z47+Z46)</f>
        <v>0.75932668495537448</v>
      </c>
      <c r="AA48" s="214">
        <f>AA46/(AA47+AA46)</f>
        <v>0.74049248026592462</v>
      </c>
      <c r="AB48" s="214">
        <f>AB46/(AB47+AB46)</f>
        <v>0.7678272412365138</v>
      </c>
      <c r="AC48" s="243">
        <f>AC46/(AC47+AC46)</f>
        <v>0.64309815506933354</v>
      </c>
      <c r="AD48" s="243">
        <f>AD46/(AD47+AD46)</f>
        <v>0.64309815506933354</v>
      </c>
      <c r="AE48" s="1091"/>
      <c r="AF48" s="90"/>
      <c r="AG48" s="92"/>
      <c r="AH48" s="92"/>
      <c r="AI48" s="92"/>
      <c r="AJ48" s="92"/>
      <c r="AK48" s="92"/>
      <c r="AL48" s="88"/>
      <c r="AM48" s="89"/>
      <c r="AN48" s="89"/>
      <c r="AO48" s="89"/>
      <c r="AP48" s="89"/>
      <c r="AQ48" s="90"/>
      <c r="AR48" s="90"/>
      <c r="AS48" s="90"/>
      <c r="AT48" s="90"/>
      <c r="AU48" s="90"/>
      <c r="AV48" s="90"/>
      <c r="AW48" s="92"/>
      <c r="AX48" s="92"/>
      <c r="AY48" s="92"/>
      <c r="AZ48" s="92"/>
      <c r="BA48" s="92"/>
    </row>
    <row r="49" spans="1:53" s="85" customFormat="1">
      <c r="A49" s="2223"/>
      <c r="B49" s="2223"/>
      <c r="C49" s="87"/>
      <c r="D49" s="86"/>
      <c r="I49" s="90"/>
      <c r="J49" s="89"/>
      <c r="L49" s="91"/>
      <c r="M49" s="91"/>
      <c r="N49" s="91"/>
      <c r="O49" s="91"/>
      <c r="P49" s="91"/>
      <c r="Q49" s="91"/>
      <c r="R49" s="91"/>
      <c r="S49" s="90"/>
      <c r="T49" s="90"/>
      <c r="U49" s="90"/>
      <c r="V49" s="90"/>
      <c r="W49" s="90"/>
      <c r="X49" s="90"/>
      <c r="Y49" s="215" t="s">
        <v>357</v>
      </c>
      <c r="Z49" s="216">
        <f>Z47/(Z46+Z47)</f>
        <v>0.24067331504462552</v>
      </c>
      <c r="AA49" s="217">
        <f>AA47/(AA46+AA47)</f>
        <v>0.25950751973407538</v>
      </c>
      <c r="AB49" s="217">
        <f>AB47/(AB46+AB47)</f>
        <v>0.23217275876348611</v>
      </c>
      <c r="AC49" s="217">
        <f>AC47/(AC46+AC47)</f>
        <v>0.35690184493066651</v>
      </c>
      <c r="AD49" s="217">
        <f>AD47/(AD46+AD47)</f>
        <v>0.3569018449306664</v>
      </c>
      <c r="AE49" s="1091"/>
      <c r="AF49" s="90"/>
      <c r="AG49" s="92"/>
      <c r="AH49" s="92"/>
      <c r="AI49" s="92"/>
      <c r="AJ49" s="92"/>
      <c r="AK49" s="92"/>
      <c r="AL49" s="88"/>
      <c r="AM49" s="89"/>
      <c r="AN49" s="89"/>
      <c r="AO49" s="89"/>
      <c r="AP49" s="89"/>
      <c r="AQ49" s="90"/>
      <c r="AR49" s="90"/>
      <c r="AS49" s="90"/>
      <c r="AT49" s="90"/>
      <c r="AU49" s="90"/>
      <c r="AV49" s="90"/>
      <c r="AW49" s="92"/>
      <c r="AX49" s="92"/>
      <c r="AY49" s="92"/>
      <c r="AZ49" s="92"/>
      <c r="BA49" s="92"/>
    </row>
    <row r="50" spans="1:53" s="85" customFormat="1">
      <c r="A50" s="2223"/>
      <c r="B50" s="2223"/>
      <c r="C50" s="87"/>
      <c r="D50" s="86"/>
      <c r="I50" s="90"/>
      <c r="J50" s="89"/>
      <c r="L50" s="91"/>
      <c r="M50" s="91"/>
      <c r="N50" s="91"/>
      <c r="O50" s="91"/>
      <c r="P50" s="91"/>
      <c r="Q50" s="91"/>
      <c r="R50" s="91"/>
      <c r="S50" s="90"/>
      <c r="T50" s="90"/>
      <c r="U50" s="90"/>
      <c r="V50" s="90"/>
      <c r="W50" s="90"/>
      <c r="X50" s="90"/>
      <c r="Y50" s="241"/>
      <c r="Z50" s="242"/>
      <c r="AA50" s="242"/>
      <c r="AB50" s="242"/>
      <c r="AC50" s="242"/>
      <c r="AD50" s="242"/>
      <c r="AE50" s="242"/>
      <c r="AF50" s="90"/>
      <c r="AG50" s="92"/>
      <c r="AH50" s="92"/>
      <c r="AI50" s="92"/>
      <c r="AJ50" s="92"/>
      <c r="AK50" s="92"/>
      <c r="AL50" s="88"/>
      <c r="AM50" s="89"/>
      <c r="AN50" s="89"/>
      <c r="AO50" s="89"/>
      <c r="AP50" s="89"/>
      <c r="AQ50" s="90"/>
      <c r="AR50" s="90"/>
      <c r="AS50" s="90"/>
      <c r="AT50" s="90"/>
      <c r="AU50" s="90"/>
      <c r="AV50" s="90"/>
      <c r="AW50" s="92"/>
      <c r="AX50" s="92"/>
      <c r="AY50" s="92"/>
      <c r="AZ50" s="92"/>
      <c r="BA50" s="92"/>
    </row>
    <row r="51" spans="1:53" s="85" customFormat="1">
      <c r="A51" s="2223"/>
      <c r="B51" s="2223"/>
      <c r="C51" s="87"/>
      <c r="D51" s="86"/>
      <c r="I51" s="90"/>
      <c r="J51" s="89"/>
      <c r="L51" s="91"/>
      <c r="M51" s="91"/>
      <c r="N51" s="91"/>
      <c r="O51" s="91"/>
      <c r="P51" s="91"/>
      <c r="Q51" s="91"/>
      <c r="R51" s="91"/>
      <c r="S51" s="90"/>
      <c r="T51" s="90"/>
      <c r="U51" s="90"/>
      <c r="V51" s="90"/>
      <c r="W51" s="90"/>
      <c r="X51" s="90"/>
      <c r="Z51" s="90"/>
      <c r="AA51" s="90"/>
      <c r="AB51" s="90"/>
      <c r="AC51" s="90"/>
      <c r="AD51" s="90"/>
      <c r="AE51" s="90"/>
      <c r="AF51" s="90"/>
      <c r="AG51" s="92"/>
      <c r="AH51" s="92"/>
      <c r="AI51" s="92"/>
      <c r="AJ51" s="92"/>
      <c r="AK51" s="92"/>
      <c r="AL51" s="88"/>
      <c r="AM51" s="89"/>
      <c r="AN51" s="89"/>
      <c r="AO51" s="89"/>
      <c r="AP51" s="89"/>
      <c r="AQ51" s="90"/>
      <c r="AR51" s="90"/>
      <c r="AS51" s="90"/>
      <c r="AT51" s="90"/>
      <c r="AU51" s="90"/>
      <c r="AV51" s="90"/>
      <c r="AW51" s="92"/>
      <c r="AX51" s="92"/>
      <c r="AY51" s="92"/>
      <c r="AZ51" s="92"/>
      <c r="BA51" s="92"/>
    </row>
    <row r="52" spans="1:53" s="85" customFormat="1">
      <c r="A52" s="2223"/>
      <c r="B52" s="2223"/>
      <c r="C52" s="87"/>
      <c r="D52" s="86"/>
      <c r="I52" s="90"/>
      <c r="J52" s="89"/>
      <c r="L52" s="91"/>
      <c r="M52" s="91"/>
      <c r="N52" s="91"/>
      <c r="O52" s="91"/>
      <c r="P52" s="91"/>
      <c r="Q52" s="91"/>
      <c r="R52" s="91"/>
      <c r="S52" s="90"/>
      <c r="T52" s="90"/>
      <c r="U52" s="90"/>
      <c r="V52" s="90"/>
      <c r="W52" s="90"/>
      <c r="X52" s="90"/>
      <c r="Z52" s="90"/>
      <c r="AA52" s="90"/>
      <c r="AB52" s="90"/>
      <c r="AC52" s="90"/>
      <c r="AD52" s="90"/>
      <c r="AE52" s="90"/>
      <c r="AF52" s="90"/>
      <c r="AG52" s="92"/>
      <c r="AH52" s="92"/>
      <c r="AI52" s="92"/>
      <c r="AJ52" s="92"/>
      <c r="AK52" s="92"/>
      <c r="AL52" s="88"/>
      <c r="AM52" s="89"/>
      <c r="AN52" s="89"/>
      <c r="AO52" s="89"/>
      <c r="AP52" s="89"/>
      <c r="AQ52" s="90"/>
      <c r="AR52" s="90"/>
      <c r="AS52" s="90"/>
      <c r="AT52" s="90"/>
      <c r="AU52" s="90"/>
      <c r="AV52" s="90"/>
      <c r="AW52" s="92"/>
      <c r="AX52" s="92"/>
      <c r="AY52" s="92"/>
      <c r="AZ52" s="92"/>
      <c r="BA52" s="92"/>
    </row>
    <row r="53" spans="1:53" s="85" customFormat="1">
      <c r="A53" s="2223"/>
      <c r="B53" s="2223"/>
      <c r="C53" s="87"/>
      <c r="D53" s="86"/>
      <c r="I53" s="90"/>
      <c r="J53" s="89"/>
      <c r="L53" s="91"/>
      <c r="M53" s="91"/>
      <c r="N53" s="91"/>
      <c r="O53" s="91"/>
      <c r="P53" s="91"/>
      <c r="Q53" s="91"/>
      <c r="R53" s="91"/>
      <c r="S53" s="90"/>
      <c r="T53" s="90"/>
      <c r="U53" s="90"/>
      <c r="V53" s="90"/>
      <c r="W53" s="90"/>
      <c r="X53" s="90"/>
      <c r="Z53" s="90"/>
      <c r="AA53" s="90"/>
      <c r="AB53" s="90"/>
      <c r="AC53" s="90"/>
      <c r="AD53" s="90"/>
      <c r="AE53" s="90"/>
      <c r="AF53" s="90"/>
      <c r="AG53" s="92"/>
      <c r="AH53" s="92"/>
      <c r="AI53" s="92"/>
      <c r="AJ53" s="92"/>
      <c r="AK53" s="92"/>
      <c r="AL53" s="88"/>
      <c r="AM53" s="89"/>
      <c r="AN53" s="89"/>
      <c r="AO53" s="89"/>
      <c r="AP53" s="89"/>
      <c r="AQ53" s="90"/>
      <c r="AR53" s="90"/>
      <c r="AS53" s="90"/>
      <c r="AT53" s="90"/>
      <c r="AU53" s="90"/>
      <c r="AV53" s="90"/>
      <c r="AW53" s="92"/>
      <c r="AX53" s="92"/>
      <c r="AY53" s="92"/>
      <c r="AZ53" s="92"/>
      <c r="BA53" s="92"/>
    </row>
    <row r="54" spans="1:53" s="85" customFormat="1">
      <c r="A54" s="2223"/>
      <c r="B54" s="2223"/>
      <c r="C54" s="87"/>
      <c r="D54" s="86"/>
      <c r="I54" s="90"/>
      <c r="J54" s="89"/>
      <c r="L54" s="91"/>
      <c r="M54" s="91"/>
      <c r="N54" s="91"/>
      <c r="O54" s="91"/>
      <c r="P54" s="91"/>
      <c r="Q54" s="91"/>
      <c r="R54" s="91"/>
      <c r="S54" s="90"/>
      <c r="T54" s="90"/>
      <c r="U54" s="90"/>
      <c r="V54" s="90"/>
      <c r="W54" s="90"/>
      <c r="X54" s="90"/>
      <c r="Z54" s="90"/>
      <c r="AA54" s="90"/>
      <c r="AB54" s="90"/>
      <c r="AC54" s="90"/>
      <c r="AD54" s="90"/>
      <c r="AE54" s="90"/>
      <c r="AF54" s="90"/>
      <c r="AG54" s="92"/>
      <c r="AH54" s="92"/>
      <c r="AI54" s="92"/>
      <c r="AJ54" s="92"/>
      <c r="AK54" s="92"/>
      <c r="AL54" s="88"/>
      <c r="AM54" s="89"/>
      <c r="AN54" s="89"/>
      <c r="AO54" s="89"/>
      <c r="AP54" s="89"/>
      <c r="AQ54" s="90"/>
      <c r="AR54" s="90"/>
      <c r="AS54" s="90"/>
      <c r="AT54" s="90"/>
      <c r="AU54" s="90"/>
      <c r="AV54" s="90"/>
      <c r="AW54" s="92"/>
      <c r="AX54" s="92"/>
      <c r="AY54" s="92"/>
      <c r="AZ54" s="92"/>
      <c r="BA54" s="92"/>
    </row>
    <row r="55" spans="1:53" s="85" customFormat="1">
      <c r="A55" s="2223"/>
      <c r="B55" s="2223"/>
      <c r="C55" s="87"/>
      <c r="D55" s="86"/>
      <c r="I55" s="90"/>
      <c r="J55" s="89"/>
      <c r="L55" s="91"/>
      <c r="M55" s="91"/>
      <c r="N55" s="91"/>
      <c r="O55" s="91"/>
      <c r="P55" s="91"/>
      <c r="Q55" s="91"/>
      <c r="R55" s="91"/>
      <c r="S55" s="90"/>
      <c r="T55" s="90"/>
      <c r="U55" s="90"/>
      <c r="V55" s="90"/>
      <c r="W55" s="90"/>
      <c r="X55" s="90"/>
      <c r="Z55" s="90"/>
      <c r="AA55" s="90"/>
      <c r="AB55" s="90"/>
      <c r="AC55" s="90"/>
      <c r="AD55" s="90"/>
      <c r="AE55" s="90"/>
      <c r="AF55" s="90"/>
      <c r="AG55" s="92"/>
      <c r="AH55" s="92"/>
      <c r="AI55" s="92"/>
      <c r="AJ55" s="92"/>
      <c r="AK55" s="92"/>
      <c r="AL55" s="88"/>
      <c r="AM55" s="89"/>
      <c r="AN55" s="89"/>
      <c r="AO55" s="89"/>
      <c r="AP55" s="89"/>
      <c r="AQ55" s="90"/>
      <c r="AR55" s="90"/>
      <c r="AS55" s="90"/>
      <c r="AT55" s="90"/>
      <c r="AU55" s="90"/>
      <c r="AV55" s="90"/>
      <c r="AW55" s="92"/>
      <c r="AX55" s="92"/>
      <c r="AY55" s="92"/>
      <c r="AZ55" s="92"/>
      <c r="BA55" s="92"/>
    </row>
    <row r="56" spans="1:53" s="85" customFormat="1">
      <c r="A56" s="2223"/>
      <c r="B56" s="2223"/>
      <c r="C56" s="87"/>
      <c r="D56" s="86"/>
      <c r="I56" s="90"/>
      <c r="J56" s="89"/>
      <c r="L56" s="91"/>
      <c r="M56" s="91"/>
      <c r="N56" s="91"/>
      <c r="O56" s="91"/>
      <c r="P56" s="91"/>
      <c r="Q56" s="91"/>
      <c r="R56" s="91"/>
      <c r="S56" s="90"/>
      <c r="T56" s="90"/>
      <c r="U56" s="90"/>
      <c r="V56" s="90"/>
      <c r="W56" s="90"/>
      <c r="X56" s="90"/>
      <c r="Z56" s="90"/>
      <c r="AA56" s="90"/>
      <c r="AB56" s="90"/>
      <c r="AC56" s="90"/>
      <c r="AD56" s="90"/>
      <c r="AE56" s="90"/>
      <c r="AF56" s="90"/>
      <c r="AG56" s="92"/>
      <c r="AH56" s="92"/>
      <c r="AI56" s="92"/>
      <c r="AJ56" s="92"/>
      <c r="AK56" s="92"/>
      <c r="AL56" s="88"/>
      <c r="AM56" s="89"/>
      <c r="AN56" s="89"/>
      <c r="AO56" s="89"/>
      <c r="AP56" s="89"/>
      <c r="AQ56" s="90"/>
      <c r="AR56" s="90"/>
      <c r="AS56" s="90"/>
      <c r="AT56" s="90"/>
      <c r="AU56" s="90"/>
      <c r="AV56" s="90"/>
      <c r="AW56" s="92"/>
      <c r="AX56" s="92"/>
      <c r="AY56" s="92"/>
      <c r="AZ56" s="92"/>
      <c r="BA56" s="92"/>
    </row>
    <row r="57" spans="1:53" s="85" customFormat="1">
      <c r="A57" s="2223"/>
      <c r="B57" s="2223"/>
      <c r="C57" s="87"/>
      <c r="D57" s="86"/>
      <c r="I57" s="90"/>
      <c r="J57" s="89"/>
      <c r="L57" s="91"/>
      <c r="M57" s="91"/>
      <c r="N57" s="91"/>
      <c r="O57" s="91"/>
      <c r="P57" s="91"/>
      <c r="Q57" s="91"/>
      <c r="R57" s="91"/>
      <c r="S57" s="90"/>
      <c r="T57" s="90"/>
      <c r="U57" s="90"/>
      <c r="V57" s="90"/>
      <c r="W57" s="90"/>
      <c r="X57" s="90"/>
      <c r="Z57" s="90"/>
      <c r="AA57" s="90"/>
      <c r="AB57" s="90"/>
      <c r="AC57" s="90"/>
      <c r="AD57" s="90"/>
      <c r="AE57" s="90"/>
      <c r="AF57" s="90"/>
      <c r="AG57" s="92"/>
      <c r="AH57" s="92"/>
      <c r="AI57" s="92"/>
      <c r="AJ57" s="92"/>
      <c r="AK57" s="92"/>
      <c r="AL57" s="88"/>
      <c r="AM57" s="89"/>
      <c r="AN57" s="89"/>
      <c r="AO57" s="89"/>
      <c r="AP57" s="89"/>
      <c r="AQ57" s="90"/>
      <c r="AR57" s="90"/>
      <c r="AS57" s="90"/>
      <c r="AT57" s="90"/>
      <c r="AU57" s="90"/>
      <c r="AV57" s="90"/>
      <c r="AW57" s="92"/>
      <c r="AX57" s="92"/>
      <c r="AY57" s="92"/>
      <c r="AZ57" s="92"/>
      <c r="BA57" s="92"/>
    </row>
    <row r="58" spans="1:53" s="85" customFormat="1">
      <c r="A58" s="2223"/>
      <c r="B58" s="2223"/>
      <c r="C58" s="87"/>
      <c r="D58" s="86"/>
      <c r="I58" s="90"/>
      <c r="J58" s="89"/>
      <c r="L58" s="91"/>
      <c r="M58" s="91"/>
      <c r="N58" s="91"/>
      <c r="O58" s="91"/>
      <c r="P58" s="91"/>
      <c r="Q58" s="91"/>
      <c r="R58" s="91"/>
      <c r="S58" s="90"/>
      <c r="T58" s="90"/>
      <c r="U58" s="90"/>
      <c r="V58" s="90"/>
      <c r="W58" s="90"/>
      <c r="X58" s="90"/>
      <c r="Z58" s="90"/>
      <c r="AA58" s="90"/>
      <c r="AB58" s="90"/>
      <c r="AC58" s="90"/>
      <c r="AD58" s="90"/>
      <c r="AE58" s="90"/>
      <c r="AF58" s="90"/>
      <c r="AG58" s="92"/>
      <c r="AH58" s="92"/>
      <c r="AI58" s="92"/>
      <c r="AJ58" s="92"/>
      <c r="AK58" s="92"/>
      <c r="AL58" s="88"/>
      <c r="AM58" s="89"/>
      <c r="AN58" s="89"/>
      <c r="AO58" s="89"/>
      <c r="AP58" s="89"/>
      <c r="AQ58" s="90"/>
      <c r="AR58" s="90"/>
      <c r="AS58" s="90"/>
      <c r="AT58" s="90"/>
      <c r="AU58" s="90"/>
      <c r="AV58" s="90"/>
      <c r="AW58" s="92"/>
      <c r="AX58" s="92"/>
      <c r="AY58" s="92"/>
      <c r="AZ58" s="92"/>
      <c r="BA58" s="92"/>
    </row>
    <row r="59" spans="1:53" s="85" customFormat="1">
      <c r="A59" s="2223"/>
      <c r="B59" s="2223"/>
      <c r="C59" s="87"/>
      <c r="D59" s="86"/>
      <c r="I59" s="90"/>
      <c r="J59" s="89"/>
      <c r="L59" s="91"/>
      <c r="M59" s="91"/>
      <c r="N59" s="91"/>
      <c r="O59" s="91"/>
      <c r="P59" s="91"/>
      <c r="Q59" s="91"/>
      <c r="R59" s="91"/>
      <c r="S59" s="90"/>
      <c r="T59" s="90"/>
      <c r="U59" s="90"/>
      <c r="V59" s="90"/>
      <c r="W59" s="90"/>
      <c r="X59" s="90"/>
      <c r="Z59" s="90"/>
      <c r="AA59" s="90"/>
      <c r="AB59" s="90"/>
      <c r="AC59" s="90"/>
      <c r="AD59" s="90"/>
      <c r="AE59" s="90"/>
      <c r="AF59" s="90"/>
      <c r="AG59" s="92"/>
      <c r="AH59" s="92"/>
      <c r="AI59" s="92"/>
      <c r="AJ59" s="92"/>
      <c r="AK59" s="92"/>
      <c r="AL59" s="88"/>
      <c r="AM59" s="89"/>
      <c r="AN59" s="89"/>
      <c r="AO59" s="89"/>
      <c r="AP59" s="89"/>
      <c r="AQ59" s="90"/>
      <c r="AR59" s="90"/>
      <c r="AS59" s="90"/>
      <c r="AT59" s="90"/>
      <c r="AU59" s="90"/>
      <c r="AV59" s="90"/>
      <c r="AW59" s="92"/>
      <c r="AX59" s="92"/>
      <c r="AY59" s="92"/>
      <c r="AZ59" s="92"/>
      <c r="BA59" s="92"/>
    </row>
    <row r="60" spans="1:53" s="85" customFormat="1">
      <c r="A60" s="2223"/>
      <c r="B60" s="2223"/>
      <c r="C60" s="87"/>
      <c r="D60" s="86"/>
      <c r="I60" s="90"/>
      <c r="J60" s="89"/>
      <c r="L60" s="91"/>
      <c r="M60" s="91"/>
      <c r="N60" s="91"/>
      <c r="O60" s="91"/>
      <c r="P60" s="91"/>
      <c r="Q60" s="91"/>
      <c r="R60" s="91"/>
      <c r="S60" s="90"/>
      <c r="T60" s="90"/>
      <c r="U60" s="90"/>
      <c r="V60" s="90"/>
      <c r="W60" s="90"/>
      <c r="X60" s="90"/>
      <c r="Z60" s="90"/>
      <c r="AA60" s="90"/>
      <c r="AB60" s="90"/>
      <c r="AC60" s="90"/>
      <c r="AD60" s="90"/>
      <c r="AE60" s="90"/>
      <c r="AF60" s="90"/>
      <c r="AG60" s="92"/>
      <c r="AH60" s="92"/>
      <c r="AI60" s="92"/>
      <c r="AJ60" s="92"/>
      <c r="AK60" s="92"/>
      <c r="AL60" s="88"/>
      <c r="AM60" s="89"/>
      <c r="AN60" s="89"/>
      <c r="AO60" s="89"/>
      <c r="AP60" s="89"/>
      <c r="AQ60" s="90"/>
      <c r="AR60" s="90"/>
      <c r="AS60" s="90"/>
      <c r="AT60" s="90"/>
      <c r="AU60" s="90"/>
      <c r="AV60" s="90"/>
      <c r="AW60" s="92"/>
      <c r="AX60" s="92"/>
      <c r="AY60" s="92"/>
      <c r="AZ60" s="92"/>
      <c r="BA60" s="92"/>
    </row>
    <row r="61" spans="1:53" s="85" customFormat="1">
      <c r="A61" s="2223"/>
      <c r="B61" s="2223"/>
      <c r="C61" s="87"/>
      <c r="D61" s="86"/>
      <c r="I61" s="90"/>
      <c r="J61" s="89"/>
      <c r="L61" s="91"/>
      <c r="M61" s="91"/>
      <c r="N61" s="91"/>
      <c r="O61" s="91"/>
      <c r="P61" s="91"/>
      <c r="Q61" s="91"/>
      <c r="R61" s="91"/>
      <c r="S61" s="90"/>
      <c r="T61" s="90"/>
      <c r="U61" s="90"/>
      <c r="V61" s="90"/>
      <c r="W61" s="90"/>
      <c r="X61" s="90"/>
      <c r="Z61" s="90"/>
      <c r="AA61" s="90"/>
      <c r="AB61" s="90"/>
      <c r="AC61" s="90"/>
      <c r="AD61" s="90"/>
      <c r="AE61" s="90"/>
      <c r="AF61" s="90"/>
      <c r="AG61" s="92"/>
      <c r="AH61" s="92"/>
      <c r="AI61" s="92"/>
      <c r="AJ61" s="92"/>
      <c r="AK61" s="92"/>
      <c r="AL61" s="88"/>
      <c r="AM61" s="89"/>
      <c r="AN61" s="89"/>
      <c r="AO61" s="89"/>
      <c r="AP61" s="89"/>
      <c r="AQ61" s="90"/>
      <c r="AR61" s="90"/>
      <c r="AS61" s="90"/>
      <c r="AT61" s="90"/>
      <c r="AU61" s="90"/>
      <c r="AV61" s="90"/>
      <c r="AW61" s="92"/>
      <c r="AX61" s="92"/>
      <c r="AY61" s="92"/>
      <c r="AZ61" s="92"/>
      <c r="BA61" s="92"/>
    </row>
    <row r="62" spans="1:53" s="85" customFormat="1">
      <c r="A62" s="2223"/>
      <c r="B62" s="2223"/>
      <c r="C62" s="87"/>
      <c r="D62" s="86"/>
      <c r="I62" s="90"/>
      <c r="J62" s="89"/>
      <c r="L62" s="91"/>
      <c r="M62" s="91"/>
      <c r="N62" s="91"/>
      <c r="O62" s="91"/>
      <c r="P62" s="91"/>
      <c r="Q62" s="91"/>
      <c r="R62" s="91"/>
      <c r="S62" s="90"/>
      <c r="T62" s="90"/>
      <c r="U62" s="90"/>
      <c r="V62" s="90"/>
      <c r="W62" s="90"/>
      <c r="X62" s="90"/>
      <c r="Z62" s="90"/>
      <c r="AA62" s="90"/>
      <c r="AB62" s="90"/>
      <c r="AC62" s="90"/>
      <c r="AD62" s="90"/>
      <c r="AE62" s="90"/>
      <c r="AF62" s="90"/>
      <c r="AG62" s="92"/>
      <c r="AH62" s="92"/>
      <c r="AI62" s="92"/>
      <c r="AJ62" s="92"/>
      <c r="AK62" s="92"/>
      <c r="AL62" s="88"/>
      <c r="AM62" s="89"/>
      <c r="AN62" s="89"/>
      <c r="AO62" s="89"/>
      <c r="AP62" s="89"/>
      <c r="AQ62" s="90"/>
      <c r="AR62" s="90"/>
      <c r="AS62" s="90"/>
      <c r="AT62" s="90"/>
      <c r="AU62" s="90"/>
      <c r="AV62" s="90"/>
      <c r="AW62" s="92"/>
      <c r="AX62" s="92"/>
      <c r="AY62" s="92"/>
      <c r="AZ62" s="92"/>
      <c r="BA62" s="92"/>
    </row>
  </sheetData>
  <mergeCells count="25">
    <mergeCell ref="D2:I2"/>
    <mergeCell ref="K3:P3"/>
    <mergeCell ref="K2:P2"/>
    <mergeCell ref="S3:W3"/>
    <mergeCell ref="S2:W2"/>
    <mergeCell ref="E3:I3"/>
    <mergeCell ref="AX3:BA3"/>
    <mergeCell ref="AL3:AN3"/>
    <mergeCell ref="AG2:AJ2"/>
    <mergeCell ref="AG3:AJ3"/>
    <mergeCell ref="Z3:AD3"/>
    <mergeCell ref="AQ3:AU3"/>
    <mergeCell ref="Z2:AD2"/>
    <mergeCell ref="AL2:BA2"/>
    <mergeCell ref="AG39:AJ39"/>
    <mergeCell ref="Z39:AC39"/>
    <mergeCell ref="L4:P4"/>
    <mergeCell ref="AQ39:AU39"/>
    <mergeCell ref="A42:A62"/>
    <mergeCell ref="B42:B47"/>
    <mergeCell ref="B48:B62"/>
    <mergeCell ref="E4:H4"/>
    <mergeCell ref="B6:B11"/>
    <mergeCell ref="B12:B26"/>
    <mergeCell ref="A6:A11"/>
  </mergeCells>
  <phoneticPr fontId="2"/>
  <hyperlinks>
    <hyperlink ref="A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FFFF00"/>
  </sheetPr>
  <dimension ref="A1:I35"/>
  <sheetViews>
    <sheetView showGridLines="0" zoomScaleNormal="75" zoomScalePageLayoutView="75" workbookViewId="0"/>
  </sheetViews>
  <sheetFormatPr defaultColWidth="8.85546875" defaultRowHeight="12.75"/>
  <cols>
    <col min="1" max="1" width="8.85546875" customWidth="1"/>
    <col min="2" max="2" width="19.42578125" customWidth="1"/>
    <col min="3" max="8" width="12.140625" customWidth="1"/>
    <col min="9" max="9" width="43" customWidth="1"/>
    <col min="10" max="10" width="9.28515625" bestFit="1" customWidth="1"/>
  </cols>
  <sheetData>
    <row r="1" spans="1:9" s="8" customFormat="1"/>
    <row r="4" spans="1:9" ht="14.25" customHeight="1"/>
    <row r="5" spans="1:9" ht="14.25" customHeight="1"/>
    <row r="6" spans="1:9" ht="14.25" customHeight="1"/>
    <row r="7" spans="1:9" ht="14.25" customHeight="1"/>
    <row r="8" spans="1:9" ht="14.25" customHeight="1"/>
    <row r="9" spans="1:9" ht="14.25" customHeight="1"/>
    <row r="10" spans="1:9" ht="14.25" customHeight="1"/>
    <row r="11" spans="1:9" ht="14.25" customHeight="1"/>
    <row r="12" spans="1:9" ht="14.25" customHeight="1"/>
    <row r="14" spans="1:9" s="8" customFormat="1">
      <c r="A14" s="8" t="s">
        <v>463</v>
      </c>
    </row>
    <row r="16" spans="1:9">
      <c r="B16" s="1279" t="s">
        <v>897</v>
      </c>
      <c r="C16" s="1279" t="s">
        <v>885</v>
      </c>
      <c r="D16" s="1279" t="s">
        <v>625</v>
      </c>
      <c r="E16" s="1279" t="s">
        <v>374</v>
      </c>
      <c r="F16" s="1279" t="s">
        <v>239</v>
      </c>
      <c r="G16" s="1279" t="s">
        <v>245</v>
      </c>
      <c r="H16" s="1279" t="s">
        <v>246</v>
      </c>
      <c r="I16" s="1281" t="s">
        <v>479</v>
      </c>
    </row>
    <row r="17" spans="2:9" ht="15" customHeight="1">
      <c r="B17" s="1282" t="s">
        <v>406</v>
      </c>
      <c r="C17" s="15">
        <f>'Calc-Net capex'!H6*SUM('FBPQ NL1'!D10:M13)/SUM('FBPQ NL1'!D10:M16)</f>
        <v>7.6340656454939024E-2</v>
      </c>
      <c r="D17" s="15">
        <f>'Calc-Net capex'!H6*SUM('FBPQ NL1'!D14:M16)/SUM('FBPQ NL1'!D10:M16)</f>
        <v>0.19888141868413606</v>
      </c>
      <c r="E17" s="15">
        <f>'Calc-Net capex'!H7</f>
        <v>8.1508635018859868E-2</v>
      </c>
      <c r="F17" s="15">
        <f>'Calc-Net capex'!H8</f>
        <v>0.30767642895498798</v>
      </c>
      <c r="G17" s="61">
        <f>'Calc-Net capex'!H9+'Calc-Net capex'!H10</f>
        <v>0.33559286088707718</v>
      </c>
      <c r="H17" s="61"/>
      <c r="I17" s="28" t="s">
        <v>376</v>
      </c>
    </row>
    <row r="18" spans="2:9" ht="15" customHeight="1">
      <c r="B18" s="1282" t="s">
        <v>911</v>
      </c>
      <c r="C18" s="17">
        <v>1</v>
      </c>
      <c r="D18" s="17">
        <v>0</v>
      </c>
      <c r="E18" s="17">
        <v>0</v>
      </c>
      <c r="F18" s="17">
        <v>0</v>
      </c>
      <c r="G18" s="62">
        <v>0</v>
      </c>
      <c r="H18" s="62">
        <f t="shared" ref="H18:H27" si="0">SUM(C18:G18)</f>
        <v>1</v>
      </c>
      <c r="I18" s="1280" t="s">
        <v>483</v>
      </c>
    </row>
    <row r="19" spans="2:9" ht="15" customHeight="1">
      <c r="B19" s="1282" t="s">
        <v>478</v>
      </c>
      <c r="C19" s="16"/>
      <c r="D19" s="16">
        <f>'RRP 5.1'!$G$64/'RRP 5.1'!$G$65</f>
        <v>0.42747977589579977</v>
      </c>
      <c r="E19" s="16">
        <v>0</v>
      </c>
      <c r="F19" s="16">
        <f>'RRP 5.1'!$G$63/'RRP 5.1'!$G$65</f>
        <v>0.4651311665535936</v>
      </c>
      <c r="G19" s="63">
        <f>('RRP 5.1'!$G$61+'RRP 5.1'!$G$62)/'RRP 5.1'!$G$65</f>
        <v>0.10738905755060671</v>
      </c>
      <c r="H19" s="63">
        <f t="shared" si="0"/>
        <v>1</v>
      </c>
      <c r="I19" s="1280" t="s">
        <v>480</v>
      </c>
    </row>
    <row r="20" spans="2:9" ht="15" customHeight="1">
      <c r="B20" s="1282" t="s">
        <v>912</v>
      </c>
      <c r="C20" s="16"/>
      <c r="D20" s="16">
        <f>0/'RRP 5.1'!$G$73</f>
        <v>0</v>
      </c>
      <c r="E20" s="16">
        <v>0</v>
      </c>
      <c r="F20" s="16">
        <f>('RRP 5.1'!$G$71+'RRP 5.1'!$G$72)/'RRP 5.1'!$G$73</f>
        <v>0.99260036008942876</v>
      </c>
      <c r="G20" s="63">
        <f>('RRP 5.1'!$G$68+'RRP 5.1'!$G$69+'RRP 5.1'!$G$70)/'RRP 5.1'!$G$73</f>
        <v>7.399639910571197E-3</v>
      </c>
      <c r="H20" s="63">
        <f t="shared" si="0"/>
        <v>1</v>
      </c>
      <c r="I20" s="1280" t="s">
        <v>480</v>
      </c>
    </row>
    <row r="21" spans="2:9" ht="15" customHeight="1">
      <c r="B21" s="1282" t="s">
        <v>645</v>
      </c>
      <c r="C21" s="16"/>
      <c r="D21" s="16">
        <v>0</v>
      </c>
      <c r="E21" s="16">
        <v>0</v>
      </c>
      <c r="F21" s="16">
        <v>0</v>
      </c>
      <c r="G21" s="63">
        <v>1</v>
      </c>
      <c r="H21" s="63">
        <f t="shared" si="0"/>
        <v>1</v>
      </c>
      <c r="I21" s="1280" t="s">
        <v>483</v>
      </c>
    </row>
    <row r="22" spans="2:9" ht="15" customHeight="1">
      <c r="B22" s="1282" t="s">
        <v>484</v>
      </c>
      <c r="C22" s="1856">
        <f>'Calc-MEAV'!H6*(('Calc-MEAV'!I21+'Calc-MEAV'!I30)/'Calc-MEAV'!G6)</f>
        <v>0.16281106022001174</v>
      </c>
      <c r="D22" s="1856">
        <f>'Calc-MEAV'!H6*(('Calc-MEAV'!G6-'Calc-MEAV'!I21-'Calc-MEAV'!I30)/'Calc-MEAV'!G6)</f>
        <v>0.29641815801486676</v>
      </c>
      <c r="E22" s="1856">
        <f>'Calc-MEAV'!H7</f>
        <v>7.3083155245062287E-2</v>
      </c>
      <c r="F22" s="1856">
        <f>'Calc-MEAV'!H8</f>
        <v>0.26114451714589082</v>
      </c>
      <c r="G22" s="1856">
        <f>'Calc-MEAV'!H9+'Calc-MEAV'!H10</f>
        <v>0.20654310937416842</v>
      </c>
      <c r="H22" s="1856">
        <f t="shared" si="0"/>
        <v>1</v>
      </c>
      <c r="I22" s="64" t="s">
        <v>377</v>
      </c>
    </row>
    <row r="23" spans="2:9" ht="15" customHeight="1"/>
    <row r="24" spans="2:9" ht="15" customHeight="1"/>
    <row r="25" spans="2:9" ht="15" customHeight="1">
      <c r="B25" s="1282" t="s">
        <v>646</v>
      </c>
      <c r="C25" s="1856"/>
      <c r="D25" s="1856">
        <v>0</v>
      </c>
      <c r="E25" s="1856">
        <v>0</v>
      </c>
      <c r="F25" s="1856">
        <v>0</v>
      </c>
      <c r="G25" s="1856">
        <v>1</v>
      </c>
      <c r="H25" s="1856">
        <f t="shared" si="0"/>
        <v>1</v>
      </c>
      <c r="I25" s="1280" t="s">
        <v>483</v>
      </c>
    </row>
    <row r="26" spans="2:9" ht="15" customHeight="1">
      <c r="B26" s="1282" t="s">
        <v>422</v>
      </c>
      <c r="C26" s="1856"/>
      <c r="D26" s="1856">
        <v>1</v>
      </c>
      <c r="E26" s="1856">
        <v>0</v>
      </c>
      <c r="F26" s="1856">
        <v>0</v>
      </c>
      <c r="G26" s="1856">
        <v>0</v>
      </c>
      <c r="H26" s="1856">
        <f t="shared" si="0"/>
        <v>1</v>
      </c>
      <c r="I26" s="1280" t="s">
        <v>483</v>
      </c>
    </row>
    <row r="27" spans="2:9" ht="15" customHeight="1">
      <c r="B27" s="1857" t="s">
        <v>423</v>
      </c>
      <c r="C27" s="1858"/>
      <c r="D27" s="1858">
        <v>0</v>
      </c>
      <c r="E27" s="1858">
        <v>0</v>
      </c>
      <c r="F27" s="1858">
        <v>1</v>
      </c>
      <c r="G27" s="1858">
        <v>0</v>
      </c>
      <c r="H27" s="1858">
        <f t="shared" si="0"/>
        <v>1</v>
      </c>
      <c r="I27" s="114" t="s">
        <v>483</v>
      </c>
    </row>
    <row r="29" spans="2:9">
      <c r="B29" s="7"/>
      <c r="C29" s="7"/>
      <c r="D29" s="7"/>
      <c r="E29" s="7"/>
      <c r="F29" s="7"/>
    </row>
    <row r="30" spans="2:9">
      <c r="B30" s="7"/>
      <c r="C30" s="7"/>
      <c r="D30" s="7"/>
      <c r="E30" s="7"/>
      <c r="F30" s="7"/>
    </row>
    <row r="31" spans="2:9" s="36" customFormat="1" ht="114.75">
      <c r="B31" s="1845" t="s">
        <v>897</v>
      </c>
      <c r="C31" s="1846" t="s">
        <v>993</v>
      </c>
      <c r="D31" s="1847" t="s">
        <v>994</v>
      </c>
      <c r="E31" s="1847" t="s">
        <v>995</v>
      </c>
      <c r="F31" s="1848" t="s">
        <v>479</v>
      </c>
    </row>
    <row r="32" spans="2:9" s="36" customFormat="1" ht="25.5">
      <c r="B32" s="1846" t="s">
        <v>996</v>
      </c>
      <c r="C32" s="1849">
        <f>Inputs!B35</f>
        <v>92814896.754028171</v>
      </c>
      <c r="D32" s="1850">
        <f>SUM(Inputs!C30:G30)</f>
        <v>1144818246.7999218</v>
      </c>
      <c r="E32" s="1851">
        <f>D32/(C32+D32)</f>
        <v>0.92500613187563507</v>
      </c>
      <c r="F32" s="1852" t="s">
        <v>997</v>
      </c>
    </row>
    <row r="33" spans="2:6">
      <c r="B33" s="204"/>
      <c r="C33" s="205"/>
      <c r="D33" s="205"/>
      <c r="E33" s="205"/>
      <c r="F33" s="206"/>
    </row>
    <row r="34" spans="2:6">
      <c r="B34" s="7"/>
      <c r="C34" s="7"/>
      <c r="D34" s="7"/>
      <c r="E34" s="7"/>
      <c r="F34" s="7"/>
    </row>
    <row r="35" spans="2:6">
      <c r="B35" s="7"/>
      <c r="C35" s="7"/>
      <c r="D35" s="7"/>
      <c r="E35" s="7"/>
      <c r="F35" s="7"/>
    </row>
  </sheetData>
  <phoneticPr fontId="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FFFF00"/>
    <pageSetUpPr fitToPage="1"/>
  </sheetPr>
  <dimension ref="A1:AW81"/>
  <sheetViews>
    <sheetView showGridLines="0" topLeftCell="A40" zoomScale="80" zoomScaleNormal="80" zoomScalePageLayoutView="80" workbookViewId="0">
      <selection activeCell="Q61" sqref="Q61"/>
    </sheetView>
  </sheetViews>
  <sheetFormatPr defaultColWidth="8.85546875" defaultRowHeight="12.75"/>
  <cols>
    <col min="1" max="1" width="8.85546875" customWidth="1"/>
    <col min="2" max="2" width="32" customWidth="1"/>
    <col min="3" max="3" width="8.85546875" customWidth="1"/>
    <col min="4" max="4" width="18.7109375" customWidth="1"/>
    <col min="5" max="8" width="8.85546875" customWidth="1"/>
    <col min="9" max="9" width="12" customWidth="1"/>
    <col min="10" max="10" width="9.7109375" customWidth="1"/>
    <col min="11" max="11" width="8.85546875" customWidth="1"/>
    <col min="12" max="12" width="12.85546875" customWidth="1"/>
    <col min="13" max="13" width="14.85546875" customWidth="1"/>
    <col min="14" max="15" width="12.85546875" customWidth="1"/>
    <col min="16" max="16" width="9.28515625" bestFit="1" customWidth="1"/>
    <col min="17" max="17" width="8.85546875" customWidth="1"/>
    <col min="18" max="18" width="9.28515625" bestFit="1" customWidth="1"/>
    <col min="19" max="19" width="10.42578125" bestFit="1" customWidth="1"/>
    <col min="20" max="40" width="8.85546875" customWidth="1"/>
    <col min="41" max="44" width="10.28515625" bestFit="1" customWidth="1"/>
    <col min="45" max="45" width="9.42578125" bestFit="1" customWidth="1"/>
  </cols>
  <sheetData>
    <row r="1" spans="1:49" s="231" customFormat="1">
      <c r="A1" s="231" t="s">
        <v>661</v>
      </c>
    </row>
    <row r="2" spans="1:49">
      <c r="A2" s="253" t="s">
        <v>216</v>
      </c>
    </row>
    <row r="3" spans="1:49">
      <c r="A3" s="65"/>
      <c r="B3" s="65"/>
      <c r="C3" s="65"/>
      <c r="D3" s="65"/>
      <c r="E3" s="65"/>
      <c r="F3" s="65"/>
      <c r="G3" s="65"/>
      <c r="H3" s="65"/>
      <c r="I3" s="65"/>
      <c r="J3" s="65"/>
      <c r="K3" s="65"/>
      <c r="L3" s="65"/>
      <c r="M3" s="65"/>
      <c r="N3" s="65"/>
      <c r="O3" s="142"/>
      <c r="P3" s="142"/>
      <c r="Q3" s="142"/>
      <c r="R3" s="142"/>
      <c r="S3" s="142"/>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pans="1:49">
      <c r="A4" s="65"/>
      <c r="B4" s="150" t="s">
        <v>452</v>
      </c>
      <c r="C4" s="150"/>
      <c r="D4" s="150"/>
      <c r="E4" s="150"/>
      <c r="F4" s="150"/>
      <c r="G4" s="150"/>
      <c r="H4" s="150"/>
      <c r="I4" s="150"/>
      <c r="J4" s="150"/>
      <c r="K4" s="150"/>
      <c r="L4" s="150" t="s">
        <v>453</v>
      </c>
      <c r="M4" s="150"/>
      <c r="N4" s="150"/>
      <c r="O4" s="150"/>
      <c r="P4" s="150"/>
      <c r="Q4" s="150"/>
      <c r="R4" s="150"/>
      <c r="S4" s="150"/>
      <c r="T4" s="150"/>
      <c r="U4" s="65"/>
      <c r="V4" s="65"/>
      <c r="W4" s="65"/>
      <c r="X4" s="65"/>
      <c r="Y4" s="65"/>
      <c r="Z4" s="65"/>
      <c r="AA4" s="65"/>
      <c r="AB4" s="65"/>
      <c r="AC4" s="65"/>
    </row>
    <row r="5" spans="1:49">
      <c r="A5" s="65"/>
      <c r="B5" s="150"/>
      <c r="C5" s="150"/>
      <c r="D5" s="150"/>
      <c r="E5" s="150"/>
      <c r="F5" s="150"/>
      <c r="G5" s="150"/>
      <c r="H5" s="150"/>
      <c r="I5" s="150"/>
      <c r="J5" s="150"/>
      <c r="K5" s="150"/>
      <c r="L5" s="150"/>
      <c r="M5" s="150"/>
      <c r="N5" s="150"/>
      <c r="O5" s="150"/>
      <c r="P5" s="150"/>
      <c r="Q5" s="150"/>
      <c r="R5" s="150"/>
      <c r="S5" s="150"/>
      <c r="T5" s="150"/>
      <c r="U5" s="65"/>
      <c r="V5" s="65"/>
      <c r="W5" s="65"/>
      <c r="X5" s="65"/>
      <c r="Y5" s="65"/>
      <c r="Z5" s="65"/>
      <c r="AA5" s="65"/>
      <c r="AB5" s="65"/>
      <c r="AC5" s="65"/>
    </row>
    <row r="6" spans="1:49">
      <c r="A6" s="65"/>
      <c r="B6" s="150"/>
      <c r="C6" s="150"/>
      <c r="D6" s="1354" t="s">
        <v>32</v>
      </c>
      <c r="E6" s="1354" t="s">
        <v>33</v>
      </c>
      <c r="F6" s="1354"/>
      <c r="G6" s="1354" t="s">
        <v>29</v>
      </c>
      <c r="H6" s="1354" t="s">
        <v>34</v>
      </c>
      <c r="I6" s="1354" t="s">
        <v>35</v>
      </c>
      <c r="J6" s="150"/>
      <c r="K6" s="150"/>
      <c r="L6" s="150"/>
      <c r="M6" s="150"/>
      <c r="N6" s="150"/>
      <c r="O6" s="1352" t="s">
        <v>32</v>
      </c>
      <c r="P6" s="1352" t="s">
        <v>33</v>
      </c>
      <c r="Q6" s="1352" t="s">
        <v>29</v>
      </c>
      <c r="R6" s="1352" t="s">
        <v>34</v>
      </c>
      <c r="S6" s="1352" t="s">
        <v>35</v>
      </c>
      <c r="T6" s="150"/>
      <c r="U6" s="65"/>
      <c r="V6" s="65"/>
      <c r="W6" s="65"/>
      <c r="X6" s="65"/>
      <c r="Y6" s="65"/>
      <c r="Z6" s="65"/>
      <c r="AA6" s="65"/>
      <c r="AB6" s="65"/>
      <c r="AC6" s="65"/>
    </row>
    <row r="7" spans="1:49">
      <c r="A7" s="65"/>
      <c r="B7" s="150"/>
      <c r="C7" s="150"/>
      <c r="D7" s="151"/>
      <c r="E7" s="151"/>
      <c r="F7" s="151"/>
      <c r="G7" s="151"/>
      <c r="H7" s="151"/>
      <c r="I7" s="151"/>
      <c r="J7" s="151"/>
      <c r="K7" s="150"/>
      <c r="L7" s="150" t="s">
        <v>602</v>
      </c>
      <c r="M7" s="150"/>
      <c r="N7" s="150"/>
      <c r="O7" s="1353">
        <f>'Allowed revenue -DPCR4'!D3</f>
        <v>695.6</v>
      </c>
      <c r="P7" s="1353">
        <f>'Allowed revenue -DPCR4'!E3</f>
        <v>717.4</v>
      </c>
      <c r="Q7" s="1353">
        <f>'Allowed revenue -DPCR4'!F3</f>
        <v>734</v>
      </c>
      <c r="R7" s="1353">
        <f>'Allowed revenue -DPCR4'!G3</f>
        <v>747</v>
      </c>
      <c r="S7" s="1353">
        <f>'Allowed revenue -DPCR4'!H3</f>
        <v>756.3</v>
      </c>
      <c r="T7" s="150"/>
      <c r="U7" s="65"/>
      <c r="V7" s="65"/>
      <c r="W7" s="65"/>
      <c r="X7" s="65"/>
      <c r="Y7" s="65"/>
      <c r="Z7" s="65"/>
      <c r="AA7" s="65"/>
      <c r="AB7" s="65"/>
      <c r="AC7" s="65"/>
    </row>
    <row r="8" spans="1:49">
      <c r="A8" s="65"/>
      <c r="B8" s="150" t="s">
        <v>603</v>
      </c>
      <c r="C8" s="150"/>
      <c r="D8" s="1360">
        <f>O33</f>
        <v>175.5943029626859</v>
      </c>
      <c r="E8" s="1360">
        <f>P33</f>
        <v>177.87702890120079</v>
      </c>
      <c r="F8" s="1360"/>
      <c r="G8" s="1360">
        <f>Q33</f>
        <v>180.33534914267841</v>
      </c>
      <c r="H8" s="1360">
        <f>R33</f>
        <v>182.26688647526797</v>
      </c>
      <c r="I8" s="1360">
        <f>S33</f>
        <v>184.54961241378288</v>
      </c>
      <c r="J8" s="151"/>
      <c r="K8" s="150"/>
      <c r="L8" s="150" t="s">
        <v>604</v>
      </c>
      <c r="M8" s="150"/>
      <c r="N8" s="150"/>
      <c r="O8" s="1353">
        <f>'Allowed revenue -DPCR4'!D4</f>
        <v>72.099999999999994</v>
      </c>
      <c r="P8" s="1353">
        <f>'Allowed revenue -DPCR4'!E4</f>
        <v>72.099999999999994</v>
      </c>
      <c r="Q8" s="1353">
        <f>'Allowed revenue -DPCR4'!F4</f>
        <v>72.099999999999994</v>
      </c>
      <c r="R8" s="1353">
        <f>'Allowed revenue -DPCR4'!G4</f>
        <v>72.099999999999994</v>
      </c>
      <c r="S8" s="1353">
        <f>'Allowed revenue -DPCR4'!H4</f>
        <v>72.099999999999994</v>
      </c>
      <c r="T8" s="151"/>
      <c r="U8" s="65"/>
      <c r="V8" s="65"/>
      <c r="W8" s="65"/>
      <c r="X8" s="65"/>
      <c r="Y8" s="65"/>
      <c r="Z8" s="65"/>
      <c r="AA8" s="65"/>
      <c r="AB8" s="65"/>
      <c r="AC8" s="65"/>
    </row>
    <row r="9" spans="1:49">
      <c r="A9" s="65"/>
      <c r="B9" s="150"/>
      <c r="C9" s="150"/>
      <c r="D9" s="1359"/>
      <c r="E9" s="1359"/>
      <c r="F9" s="1359"/>
      <c r="G9" s="1359"/>
      <c r="H9" s="1359"/>
      <c r="I9" s="1359"/>
      <c r="J9" s="150"/>
      <c r="K9" s="150"/>
      <c r="L9" s="150" t="s">
        <v>441</v>
      </c>
      <c r="M9" s="150"/>
      <c r="N9" s="150"/>
      <c r="O9" s="1353">
        <f>'Allowed revenue -DPCR4'!D5</f>
        <v>-50.3</v>
      </c>
      <c r="P9" s="1353">
        <f>'Allowed revenue -DPCR4'!E5</f>
        <v>-55.5</v>
      </c>
      <c r="Q9" s="1353">
        <f>'Allowed revenue -DPCR4'!F5</f>
        <v>-59.1</v>
      </c>
      <c r="R9" s="1353">
        <f>'Allowed revenue -DPCR4'!G5</f>
        <v>-62.7</v>
      </c>
      <c r="S9" s="1353">
        <f>'Allowed revenue -DPCR4'!H5</f>
        <v>-66.3</v>
      </c>
      <c r="T9" s="151"/>
      <c r="U9" s="65"/>
      <c r="V9" s="65"/>
      <c r="W9" s="65"/>
      <c r="X9" s="65"/>
      <c r="Y9" s="65"/>
      <c r="Z9" s="65"/>
      <c r="AA9" s="65"/>
      <c r="AB9" s="65"/>
      <c r="AC9" s="65"/>
    </row>
    <row r="10" spans="1:49">
      <c r="A10" s="65"/>
      <c r="B10" s="1351" t="s">
        <v>899</v>
      </c>
      <c r="C10" s="150"/>
      <c r="D10" s="1359">
        <f>O14+(1-0.577)*O16</f>
        <v>59.291200000000003</v>
      </c>
      <c r="E10" s="1359">
        <f>P14+(1-0.577)*P16</f>
        <v>61.375800000000005</v>
      </c>
      <c r="F10" s="1359"/>
      <c r="G10" s="1359">
        <f>Q14+(1-0.577)*Q16</f>
        <v>62.260400000000004</v>
      </c>
      <c r="H10" s="1359">
        <f>R14+(1-0.577)*R16</f>
        <v>61.844999999999999</v>
      </c>
      <c r="I10" s="1359">
        <f>S14+(1-0.577)*S16</f>
        <v>61.529600000000002</v>
      </c>
      <c r="J10" s="150"/>
      <c r="K10" s="150"/>
      <c r="L10" s="150" t="s">
        <v>362</v>
      </c>
      <c r="M10" s="150"/>
      <c r="N10" s="150"/>
      <c r="O10" s="1353">
        <f>'Allowed revenue -DPCR4'!D6</f>
        <v>717.4</v>
      </c>
      <c r="P10" s="1353">
        <f>'Allowed revenue -DPCR4'!E6</f>
        <v>734</v>
      </c>
      <c r="Q10" s="1353">
        <f>'Allowed revenue -DPCR4'!F6</f>
        <v>747</v>
      </c>
      <c r="R10" s="1353">
        <f>'Allowed revenue -DPCR4'!G6</f>
        <v>756.3</v>
      </c>
      <c r="S10" s="1353">
        <f>'Allowed revenue -DPCR4'!H6</f>
        <v>762.1</v>
      </c>
      <c r="T10" s="150"/>
      <c r="U10" s="65"/>
      <c r="V10" s="65"/>
      <c r="W10" s="65"/>
      <c r="X10" s="65"/>
      <c r="Y10" s="65"/>
      <c r="Z10" s="65"/>
      <c r="AA10" s="65"/>
      <c r="AB10" s="65"/>
      <c r="AC10" s="65"/>
    </row>
    <row r="11" spans="1:49">
      <c r="A11" s="65"/>
      <c r="B11" s="150" t="s">
        <v>363</v>
      </c>
      <c r="C11" s="150"/>
      <c r="D11" s="1360">
        <f>O20</f>
        <v>1.7</v>
      </c>
      <c r="E11" s="1360">
        <f>P20</f>
        <v>1.7</v>
      </c>
      <c r="F11" s="1360">
        <f>Q20</f>
        <v>1.7</v>
      </c>
      <c r="G11" s="1360">
        <f>Q20</f>
        <v>1.7</v>
      </c>
      <c r="H11" s="1360">
        <f>R20</f>
        <v>1.7</v>
      </c>
      <c r="I11" s="1360">
        <f>S20</f>
        <v>1.7</v>
      </c>
      <c r="J11" s="150"/>
      <c r="K11" s="150"/>
      <c r="L11" s="150" t="s">
        <v>364</v>
      </c>
      <c r="M11" s="150"/>
      <c r="N11" s="150"/>
      <c r="O11" s="1353">
        <f>'Allowed revenue -DPCR4'!D7</f>
        <v>695.6</v>
      </c>
      <c r="P11" s="1353"/>
      <c r="Q11" s="1353" t="str">
        <f>'Allowed revenue -DPCR4'!F7</f>
        <v xml:space="preserve"> </v>
      </c>
      <c r="R11" s="1353"/>
      <c r="S11" s="1353">
        <f>'Allowed revenue -DPCR4'!H7</f>
        <v>581.79999999999995</v>
      </c>
      <c r="T11" s="153"/>
      <c r="U11" s="65"/>
      <c r="V11" s="65"/>
      <c r="W11" s="65"/>
      <c r="X11" s="65"/>
      <c r="Y11" s="65"/>
      <c r="Z11" s="65"/>
      <c r="AA11" s="65"/>
      <c r="AB11" s="65"/>
      <c r="AC11" s="65"/>
    </row>
    <row r="12" spans="1:49">
      <c r="A12" s="65"/>
      <c r="B12" s="150" t="s">
        <v>365</v>
      </c>
      <c r="C12" s="150"/>
      <c r="D12" s="1360">
        <f>O21</f>
        <v>1.6</v>
      </c>
      <c r="E12" s="1360"/>
      <c r="F12" s="1360"/>
      <c r="G12" s="1360"/>
      <c r="H12" s="1360"/>
      <c r="I12" s="1360"/>
      <c r="J12" s="151"/>
      <c r="K12" s="150"/>
      <c r="L12" s="150" t="s">
        <v>366</v>
      </c>
      <c r="M12" s="150"/>
      <c r="N12" s="150"/>
      <c r="O12" s="1353"/>
      <c r="P12" s="1353" t="str">
        <f>'Allowed revenue -DPCR4'!E8</f>
        <v xml:space="preserve"> </v>
      </c>
      <c r="Q12" s="1353"/>
      <c r="R12" s="1353"/>
      <c r="S12" s="1353">
        <f>'Allowed revenue -DPCR4'!H8</f>
        <v>113.7</v>
      </c>
      <c r="T12" s="153"/>
      <c r="U12" s="65"/>
      <c r="V12" s="65"/>
      <c r="W12" s="65"/>
      <c r="X12" s="65"/>
      <c r="Y12" s="65"/>
      <c r="Z12" s="65"/>
      <c r="AA12" s="65"/>
      <c r="AB12" s="65"/>
      <c r="AC12" s="65"/>
    </row>
    <row r="13" spans="1:49">
      <c r="A13" s="65"/>
      <c r="B13" s="150" t="s">
        <v>368</v>
      </c>
      <c r="C13" s="150"/>
      <c r="D13" s="1359">
        <f>SUM(D10:D12)</f>
        <v>62.591200000000008</v>
      </c>
      <c r="E13" s="1359">
        <f>SUM(E10:E12)</f>
        <v>63.075800000000008</v>
      </c>
      <c r="F13" s="1359"/>
      <c r="G13" s="1359">
        <f>SUM(G10:G12)</f>
        <v>63.960400000000007</v>
      </c>
      <c r="H13" s="1359">
        <f>SUM(H10:H12)</f>
        <v>63.545000000000002</v>
      </c>
      <c r="I13" s="1359">
        <f>SUM(I10:I12)</f>
        <v>63.229600000000005</v>
      </c>
      <c r="J13" s="150"/>
      <c r="K13" s="150"/>
      <c r="L13" s="150"/>
      <c r="M13" s="150"/>
      <c r="N13" s="150"/>
      <c r="O13" s="1354"/>
      <c r="P13" s="1354"/>
      <c r="Q13" s="1354"/>
      <c r="R13" s="1354"/>
      <c r="S13" s="1354"/>
      <c r="T13" s="150"/>
      <c r="U13" s="65"/>
      <c r="V13" s="65"/>
      <c r="W13" s="65"/>
      <c r="X13" s="65"/>
      <c r="Y13" s="65"/>
      <c r="Z13" s="65"/>
      <c r="AA13" s="65"/>
      <c r="AB13" s="65"/>
      <c r="AC13" s="65"/>
    </row>
    <row r="14" spans="1:49">
      <c r="A14" s="65"/>
      <c r="B14" s="150"/>
      <c r="C14" s="150"/>
      <c r="D14" s="1359"/>
      <c r="E14" s="1359"/>
      <c r="F14" s="1359"/>
      <c r="G14" s="1359"/>
      <c r="H14" s="1359"/>
      <c r="I14" s="1359"/>
      <c r="J14" s="150"/>
      <c r="K14" s="150"/>
      <c r="L14" s="150" t="s">
        <v>332</v>
      </c>
      <c r="M14" s="150"/>
      <c r="N14" s="150"/>
      <c r="O14" s="1355">
        <f>'Allowed revenue -DPCR4'!D10</f>
        <v>53.2</v>
      </c>
      <c r="P14" s="1355">
        <f>'Allowed revenue -DPCR4'!E10</f>
        <v>55.2</v>
      </c>
      <c r="Q14" s="1355">
        <f>'Allowed revenue -DPCR4'!F10</f>
        <v>56</v>
      </c>
      <c r="R14" s="1355">
        <f>'Allowed revenue -DPCR4'!G10</f>
        <v>55.5</v>
      </c>
      <c r="S14" s="1355">
        <f>'Allowed revenue -DPCR4'!H10</f>
        <v>55.1</v>
      </c>
      <c r="T14" s="151"/>
      <c r="U14" s="65"/>
      <c r="V14" s="65"/>
      <c r="W14" s="65"/>
      <c r="X14" s="65"/>
      <c r="Y14" s="65"/>
      <c r="Z14" s="65"/>
      <c r="AA14" s="65"/>
      <c r="AB14" s="65"/>
      <c r="AC14" s="65"/>
    </row>
    <row r="15" spans="1:49">
      <c r="A15" s="65"/>
      <c r="B15" s="150" t="s">
        <v>333</v>
      </c>
      <c r="C15" s="150"/>
      <c r="D15" s="1359"/>
      <c r="E15" s="1359"/>
      <c r="F15" s="1359"/>
      <c r="G15" s="1359"/>
      <c r="H15" s="1359"/>
      <c r="I15" s="1359"/>
      <c r="J15" s="150"/>
      <c r="K15" s="150"/>
      <c r="L15" s="150" t="s">
        <v>334</v>
      </c>
      <c r="M15" s="150"/>
      <c r="N15" s="150"/>
      <c r="O15" s="1355">
        <f>'Allowed revenue -DPCR4'!D11</f>
        <v>63.8</v>
      </c>
      <c r="P15" s="1355">
        <f>'Allowed revenue -DPCR4'!E11</f>
        <v>63.7</v>
      </c>
      <c r="Q15" s="1355">
        <f>'Allowed revenue -DPCR4'!F11</f>
        <v>63.5</v>
      </c>
      <c r="R15" s="1355">
        <f>'Allowed revenue -DPCR4'!G11</f>
        <v>63.4</v>
      </c>
      <c r="S15" s="1355">
        <f>'Allowed revenue -DPCR4'!H11</f>
        <v>63.3</v>
      </c>
      <c r="T15" s="151"/>
      <c r="U15" s="65"/>
      <c r="V15" s="65"/>
      <c r="W15" s="65"/>
      <c r="X15" s="65"/>
      <c r="Y15" s="65"/>
      <c r="Z15" s="65"/>
      <c r="AA15" s="65"/>
      <c r="AB15" s="65"/>
      <c r="AC15" s="65"/>
    </row>
    <row r="16" spans="1:49">
      <c r="A16" s="65"/>
      <c r="B16" s="150" t="s">
        <v>441</v>
      </c>
      <c r="C16" s="155"/>
      <c r="D16" s="1359">
        <f>-O9</f>
        <v>50.3</v>
      </c>
      <c r="E16" s="1359">
        <f>-P9</f>
        <v>55.5</v>
      </c>
      <c r="F16" s="1359"/>
      <c r="G16" s="1359">
        <f>-Q9</f>
        <v>59.1</v>
      </c>
      <c r="H16" s="1359">
        <f>-R9</f>
        <v>62.7</v>
      </c>
      <c r="I16" s="1359">
        <f>-S9</f>
        <v>66.3</v>
      </c>
      <c r="J16" s="156"/>
      <c r="K16" s="150"/>
      <c r="L16" s="150" t="s">
        <v>335</v>
      </c>
      <c r="M16" s="150"/>
      <c r="N16" s="150"/>
      <c r="O16" s="1355">
        <f>'Allowed revenue -DPCR4'!D12</f>
        <v>14.4</v>
      </c>
      <c r="P16" s="1355">
        <f>'Allowed revenue -DPCR4'!E12</f>
        <v>14.6</v>
      </c>
      <c r="Q16" s="1355">
        <f>'Allowed revenue -DPCR4'!F12</f>
        <v>14.8</v>
      </c>
      <c r="R16" s="1355">
        <f>'Allowed revenue -DPCR4'!G12</f>
        <v>15</v>
      </c>
      <c r="S16" s="1355">
        <f>'Allowed revenue -DPCR4'!H12</f>
        <v>15.2</v>
      </c>
      <c r="T16" s="151"/>
      <c r="U16" s="65"/>
      <c r="V16" s="65"/>
      <c r="W16" s="65"/>
      <c r="X16" s="65"/>
      <c r="Y16" s="65"/>
      <c r="Z16" s="65"/>
      <c r="AA16" s="65"/>
      <c r="AB16" s="65"/>
      <c r="AC16" s="65"/>
    </row>
    <row r="17" spans="1:47">
      <c r="A17" s="65"/>
      <c r="B17" s="150" t="s">
        <v>336</v>
      </c>
      <c r="C17" s="150"/>
      <c r="D17" s="1359">
        <f t="shared" ref="D17:E19" si="0">O17</f>
        <v>15.8</v>
      </c>
      <c r="E17" s="1359">
        <f t="shared" si="0"/>
        <v>16.399999999999999</v>
      </c>
      <c r="F17" s="1359"/>
      <c r="G17" s="1359">
        <f t="shared" ref="G17:I19" si="1">Q17</f>
        <v>17.100000000000001</v>
      </c>
      <c r="H17" s="1359">
        <f t="shared" si="1"/>
        <v>17.8</v>
      </c>
      <c r="I17" s="1359">
        <f t="shared" si="1"/>
        <v>18.600000000000001</v>
      </c>
      <c r="J17" s="150"/>
      <c r="K17" s="150"/>
      <c r="L17" s="150" t="s">
        <v>336</v>
      </c>
      <c r="M17" s="150"/>
      <c r="N17" s="150"/>
      <c r="O17" s="1355">
        <f>'Allowed revenue -DPCR4'!D13</f>
        <v>15.8</v>
      </c>
      <c r="P17" s="1355">
        <f>'Allowed revenue -DPCR4'!E13</f>
        <v>16.399999999999999</v>
      </c>
      <c r="Q17" s="1355">
        <f>'Allowed revenue -DPCR4'!F13</f>
        <v>17.100000000000001</v>
      </c>
      <c r="R17" s="1355">
        <f>'Allowed revenue -DPCR4'!G13</f>
        <v>17.8</v>
      </c>
      <c r="S17" s="1355">
        <f>'Allowed revenue -DPCR4'!H13</f>
        <v>18.600000000000001</v>
      </c>
      <c r="T17" s="151"/>
      <c r="U17" s="65"/>
      <c r="V17" s="65"/>
      <c r="W17" s="65"/>
      <c r="X17" s="65"/>
      <c r="Y17" s="65"/>
      <c r="Z17" s="65"/>
      <c r="AA17" s="65"/>
      <c r="AB17" s="65"/>
      <c r="AC17" s="65"/>
    </row>
    <row r="18" spans="1:47">
      <c r="A18" s="65"/>
      <c r="B18" s="150" t="s">
        <v>337</v>
      </c>
      <c r="C18" s="150"/>
      <c r="D18" s="1360">
        <f t="shared" si="0"/>
        <v>4.5</v>
      </c>
      <c r="E18" s="1360">
        <f t="shared" si="0"/>
        <v>4.0999999999999996</v>
      </c>
      <c r="F18" s="1360"/>
      <c r="G18" s="1360">
        <f t="shared" si="1"/>
        <v>2.8</v>
      </c>
      <c r="H18" s="1360">
        <f t="shared" si="1"/>
        <v>1.8</v>
      </c>
      <c r="I18" s="1360">
        <f t="shared" si="1"/>
        <v>0.9</v>
      </c>
      <c r="J18" s="151"/>
      <c r="K18" s="150"/>
      <c r="L18" s="150" t="s">
        <v>338</v>
      </c>
      <c r="M18" s="150"/>
      <c r="N18" s="150"/>
      <c r="O18" s="1355">
        <f>'Allowed revenue -DPCR4'!D14</f>
        <v>4.5</v>
      </c>
      <c r="P18" s="1355">
        <f>'Allowed revenue -DPCR4'!E14</f>
        <v>4.0999999999999996</v>
      </c>
      <c r="Q18" s="1355">
        <f>'Allowed revenue -DPCR4'!F14</f>
        <v>2.8</v>
      </c>
      <c r="R18" s="1355">
        <f>'Allowed revenue -DPCR4'!G14</f>
        <v>1.8</v>
      </c>
      <c r="S18" s="1355">
        <f>'Allowed revenue -DPCR4'!H14</f>
        <v>0.9</v>
      </c>
      <c r="T18" s="151"/>
      <c r="U18" s="65"/>
      <c r="V18" s="65"/>
      <c r="W18" s="65"/>
      <c r="X18" s="65"/>
      <c r="Y18" s="65"/>
      <c r="Z18" s="65"/>
      <c r="AA18" s="65"/>
      <c r="AB18" s="65"/>
      <c r="AC18" s="65"/>
    </row>
    <row r="19" spans="1:47">
      <c r="A19" s="65"/>
      <c r="B19" s="150" t="s">
        <v>339</v>
      </c>
      <c r="C19" s="150"/>
      <c r="D19" s="1360">
        <f t="shared" si="0"/>
        <v>1.4</v>
      </c>
      <c r="E19" s="1360">
        <f t="shared" si="0"/>
        <v>1.5</v>
      </c>
      <c r="F19" s="1360"/>
      <c r="G19" s="1360">
        <f t="shared" si="1"/>
        <v>1.5</v>
      </c>
      <c r="H19" s="1360">
        <f t="shared" si="1"/>
        <v>1.5</v>
      </c>
      <c r="I19" s="1360">
        <f t="shared" si="1"/>
        <v>1.5</v>
      </c>
      <c r="J19" s="156"/>
      <c r="K19" s="150"/>
      <c r="L19" s="150" t="s">
        <v>340</v>
      </c>
      <c r="M19" s="150"/>
      <c r="N19" s="150"/>
      <c r="O19" s="1355">
        <f>'Allowed revenue -DPCR4'!D15</f>
        <v>1.4</v>
      </c>
      <c r="P19" s="1355">
        <f>'Allowed revenue -DPCR4'!E15</f>
        <v>1.5</v>
      </c>
      <c r="Q19" s="1355">
        <f>'Allowed revenue -DPCR4'!F15</f>
        <v>1.5</v>
      </c>
      <c r="R19" s="1355">
        <f>'Allowed revenue -DPCR4'!G15</f>
        <v>1.5</v>
      </c>
      <c r="S19" s="1355">
        <f>'Allowed revenue -DPCR4'!H15</f>
        <v>1.5</v>
      </c>
      <c r="T19" s="151"/>
      <c r="U19" s="65"/>
      <c r="V19" s="65"/>
      <c r="W19" s="65"/>
      <c r="X19" s="65"/>
      <c r="Y19" s="65"/>
      <c r="Z19" s="65"/>
      <c r="AA19" s="65"/>
      <c r="AB19" s="65"/>
      <c r="AC19" s="65"/>
    </row>
    <row r="20" spans="1:47">
      <c r="A20" s="65"/>
      <c r="B20" s="150" t="s">
        <v>342</v>
      </c>
      <c r="C20" s="156"/>
      <c r="D20" s="1359">
        <f>D8-D13-D16-D17-D18-D19</f>
        <v>41.003102962685894</v>
      </c>
      <c r="E20" s="1359">
        <f>E8-E13-E16-E17-E18-E19</f>
        <v>37.301228901200773</v>
      </c>
      <c r="F20" s="1359"/>
      <c r="G20" s="1359">
        <f>G8-G13-G16-G17-G18-G19</f>
        <v>35.874949142678403</v>
      </c>
      <c r="H20" s="1359">
        <f>H8-H13-H16-H17-H18-H19</f>
        <v>34.921886475267968</v>
      </c>
      <c r="I20" s="1359">
        <f>I8-I13-I16-I17-I18-I19</f>
        <v>34.020012413782879</v>
      </c>
      <c r="J20" s="156"/>
      <c r="K20" s="150"/>
      <c r="L20" s="150" t="s">
        <v>385</v>
      </c>
      <c r="M20" s="150"/>
      <c r="N20" s="150"/>
      <c r="O20" s="1356">
        <f>IF(ISNUMBER('Allowed revenue -DPCR4'!D16+'Allowed revenue -DPCR4'!D17),'Allowed revenue -DPCR4'!D16+'Allowed revenue -DPCR4'!D17,"")</f>
        <v>1.7</v>
      </c>
      <c r="P20" s="1356">
        <f>IF(ISNUMBER('Allowed revenue -DPCR4'!E16+'Allowed revenue -DPCR4'!E17),'Allowed revenue -DPCR4'!E16+'Allowed revenue -DPCR4'!E17,"")</f>
        <v>1.7</v>
      </c>
      <c r="Q20" s="1356">
        <f>IF(ISNUMBER('Allowed revenue -DPCR4'!F16+'Allowed revenue -DPCR4'!F17),'Allowed revenue -DPCR4'!F16+'Allowed revenue -DPCR4'!F17,"")</f>
        <v>1.7</v>
      </c>
      <c r="R20" s="1356">
        <f>IF(ISNUMBER('Allowed revenue -DPCR4'!G16+'Allowed revenue -DPCR4'!G17),'Allowed revenue -DPCR4'!G16+'Allowed revenue -DPCR4'!G17,"")</f>
        <v>1.7</v>
      </c>
      <c r="S20" s="1356">
        <f>IF(ISNUMBER('Allowed revenue -DPCR4'!H16+'Allowed revenue -DPCR4'!H17),'Allowed revenue -DPCR4'!H16+'Allowed revenue -DPCR4'!H17,"")</f>
        <v>1.7</v>
      </c>
      <c r="T20" s="151"/>
      <c r="U20" s="65"/>
      <c r="V20" s="65"/>
      <c r="W20" s="65"/>
      <c r="X20" s="65"/>
      <c r="Y20" s="65"/>
      <c r="Z20" s="65"/>
      <c r="AA20" s="65"/>
      <c r="AB20" s="65"/>
      <c r="AC20" s="65"/>
    </row>
    <row r="21" spans="1:47">
      <c r="A21" s="65"/>
      <c r="B21" s="150" t="s">
        <v>468</v>
      </c>
      <c r="C21" s="150"/>
      <c r="D21" s="1359">
        <f>SUM(D16:D20)</f>
        <v>113.00310296268589</v>
      </c>
      <c r="E21" s="1359">
        <f>SUM(E16:E20)</f>
        <v>114.80122890120077</v>
      </c>
      <c r="F21" s="1359"/>
      <c r="G21" s="1359">
        <f>SUM(G16:G20)</f>
        <v>116.3749491426784</v>
      </c>
      <c r="H21" s="1359">
        <f>SUM(H16:H20)</f>
        <v>118.72188647526797</v>
      </c>
      <c r="I21" s="1359">
        <f>SUM(I16:I20)</f>
        <v>121.32001241378289</v>
      </c>
      <c r="J21" s="150"/>
      <c r="K21" s="150"/>
      <c r="L21" s="150" t="s">
        <v>365</v>
      </c>
      <c r="M21" s="150"/>
      <c r="N21" s="150"/>
      <c r="O21" s="1355">
        <f>'Allowed revenue -DPCR4'!D18</f>
        <v>1.6</v>
      </c>
      <c r="P21" s="1355">
        <f>'Allowed revenue -DPCR4'!E18</f>
        <v>0</v>
      </c>
      <c r="Q21" s="1355">
        <f>'Allowed revenue -DPCR4'!F18</f>
        <v>0</v>
      </c>
      <c r="R21" s="1355">
        <f>'Allowed revenue -DPCR4'!G18</f>
        <v>0</v>
      </c>
      <c r="S21" s="1355">
        <f>'Allowed revenue -DPCR4'!H18</f>
        <v>0</v>
      </c>
      <c r="T21" s="151"/>
      <c r="U21" s="65"/>
      <c r="V21" s="65"/>
      <c r="W21" s="65"/>
      <c r="X21" s="65"/>
      <c r="Y21" s="65"/>
      <c r="Z21" s="65"/>
      <c r="AA21" s="65"/>
      <c r="AB21" s="65"/>
      <c r="AC21" s="65"/>
    </row>
    <row r="22" spans="1:47">
      <c r="A22" s="65"/>
      <c r="B22" s="164" t="s">
        <v>469</v>
      </c>
      <c r="C22" s="150"/>
      <c r="D22" s="1359">
        <f>D21-D16</f>
        <v>62.70310296268589</v>
      </c>
      <c r="E22" s="1359">
        <f>E21-E16</f>
        <v>59.301228901200773</v>
      </c>
      <c r="F22" s="1359"/>
      <c r="G22" s="1359">
        <f>G21-G16</f>
        <v>57.274949142678402</v>
      </c>
      <c r="H22" s="1359">
        <f>H21-H16</f>
        <v>56.021886475267962</v>
      </c>
      <c r="I22" s="1359">
        <f>I21-I16</f>
        <v>55.020012413782894</v>
      </c>
      <c r="J22" s="165"/>
      <c r="K22" s="165"/>
      <c r="L22" s="165" t="s">
        <v>657</v>
      </c>
      <c r="M22" s="165"/>
      <c r="N22" s="165"/>
      <c r="O22" s="1354">
        <f>'Allowed revenue -DPCR4'!D19</f>
        <v>156.5</v>
      </c>
      <c r="P22" s="1354">
        <f>'Allowed revenue -DPCR4'!E19</f>
        <v>157.19999999999999</v>
      </c>
      <c r="Q22" s="1354">
        <f>'Allowed revenue -DPCR4'!F19</f>
        <v>157.4</v>
      </c>
      <c r="R22" s="1354">
        <f>'Allowed revenue -DPCR4'!G19</f>
        <v>156.80000000000001</v>
      </c>
      <c r="S22" s="1354">
        <f>'Allowed revenue -DPCR4'!H19</f>
        <v>156.30000000000001</v>
      </c>
      <c r="T22" s="150"/>
      <c r="U22" s="65"/>
      <c r="V22" s="65"/>
      <c r="W22" s="65"/>
      <c r="X22" s="65"/>
      <c r="Y22" s="65"/>
      <c r="Z22" s="65"/>
      <c r="AA22" s="65"/>
      <c r="AB22" s="65"/>
      <c r="AC22" s="65"/>
    </row>
    <row r="23" spans="1:47">
      <c r="A23" s="65"/>
      <c r="B23" s="150"/>
      <c r="C23" s="150"/>
      <c r="D23" s="1359"/>
      <c r="E23" s="1359"/>
      <c r="F23" s="1359"/>
      <c r="G23" s="1359"/>
      <c r="H23" s="1359"/>
      <c r="I23" s="1359"/>
      <c r="J23" s="165"/>
      <c r="K23" s="165"/>
      <c r="L23" s="165" t="s">
        <v>432</v>
      </c>
      <c r="M23" s="165"/>
      <c r="N23" s="165"/>
      <c r="O23" s="1354">
        <f>'Allowed revenue -DPCR4'!D20</f>
        <v>152.30000000000001</v>
      </c>
      <c r="P23" s="1354">
        <f>'Allowed revenue -DPCR4'!E20</f>
        <v>144.9</v>
      </c>
      <c r="Q23" s="1354">
        <f>'Allowed revenue -DPCR4'!F20</f>
        <v>137.5</v>
      </c>
      <c r="R23" s="1354">
        <f>'Allowed revenue -DPCR4'!G20</f>
        <v>129.80000000000001</v>
      </c>
      <c r="S23" s="1354">
        <f>'Allowed revenue -DPCR4'!H20</f>
        <v>122.6</v>
      </c>
      <c r="T23" s="153"/>
      <c r="U23" s="65"/>
      <c r="V23" s="65"/>
      <c r="W23" s="65"/>
      <c r="X23" s="65"/>
      <c r="Y23" s="65"/>
      <c r="Z23" s="65"/>
      <c r="AA23" s="65"/>
      <c r="AB23" s="65"/>
      <c r="AC23" s="65"/>
    </row>
    <row r="24" spans="1:47">
      <c r="A24" s="65"/>
      <c r="B24" s="150" t="s">
        <v>433</v>
      </c>
      <c r="C24" s="150"/>
      <c r="D24" s="1359"/>
      <c r="E24" s="1359"/>
      <c r="F24" s="1359"/>
      <c r="G24" s="1359"/>
      <c r="H24" s="1359"/>
      <c r="I24" s="1359"/>
      <c r="J24" s="165"/>
      <c r="K24" s="150"/>
      <c r="L24" s="150" t="s">
        <v>366</v>
      </c>
      <c r="M24" s="150"/>
      <c r="N24" s="150"/>
      <c r="O24" s="1354"/>
      <c r="P24" s="1354"/>
      <c r="Q24" s="1354"/>
      <c r="R24" s="1354"/>
      <c r="S24" s="1354">
        <f>'Allowed revenue -DPCR4'!H21</f>
        <v>113.7</v>
      </c>
      <c r="T24" s="153"/>
      <c r="U24" s="65"/>
      <c r="V24" s="65"/>
      <c r="W24" s="65"/>
      <c r="X24" s="65"/>
      <c r="Y24" s="65"/>
      <c r="Z24" s="65"/>
      <c r="AA24" s="65"/>
      <c r="AB24" s="65"/>
      <c r="AC24" s="65"/>
    </row>
    <row r="25" spans="1:47">
      <c r="A25" s="65"/>
      <c r="B25" s="150"/>
      <c r="C25" s="150"/>
      <c r="D25" s="1359"/>
      <c r="E25" s="1359"/>
      <c r="F25" s="1359"/>
      <c r="G25" s="1359"/>
      <c r="H25" s="1359"/>
      <c r="I25" s="1359"/>
      <c r="J25" s="150"/>
      <c r="K25" s="150"/>
      <c r="L25" s="150" t="s">
        <v>434</v>
      </c>
      <c r="M25" s="150"/>
      <c r="N25" s="150"/>
      <c r="O25" s="1354"/>
      <c r="P25" s="1354"/>
      <c r="Q25" s="1354"/>
      <c r="R25" s="1354"/>
      <c r="S25" s="1354">
        <f>'Allowed revenue -DPCR4'!H22</f>
        <v>800.9</v>
      </c>
      <c r="T25" s="153"/>
      <c r="U25" s="65"/>
      <c r="V25" s="65"/>
      <c r="W25" s="65"/>
      <c r="X25" s="65"/>
      <c r="Y25" s="65"/>
      <c r="Z25" s="65"/>
      <c r="AA25" s="65"/>
      <c r="AB25" s="65"/>
      <c r="AC25" s="65"/>
    </row>
    <row r="26" spans="1:47">
      <c r="A26" s="65"/>
      <c r="B26" s="150" t="s">
        <v>517</v>
      </c>
      <c r="C26" s="150"/>
      <c r="D26" s="1360">
        <f>D13</f>
        <v>62.591200000000008</v>
      </c>
      <c r="E26" s="1360">
        <f>E13</f>
        <v>63.075800000000008</v>
      </c>
      <c r="F26" s="1360"/>
      <c r="G26" s="1360">
        <f>G13</f>
        <v>63.960400000000007</v>
      </c>
      <c r="H26" s="1360">
        <f>H13</f>
        <v>63.545000000000002</v>
      </c>
      <c r="I26" s="1360">
        <f>I13</f>
        <v>63.229600000000005</v>
      </c>
      <c r="J26" s="152"/>
      <c r="K26" s="150"/>
      <c r="L26" s="150"/>
      <c r="M26" s="150"/>
      <c r="N26" s="150"/>
      <c r="O26" s="150"/>
      <c r="P26" s="150"/>
      <c r="Q26" s="150"/>
      <c r="R26" s="150"/>
      <c r="S26" s="150"/>
      <c r="T26" s="150"/>
      <c r="U26" s="65"/>
      <c r="V26" s="65"/>
      <c r="W26" s="65"/>
      <c r="X26" s="65"/>
      <c r="Y26" s="65"/>
      <c r="Z26" s="65"/>
      <c r="AA26" s="65"/>
      <c r="AB26" s="65"/>
      <c r="AC26" s="65"/>
    </row>
    <row r="27" spans="1:47">
      <c r="A27" s="65"/>
      <c r="B27" s="150" t="s">
        <v>441</v>
      </c>
      <c r="C27" s="150"/>
      <c r="D27" s="1360">
        <f>D16</f>
        <v>50.3</v>
      </c>
      <c r="E27" s="1360">
        <f>E16</f>
        <v>55.5</v>
      </c>
      <c r="F27" s="1360"/>
      <c r="G27" s="1360">
        <f>G16</f>
        <v>59.1</v>
      </c>
      <c r="H27" s="1360">
        <f>H16</f>
        <v>62.7</v>
      </c>
      <c r="I27" s="1360">
        <f>I16</f>
        <v>66.3</v>
      </c>
      <c r="J27" s="151"/>
      <c r="K27" s="150"/>
      <c r="L27" s="150"/>
      <c r="M27" s="155"/>
      <c r="N27" s="150"/>
      <c r="O27" s="1357">
        <f>1/(1+Inputs!B25)</f>
        <v>0.94746316736936853</v>
      </c>
      <c r="P27" s="1357">
        <f>O27/(1+Inputs!B25)</f>
        <v>0.89768645352159604</v>
      </c>
      <c r="Q27" s="1357">
        <f>P27/(1+Inputs!B25)</f>
        <v>0.85052485055814675</v>
      </c>
      <c r="R27" s="1357">
        <f>Q27/(1+Inputs!B25)</f>
        <v>0.8058409688361805</v>
      </c>
      <c r="S27" s="1357">
        <f>R27/(1+Inputs!B25)</f>
        <v>0.76350463672952817</v>
      </c>
      <c r="T27" s="165"/>
      <c r="U27" s="65"/>
      <c r="V27" s="65"/>
      <c r="W27" s="65"/>
      <c r="X27" s="65"/>
      <c r="Y27" s="65"/>
      <c r="Z27" s="65"/>
      <c r="AA27" s="65"/>
      <c r="AB27" s="65"/>
      <c r="AC27" s="65"/>
    </row>
    <row r="28" spans="1:47">
      <c r="A28" s="65"/>
      <c r="B28" s="150" t="s">
        <v>342</v>
      </c>
      <c r="C28" s="156"/>
      <c r="D28" s="1359">
        <f>D20</f>
        <v>41.003102962685894</v>
      </c>
      <c r="E28" s="1359">
        <f>E20</f>
        <v>37.301228901200773</v>
      </c>
      <c r="F28" s="1359"/>
      <c r="G28" s="1359">
        <f>G20</f>
        <v>35.874949142678403</v>
      </c>
      <c r="H28" s="1359">
        <f>H20</f>
        <v>34.921886475267968</v>
      </c>
      <c r="I28" s="1359">
        <f>I20</f>
        <v>34.020012413782879</v>
      </c>
      <c r="J28" s="156"/>
      <c r="K28" s="150"/>
      <c r="L28" s="150"/>
      <c r="M28" s="150"/>
      <c r="N28" s="150"/>
      <c r="O28" s="1357">
        <v>1</v>
      </c>
      <c r="P28" s="1357">
        <f>O27</f>
        <v>0.94746316736936853</v>
      </c>
      <c r="Q28" s="1357">
        <f>P27</f>
        <v>0.89768645352159604</v>
      </c>
      <c r="R28" s="1357">
        <f>Q27</f>
        <v>0.85052485055814675</v>
      </c>
      <c r="S28" s="1357">
        <f>R27</f>
        <v>0.8058409688361805</v>
      </c>
      <c r="T28" s="165"/>
      <c r="U28" s="65"/>
      <c r="V28" s="65"/>
      <c r="W28" s="65"/>
      <c r="X28" s="65"/>
      <c r="Y28" s="65"/>
      <c r="Z28" s="65"/>
      <c r="AA28" s="65"/>
      <c r="AB28" s="65"/>
      <c r="AC28" s="65"/>
    </row>
    <row r="29" spans="1:47">
      <c r="A29" s="65"/>
      <c r="B29" s="150"/>
      <c r="C29" s="156"/>
      <c r="D29" s="156"/>
      <c r="E29" s="156"/>
      <c r="F29" s="156"/>
      <c r="G29" s="156"/>
      <c r="H29" s="156"/>
      <c r="I29" s="156"/>
      <c r="J29" s="156"/>
      <c r="K29" s="150"/>
      <c r="L29" s="150"/>
      <c r="M29" s="150"/>
      <c r="N29" s="150"/>
      <c r="O29" s="1357">
        <f>1/(1+Inputs!B25)^0.5</f>
        <v>0.97337719686120061</v>
      </c>
      <c r="P29" s="1357">
        <f>1/(1+Inputs!B25)^1.5</f>
        <v>0.92223904198323059</v>
      </c>
      <c r="Q29" s="1357">
        <f>1/(1+Inputs!B25)^2.5</f>
        <v>0.87378752378912361</v>
      </c>
      <c r="R29" s="1357">
        <f>1/(1+Inputs!B25)^3.5</f>
        <v>0.82788149489708041</v>
      </c>
      <c r="S29" s="1357">
        <f>1/(1+Inputs!B25)^4.5</f>
        <v>0.78438722336167555</v>
      </c>
      <c r="T29" s="165"/>
      <c r="U29" s="65"/>
      <c r="V29" s="65"/>
      <c r="W29" s="65"/>
      <c r="X29" s="65"/>
      <c r="Y29" s="65"/>
      <c r="Z29" s="65"/>
      <c r="AA29" s="65"/>
      <c r="AB29" s="65"/>
      <c r="AC29" s="65"/>
    </row>
    <row r="30" spans="1:47">
      <c r="A30" s="65"/>
      <c r="B30" s="150"/>
      <c r="C30" s="150"/>
      <c r="D30" s="150"/>
      <c r="E30" s="150"/>
      <c r="F30" s="150"/>
      <c r="G30" s="150"/>
      <c r="H30" s="150"/>
      <c r="I30" s="150"/>
      <c r="J30" s="150"/>
      <c r="K30" s="150"/>
      <c r="L30" s="150"/>
      <c r="M30" s="150"/>
      <c r="N30" s="150"/>
      <c r="O30" s="1354"/>
      <c r="P30" s="1354"/>
      <c r="Q30" s="1354"/>
      <c r="R30" s="1354"/>
      <c r="S30" s="1354"/>
      <c r="T30" s="150"/>
      <c r="U30" s="65"/>
      <c r="V30" s="65"/>
      <c r="W30" s="65"/>
      <c r="X30" s="65"/>
      <c r="Y30" s="65"/>
      <c r="Z30" s="65"/>
      <c r="AA30" s="65"/>
      <c r="AB30" s="65"/>
      <c r="AC30" s="65"/>
    </row>
    <row r="31" spans="1:47">
      <c r="A31" s="65"/>
      <c r="B31" s="150"/>
      <c r="C31" s="151"/>
      <c r="D31" s="150"/>
      <c r="E31" s="150"/>
      <c r="F31" s="150"/>
      <c r="G31" s="150"/>
      <c r="H31" s="150"/>
      <c r="I31" s="150"/>
      <c r="J31" s="150"/>
      <c r="K31" s="150"/>
      <c r="L31" s="150" t="s">
        <v>438</v>
      </c>
      <c r="M31" s="150"/>
      <c r="N31" s="150"/>
      <c r="O31" s="1355">
        <f>'Allowed revenue -DPCR4'!D24</f>
        <v>1</v>
      </c>
      <c r="P31" s="1355">
        <f>'Allowed revenue -DPCR4'!E24</f>
        <v>1.0129999999999999</v>
      </c>
      <c r="Q31" s="1355">
        <f>'Allowed revenue -DPCR4'!F24</f>
        <v>1.0269999999999999</v>
      </c>
      <c r="R31" s="1355">
        <f>'Allowed revenue -DPCR4'!G24</f>
        <v>1.038</v>
      </c>
      <c r="S31" s="1355">
        <f>'Allowed revenue -DPCR4'!H24</f>
        <v>1.0509999999999999</v>
      </c>
      <c r="T31" s="151"/>
      <c r="U31" s="65"/>
      <c r="V31" s="65"/>
      <c r="W31" s="65"/>
      <c r="X31" s="65"/>
      <c r="Y31" s="65"/>
      <c r="Z31" s="65"/>
      <c r="AA31" s="65"/>
      <c r="AB31" s="65"/>
      <c r="AC31" s="65"/>
    </row>
    <row r="32" spans="1:47">
      <c r="A32" s="65"/>
      <c r="B32" s="150"/>
      <c r="C32" s="151"/>
      <c r="D32" s="150"/>
      <c r="E32" s="150"/>
      <c r="F32" s="150"/>
      <c r="G32" s="150"/>
      <c r="H32" s="150"/>
      <c r="I32" s="150"/>
      <c r="J32" s="150"/>
      <c r="K32" s="150"/>
      <c r="L32" s="150" t="s">
        <v>439</v>
      </c>
      <c r="M32" s="150"/>
      <c r="N32" s="150"/>
      <c r="O32" s="1358">
        <f>O31*O29</f>
        <v>0.97337719686120061</v>
      </c>
      <c r="P32" s="1358">
        <f>P31*P29</f>
        <v>0.93422814952901245</v>
      </c>
      <c r="Q32" s="1358">
        <f>Q31*Q29</f>
        <v>0.89737978693142983</v>
      </c>
      <c r="R32" s="1358">
        <f>R31*R29</f>
        <v>0.85934099170316947</v>
      </c>
      <c r="S32" s="1358">
        <f>S31*S29</f>
        <v>0.82439097175312093</v>
      </c>
      <c r="T32" s="173"/>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row>
    <row r="33" spans="1:49">
      <c r="A33" s="65"/>
      <c r="B33" s="150"/>
      <c r="C33" s="150"/>
      <c r="D33" s="150"/>
      <c r="E33" s="150"/>
      <c r="F33" s="150"/>
      <c r="G33" s="150"/>
      <c r="H33" s="150"/>
      <c r="I33" s="150"/>
      <c r="J33" s="150"/>
      <c r="K33" s="150"/>
      <c r="L33" s="150" t="s">
        <v>440</v>
      </c>
      <c r="M33" s="150"/>
      <c r="N33" s="150"/>
      <c r="O33" s="1359">
        <f>($S$25-$N$39)/SUM($O$32:$U$32)*O31</f>
        <v>175.5943029626859</v>
      </c>
      <c r="P33" s="1359">
        <f>($S$25-$N$39)/SUM($O$32:$U$32)*P31</f>
        <v>177.87702890120079</v>
      </c>
      <c r="Q33" s="1359">
        <f>($S$25-$N$39)/SUM($O$32:$U$32)*Q31</f>
        <v>180.33534914267841</v>
      </c>
      <c r="R33" s="1359">
        <f>($S$25-$N$39)/SUM($O$32:$U$32)*R31</f>
        <v>182.26688647526797</v>
      </c>
      <c r="S33" s="1359">
        <f>($S$25-$N$39)/SUM($O$32:$U$32)*S31</f>
        <v>184.54961241378288</v>
      </c>
      <c r="T33" s="153"/>
      <c r="U33" s="65"/>
      <c r="V33" s="65"/>
      <c r="W33" s="65"/>
      <c r="X33" s="65"/>
      <c r="Y33" s="65"/>
      <c r="Z33" s="65"/>
      <c r="AA33" s="65"/>
      <c r="AB33" s="65"/>
      <c r="AC33" s="65"/>
      <c r="AD33" s="65"/>
      <c r="AE33" s="65"/>
      <c r="AF33" s="65"/>
      <c r="AG33" s="65"/>
      <c r="AH33" s="65"/>
      <c r="AI33" s="65"/>
      <c r="AJ33" s="65"/>
      <c r="AK33" s="65"/>
      <c r="AL33" s="65"/>
      <c r="AM33" s="65"/>
      <c r="AN33" s="65"/>
      <c r="AO33" s="208"/>
      <c r="AP33" s="208"/>
      <c r="AQ33" s="208"/>
      <c r="AR33" s="208"/>
      <c r="AS33" s="208"/>
      <c r="AT33" s="65"/>
      <c r="AU33" s="65"/>
    </row>
    <row r="34" spans="1:49">
      <c r="A34" s="65"/>
      <c r="B34" s="150"/>
      <c r="C34" s="150"/>
      <c r="D34" s="150"/>
      <c r="E34" s="150"/>
      <c r="F34" s="150"/>
      <c r="G34" s="150"/>
      <c r="H34" s="150"/>
      <c r="I34" s="150"/>
      <c r="J34" s="150"/>
      <c r="K34" s="150"/>
      <c r="L34" s="150" t="s">
        <v>359</v>
      </c>
      <c r="M34" s="150"/>
      <c r="N34" s="150"/>
      <c r="O34" s="1354">
        <f>'Allowed revenue -DPCR4'!D27</f>
        <v>2.9</v>
      </c>
      <c r="P34" s="1354">
        <f>'Allowed revenue -DPCR4'!E27</f>
        <v>2.9</v>
      </c>
      <c r="Q34" s="1354">
        <f>'Allowed revenue -DPCR4'!F27</f>
        <v>2.9</v>
      </c>
      <c r="R34" s="1354">
        <f>'Allowed revenue -DPCR4'!G27</f>
        <v>2.9</v>
      </c>
      <c r="S34" s="1354">
        <f>'Allowed revenue -DPCR4'!H27</f>
        <v>2.9</v>
      </c>
      <c r="T34" s="150"/>
      <c r="U34" s="65"/>
      <c r="V34" s="65"/>
      <c r="W34" s="65"/>
      <c r="X34" s="65"/>
      <c r="Y34" s="65"/>
      <c r="Z34" s="65"/>
      <c r="AA34" s="65"/>
      <c r="AB34" s="65"/>
      <c r="AC34" s="65"/>
      <c r="AD34" s="65"/>
      <c r="AE34" s="65"/>
      <c r="AF34" s="65"/>
      <c r="AG34" s="65"/>
      <c r="AH34" s="65"/>
      <c r="AI34" s="65"/>
      <c r="AJ34" s="65"/>
      <c r="AK34" s="65"/>
      <c r="AL34" s="65"/>
      <c r="AM34" s="65"/>
      <c r="AN34" s="65"/>
      <c r="AO34" s="77"/>
      <c r="AP34" s="77"/>
      <c r="AQ34" s="77"/>
      <c r="AR34" s="77"/>
      <c r="AS34" s="77"/>
      <c r="AT34" s="65"/>
      <c r="AU34" s="65"/>
    </row>
    <row r="35" spans="1:49">
      <c r="A35" s="65"/>
      <c r="B35" s="150"/>
      <c r="C35" s="150"/>
      <c r="D35" s="150"/>
      <c r="E35" s="150"/>
      <c r="F35" s="150"/>
      <c r="G35" s="150"/>
      <c r="H35" s="150"/>
      <c r="I35" s="150"/>
      <c r="J35" s="150"/>
      <c r="K35" s="150"/>
      <c r="L35" s="150" t="s">
        <v>360</v>
      </c>
      <c r="M35" s="150"/>
      <c r="N35" s="150"/>
      <c r="O35" s="1359">
        <f>O34+O33</f>
        <v>178.49430296268591</v>
      </c>
      <c r="P35" s="1359">
        <f>P34+P33</f>
        <v>180.77702890120079</v>
      </c>
      <c r="Q35" s="1359">
        <f>Q34+Q33</f>
        <v>183.23534914267842</v>
      </c>
      <c r="R35" s="1359">
        <f>R34+R33</f>
        <v>185.16688647526797</v>
      </c>
      <c r="S35" s="1359">
        <f>S34+S33</f>
        <v>187.44961241378289</v>
      </c>
      <c r="T35" s="153"/>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154"/>
      <c r="AS35" s="65"/>
      <c r="AT35" s="65"/>
      <c r="AU35" s="65"/>
    </row>
    <row r="36" spans="1:49">
      <c r="A36" s="65"/>
      <c r="B36" s="150"/>
      <c r="C36" s="150"/>
      <c r="D36" s="150"/>
      <c r="E36" s="150"/>
      <c r="F36" s="150"/>
      <c r="G36" s="150"/>
      <c r="H36" s="150"/>
      <c r="I36" s="150"/>
      <c r="J36" s="150"/>
      <c r="K36" s="150"/>
      <c r="L36" s="150" t="s">
        <v>348</v>
      </c>
      <c r="M36" s="150"/>
      <c r="N36" s="150"/>
      <c r="O36" s="1359">
        <f>O35*O29</f>
        <v>173.74228427351309</v>
      </c>
      <c r="P36" s="1359">
        <f>P35*P29</f>
        <v>166.71963394641821</v>
      </c>
      <c r="Q36" s="1359">
        <f>Q35*Q29</f>
        <v>160.10876199801649</v>
      </c>
      <c r="R36" s="1359">
        <f>R35*R29</f>
        <v>153.29623878058283</v>
      </c>
      <c r="S36" s="1359">
        <f>S35*S29</f>
        <v>147.03308100146944</v>
      </c>
      <c r="T36" s="153"/>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row>
    <row r="37" spans="1:49">
      <c r="A37" s="65"/>
      <c r="B37" s="150"/>
      <c r="C37" s="150"/>
      <c r="D37" s="150"/>
      <c r="E37" s="150"/>
      <c r="F37" s="150"/>
      <c r="G37" s="150"/>
      <c r="H37" s="150"/>
      <c r="I37" s="150"/>
      <c r="J37" s="150"/>
      <c r="K37" s="150"/>
      <c r="L37" s="150" t="s">
        <v>434</v>
      </c>
      <c r="M37" s="150"/>
      <c r="N37" s="150"/>
      <c r="O37" s="1354"/>
      <c r="P37" s="1354"/>
      <c r="Q37" s="1354"/>
      <c r="R37" s="1354"/>
      <c r="S37" s="1359">
        <f>SUM(O36:S36)</f>
        <v>800.90000000000009</v>
      </c>
      <c r="T37" s="153"/>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row>
    <row r="38" spans="1:49">
      <c r="A38" s="65"/>
      <c r="B38" s="150"/>
      <c r="C38" s="150"/>
      <c r="D38" s="150"/>
      <c r="E38" s="150"/>
      <c r="F38" s="150"/>
      <c r="G38" s="150"/>
      <c r="H38" s="150"/>
      <c r="I38" s="150"/>
      <c r="J38" s="150"/>
      <c r="K38" s="150"/>
      <c r="L38" s="150"/>
      <c r="M38" s="150"/>
      <c r="N38" s="150"/>
      <c r="O38" s="1354"/>
      <c r="P38" s="1354"/>
      <c r="Q38" s="1354"/>
      <c r="R38" s="1354"/>
      <c r="S38" s="1354"/>
      <c r="T38" s="150"/>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row>
    <row r="39" spans="1:49">
      <c r="A39" s="65"/>
      <c r="B39" s="150"/>
      <c r="C39" s="150"/>
      <c r="D39" s="150"/>
      <c r="E39" s="150"/>
      <c r="F39" s="150"/>
      <c r="G39" s="150"/>
      <c r="H39" s="150"/>
      <c r="I39" s="150"/>
      <c r="J39" s="150"/>
      <c r="K39" s="150"/>
      <c r="L39" s="150" t="s">
        <v>387</v>
      </c>
      <c r="M39" s="150"/>
      <c r="N39" s="153">
        <f>SUM(O39:S39)</f>
        <v>12.706850194587702</v>
      </c>
      <c r="O39" s="1359">
        <f>O34*O29</f>
        <v>2.8227938708974816</v>
      </c>
      <c r="P39" s="1359">
        <f>P34*P29</f>
        <v>2.6744932217513688</v>
      </c>
      <c r="Q39" s="1359">
        <f>Q34*Q29</f>
        <v>2.5339838189884585</v>
      </c>
      <c r="R39" s="1359">
        <f>R34*R29</f>
        <v>2.4008563352015333</v>
      </c>
      <c r="S39" s="1359">
        <f>S34*S29</f>
        <v>2.2747229477488591</v>
      </c>
      <c r="T39" s="153"/>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row>
    <row r="40" spans="1:49" s="233" customFormat="1">
      <c r="A40" s="232"/>
      <c r="N40" s="234"/>
      <c r="O40" s="234"/>
      <c r="P40" s="234"/>
      <c r="Q40" s="234"/>
      <c r="R40" s="234"/>
      <c r="S40" s="234"/>
      <c r="T40" s="234"/>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row>
    <row r="41" spans="1:49" s="236" customFormat="1">
      <c r="A41" s="231" t="s">
        <v>499</v>
      </c>
      <c r="N41" s="237"/>
      <c r="O41" s="237"/>
      <c r="P41" s="237"/>
      <c r="Q41" s="237"/>
      <c r="R41" s="237"/>
      <c r="S41" s="237"/>
      <c r="T41" s="237"/>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row>
    <row r="42" spans="1:49">
      <c r="A42" s="65"/>
      <c r="B42" s="18"/>
      <c r="C42" s="18"/>
      <c r="D42" s="18"/>
      <c r="E42" s="18"/>
      <c r="F42" s="18"/>
      <c r="G42" s="18"/>
      <c r="H42" s="18"/>
      <c r="I42" s="18"/>
      <c r="J42" s="18"/>
      <c r="K42" s="18"/>
      <c r="L42" s="18"/>
      <c r="M42" s="18"/>
      <c r="N42" s="174"/>
      <c r="O42" s="174"/>
      <c r="P42" s="174"/>
      <c r="Q42" s="174"/>
      <c r="R42" s="174"/>
      <c r="S42" s="174"/>
      <c r="T42" s="174"/>
      <c r="U42" s="174"/>
      <c r="V42" s="174"/>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row>
    <row r="43" spans="1:49" ht="25.5">
      <c r="A43" s="65"/>
      <c r="B43" s="175" t="s">
        <v>650</v>
      </c>
      <c r="C43" s="1330" t="s">
        <v>776</v>
      </c>
      <c r="D43" s="176" t="s">
        <v>777</v>
      </c>
      <c r="E43" s="2260" t="s">
        <v>778</v>
      </c>
      <c r="F43" s="2260"/>
      <c r="G43" s="2260"/>
      <c r="H43" s="2260"/>
      <c r="I43" s="2260"/>
      <c r="J43" s="177"/>
      <c r="K43" s="2261" t="s">
        <v>14</v>
      </c>
      <c r="L43" s="2261"/>
      <c r="M43" s="2261"/>
      <c r="N43" s="2261"/>
      <c r="O43" s="178"/>
      <c r="P43" s="2262"/>
      <c r="Q43" s="2263"/>
      <c r="R43" s="2264"/>
      <c r="S43" s="2264"/>
      <c r="T43" s="2264"/>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row>
    <row r="44" spans="1:49">
      <c r="A44" s="65"/>
      <c r="B44" s="1306"/>
      <c r="C44" s="1331"/>
      <c r="D44" s="185"/>
      <c r="E44" s="1307" t="s">
        <v>245</v>
      </c>
      <c r="F44" s="1307"/>
      <c r="G44" s="1307" t="s">
        <v>239</v>
      </c>
      <c r="H44" s="1307" t="s">
        <v>408</v>
      </c>
      <c r="I44" s="1307" t="s">
        <v>625</v>
      </c>
      <c r="J44" s="187" t="s">
        <v>885</v>
      </c>
      <c r="K44" s="1308" t="s">
        <v>245</v>
      </c>
      <c r="L44" s="1308" t="s">
        <v>239</v>
      </c>
      <c r="M44" s="1308" t="s">
        <v>408</v>
      </c>
      <c r="N44" s="1308" t="s">
        <v>625</v>
      </c>
      <c r="O44" s="1309" t="s">
        <v>885</v>
      </c>
      <c r="P44" s="1295"/>
      <c r="Q44" s="1296"/>
      <c r="R44" s="1296"/>
      <c r="S44" s="1296"/>
      <c r="T44" s="1296"/>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row>
    <row r="45" spans="1:49">
      <c r="A45" s="65"/>
      <c r="B45" s="179" t="s">
        <v>342</v>
      </c>
      <c r="C45" s="1332">
        <f>SUM(D22:I22)</f>
        <v>290.32117989561596</v>
      </c>
      <c r="D45" s="239" t="s">
        <v>406</v>
      </c>
      <c r="E45" s="169">
        <f>VLOOKUP($D45,'Calc-Drivers'!$B$17:$G$27,E$51,FALSE)</f>
        <v>0.33559286088707718</v>
      </c>
      <c r="F45" s="169"/>
      <c r="G45" s="169">
        <f>VLOOKUP($D45,'Calc-Drivers'!$B$17:$G$27,G$51,FALSE)</f>
        <v>0.30767642895498798</v>
      </c>
      <c r="H45" s="169">
        <f>VLOOKUP($D45,'Calc-Drivers'!$B$17:$G$27,H$51,FALSE)</f>
        <v>8.1508635018859868E-2</v>
      </c>
      <c r="I45" s="169">
        <f>VLOOKUP($D45,'Calc-Drivers'!$B$17:$G$27,I$51,FALSE)</f>
        <v>0.19888141868413606</v>
      </c>
      <c r="J45" s="1092">
        <f>VLOOKUP($D45,'Calc-Drivers'!$B$17:$G$27,J$51,FALSE)</f>
        <v>7.6340656454939024E-2</v>
      </c>
      <c r="K45" s="1304">
        <f>$C45*E45</f>
        <v>97.42971533728155</v>
      </c>
      <c r="L45" s="1304">
        <f t="shared" ref="L45:N47" si="2">$C45*G45</f>
        <v>89.324983880281764</v>
      </c>
      <c r="M45" s="1304">
        <f t="shared" si="2"/>
        <v>23.663683090356518</v>
      </c>
      <c r="N45" s="1304">
        <f t="shared" si="2"/>
        <v>57.739488131692383</v>
      </c>
      <c r="O45" s="183">
        <f>$C45 * J45</f>
        <v>22.163309456003766</v>
      </c>
      <c r="P45" s="1297"/>
      <c r="Q45" s="1298"/>
      <c r="R45" s="1298"/>
      <c r="S45" s="1298"/>
      <c r="T45" s="1298"/>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row>
    <row r="46" spans="1:49">
      <c r="A46" s="65"/>
      <c r="B46" s="179" t="s">
        <v>441</v>
      </c>
      <c r="C46" s="1332">
        <f>SUM(D16:I16)</f>
        <v>293.90000000000003</v>
      </c>
      <c r="D46" s="182" t="s">
        <v>406</v>
      </c>
      <c r="E46" s="169">
        <f>VLOOKUP($D46,'Calc-Drivers'!$B$17:$G$27,E$51,FALSE)</f>
        <v>0.33559286088707718</v>
      </c>
      <c r="F46" s="169"/>
      <c r="G46" s="169">
        <f>VLOOKUP($D46,'Calc-Drivers'!$B$17:$G$27,G$51,FALSE)</f>
        <v>0.30767642895498798</v>
      </c>
      <c r="H46" s="169">
        <f>VLOOKUP($D46,'Calc-Drivers'!$B$17:$G$27,H$51,FALSE)</f>
        <v>8.1508635018859868E-2</v>
      </c>
      <c r="I46" s="169">
        <f>VLOOKUP($D46,'Calc-Drivers'!$B$17:$G$27,I$51,FALSE)</f>
        <v>0.19888141868413606</v>
      </c>
      <c r="J46" s="1092">
        <f>VLOOKUP($D46,'Calc-Drivers'!$B$17:$G$27,J$51,FALSE)</f>
        <v>7.6340656454939024E-2</v>
      </c>
      <c r="K46" s="1304">
        <f>$C46*E46</f>
        <v>98.630741814711996</v>
      </c>
      <c r="L46" s="1304">
        <f t="shared" si="2"/>
        <v>90.426102469870983</v>
      </c>
      <c r="M46" s="1304">
        <f t="shared" si="2"/>
        <v>23.955387832042916</v>
      </c>
      <c r="N46" s="1304">
        <f t="shared" si="2"/>
        <v>58.451248951267594</v>
      </c>
      <c r="O46" s="183">
        <f>$C46 * J46</f>
        <v>22.436518932106583</v>
      </c>
      <c r="P46" s="1297"/>
      <c r="Q46" s="1298"/>
      <c r="R46" s="1298"/>
      <c r="S46" s="1298"/>
      <c r="T46" s="1298"/>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row>
    <row r="47" spans="1:49">
      <c r="A47" s="65"/>
      <c r="B47" s="184" t="s">
        <v>779</v>
      </c>
      <c r="C47" s="1332">
        <f>SUM(D13:I13)</f>
        <v>316.40200000000004</v>
      </c>
      <c r="D47" s="182" t="s">
        <v>780</v>
      </c>
      <c r="E47" s="169">
        <f>'Calc DNO Opex Allocation'!AQ41</f>
        <v>0.18217580696246202</v>
      </c>
      <c r="F47" s="169"/>
      <c r="G47" s="169">
        <f>'Calc DNO Opex Allocation'!AR41</f>
        <v>0.24591507953251326</v>
      </c>
      <c r="H47" s="169">
        <f>'Calc DNO Opex Allocation'!AS41</f>
        <v>9.3411101978071481E-2</v>
      </c>
      <c r="I47" s="169">
        <f>'Calc DNO Opex Allocation'!AT41</f>
        <v>0.30885556397252678</v>
      </c>
      <c r="J47" s="1092">
        <f>'Calc DNO Opex Allocation'!AU41</f>
        <v>0.16964244755442648</v>
      </c>
      <c r="K47" s="1304">
        <f>$C47*E47</f>
        <v>57.640789674536919</v>
      </c>
      <c r="L47" s="1304">
        <f t="shared" si="2"/>
        <v>77.808022994246272</v>
      </c>
      <c r="M47" s="1304">
        <f t="shared" si="2"/>
        <v>29.555459488065775</v>
      </c>
      <c r="N47" s="1304">
        <f>$C47*I47</f>
        <v>97.722518152035434</v>
      </c>
      <c r="O47" s="183">
        <f>$C47 * J47</f>
        <v>53.675209691115654</v>
      </c>
      <c r="P47" s="1297"/>
      <c r="Q47" s="1298"/>
      <c r="R47" s="1298"/>
      <c r="S47" s="1298"/>
      <c r="T47" s="1298"/>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row>
    <row r="48" spans="1:49">
      <c r="A48" s="65"/>
      <c r="B48" s="180"/>
      <c r="C48" s="1332"/>
      <c r="D48" s="180"/>
      <c r="E48" s="160"/>
      <c r="F48" s="160"/>
      <c r="G48" s="160"/>
      <c r="H48" s="160"/>
      <c r="I48" s="160"/>
      <c r="J48" s="181"/>
      <c r="K48" s="1303"/>
      <c r="L48" s="1303"/>
      <c r="M48" s="1304"/>
      <c r="N48" s="1303"/>
      <c r="O48" s="183"/>
      <c r="P48" s="1299"/>
      <c r="Q48" s="1300"/>
      <c r="R48" s="1300"/>
      <c r="S48" s="1298"/>
      <c r="T48" s="1296"/>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row>
    <row r="49" spans="1:49">
      <c r="A49" s="65"/>
      <c r="B49" s="184" t="s">
        <v>246</v>
      </c>
      <c r="C49" s="1332">
        <f>SUM(C45:C47)</f>
        <v>900.62317989561598</v>
      </c>
      <c r="D49" s="180"/>
      <c r="E49" s="160"/>
      <c r="F49" s="160"/>
      <c r="G49" s="160"/>
      <c r="H49" s="160"/>
      <c r="I49" s="160"/>
      <c r="J49" s="181"/>
      <c r="K49" s="1304">
        <f>SUM(K45:K48)</f>
        <v>253.70124682653045</v>
      </c>
      <c r="L49" s="1304">
        <f>SUM(L45:L48)</f>
        <v>257.55910934439902</v>
      </c>
      <c r="M49" s="1304">
        <f>SUM(M45:M48)</f>
        <v>77.174530410465209</v>
      </c>
      <c r="N49" s="1304">
        <f>SUM(N45:N48)</f>
        <v>213.9132552349954</v>
      </c>
      <c r="O49" s="183">
        <f>SUM($O$45:$O$48)</f>
        <v>98.275038079226007</v>
      </c>
      <c r="P49" s="1301"/>
      <c r="Q49" s="1302"/>
      <c r="R49" s="1302"/>
      <c r="S49" s="1302"/>
      <c r="T49" s="13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row>
    <row r="50" spans="1:49">
      <c r="A50" s="65"/>
      <c r="B50" s="185"/>
      <c r="C50" s="185"/>
      <c r="D50" s="185"/>
      <c r="E50" s="186"/>
      <c r="F50" s="186"/>
      <c r="G50" s="186"/>
      <c r="H50" s="186"/>
      <c r="I50" s="186"/>
      <c r="J50" s="187"/>
      <c r="K50" s="1305">
        <f>K49/SUM($K$49:$O$49)</f>
        <v>0.28169522225259058</v>
      </c>
      <c r="L50" s="1305">
        <f>L49/SUM($K$49:$O$49)</f>
        <v>0.28597877013808437</v>
      </c>
      <c r="M50" s="1305">
        <f>M49/SUM($K$49:$O$49)</f>
        <v>8.569014448352294E-2</v>
      </c>
      <c r="N50" s="1305">
        <f>N49/SUM($K$49:$O$49)</f>
        <v>0.23751693273072136</v>
      </c>
      <c r="O50" s="188">
        <f>O49/SUM($K$48:$O$49)</f>
        <v>0.10911893039508073</v>
      </c>
      <c r="P50" s="1299"/>
      <c r="Q50" s="1300"/>
      <c r="R50" s="1300"/>
      <c r="S50" s="1300"/>
      <c r="T50" s="1300"/>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row>
    <row r="51" spans="1:49">
      <c r="A51" s="65"/>
      <c r="B51" s="65"/>
      <c r="C51" s="65"/>
      <c r="D51" s="65"/>
      <c r="E51" s="65">
        <v>6</v>
      </c>
      <c r="F51" s="65"/>
      <c r="G51" s="65">
        <v>5</v>
      </c>
      <c r="H51" s="65">
        <v>4</v>
      </c>
      <c r="I51" s="65">
        <v>3</v>
      </c>
      <c r="J51" s="65">
        <v>2</v>
      </c>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row>
    <row r="52" spans="1:49">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row>
    <row r="53" spans="1:49">
      <c r="A53" s="65"/>
      <c r="B53" s="65"/>
      <c r="C53" s="65"/>
      <c r="D53" s="240" t="s">
        <v>411</v>
      </c>
      <c r="E53" s="65"/>
      <c r="F53" s="65"/>
      <c r="G53" s="65"/>
      <c r="H53" s="65"/>
      <c r="I53" s="65"/>
      <c r="J53" s="65"/>
      <c r="K53" s="518"/>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row>
    <row r="54" spans="1:49">
      <c r="A54" s="65"/>
      <c r="B54" s="65"/>
      <c r="C54" s="65"/>
      <c r="D54" s="1225" t="s">
        <v>892</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row>
    <row r="55" spans="1:49">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row>
    <row r="56" spans="1:49" s="236" customFormat="1">
      <c r="A56" s="231" t="s">
        <v>901</v>
      </c>
      <c r="N56" s="237"/>
      <c r="O56" s="237"/>
      <c r="P56" s="237"/>
      <c r="Q56" s="237"/>
      <c r="R56" s="237"/>
      <c r="S56" s="237"/>
      <c r="T56" s="237"/>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row>
    <row r="58" spans="1:49" ht="13.5" thickBot="1">
      <c r="B58" s="2268" t="s">
        <v>500</v>
      </c>
      <c r="C58" s="2268"/>
      <c r="D58" s="2268"/>
      <c r="E58" s="2268"/>
      <c r="F58" s="2268"/>
      <c r="G58" s="2268"/>
    </row>
    <row r="59" spans="1:49">
      <c r="B59" s="143" t="s">
        <v>881</v>
      </c>
      <c r="C59" s="144"/>
      <c r="D59" s="144"/>
      <c r="E59" s="144"/>
      <c r="F59" s="144">
        <f>'Summary of revenue'!J11</f>
        <v>200.65765400000001</v>
      </c>
      <c r="G59" s="145">
        <f>F59/$F$64</f>
        <v>0.91551183349151721</v>
      </c>
      <c r="K59" s="1335"/>
      <c r="L59" s="1335"/>
      <c r="M59" s="157"/>
      <c r="N59" s="1226"/>
      <c r="O59" s="1226"/>
      <c r="P59" s="1337" t="s">
        <v>14</v>
      </c>
      <c r="Q59" s="1337" t="s">
        <v>999</v>
      </c>
      <c r="R59" s="1337" t="s">
        <v>1000</v>
      </c>
    </row>
    <row r="60" spans="1:49">
      <c r="B60" s="146" t="s">
        <v>458</v>
      </c>
      <c r="C60" s="147"/>
      <c r="D60" s="147"/>
      <c r="E60" s="147"/>
      <c r="F60" s="147">
        <f>'Summary of revenue'!J12</f>
        <v>-3.144495</v>
      </c>
      <c r="G60" s="1333">
        <f>F60/$F$64</f>
        <v>-1.4346935317278793E-2</v>
      </c>
      <c r="K60" s="1335"/>
      <c r="L60" s="1335"/>
      <c r="M60" s="159"/>
      <c r="N60" s="160"/>
      <c r="O60" s="160"/>
      <c r="P60" s="161"/>
      <c r="Q60" s="161"/>
      <c r="R60" s="161"/>
    </row>
    <row r="61" spans="1:49">
      <c r="B61" s="146" t="s">
        <v>450</v>
      </c>
      <c r="C61" s="147"/>
      <c r="D61" s="147"/>
      <c r="E61" s="147"/>
      <c r="F61" s="147">
        <f>'Summary of revenue'!J13</f>
        <v>7.4753319999999999</v>
      </c>
      <c r="G61" s="1333">
        <f>F61/$F$64</f>
        <v>3.4106622742025132E-2</v>
      </c>
      <c r="K61" s="1335"/>
      <c r="L61" s="1335"/>
      <c r="M61" s="159" t="s">
        <v>454</v>
      </c>
      <c r="N61" s="160"/>
      <c r="O61" s="160"/>
      <c r="P61" s="1362">
        <f>F64</f>
        <v>219.17537999999999</v>
      </c>
      <c r="Q61" s="1362">
        <f>'Summary of revenue'!J65</f>
        <v>1.6999997184480549</v>
      </c>
      <c r="R61" s="1362">
        <f>P61-Q61</f>
        <v>217.47538028155194</v>
      </c>
    </row>
    <row r="62" spans="1:49">
      <c r="B62" s="1361" t="s">
        <v>900</v>
      </c>
      <c r="C62" s="147"/>
      <c r="D62" s="147"/>
      <c r="E62" s="147"/>
      <c r="F62" s="147">
        <f>'Summary of revenue'!J21</f>
        <v>3.366889</v>
      </c>
      <c r="G62" s="1333">
        <f>F62/$F$64</f>
        <v>1.5361620452078149E-2</v>
      </c>
      <c r="K62" s="1335"/>
      <c r="L62" s="1335"/>
      <c r="M62" s="159"/>
      <c r="N62" s="160"/>
      <c r="O62" s="160"/>
      <c r="P62" s="1362"/>
      <c r="Q62" s="1362"/>
      <c r="R62" s="1362"/>
    </row>
    <row r="63" spans="1:49" ht="14.25">
      <c r="B63" s="146" t="s">
        <v>451</v>
      </c>
      <c r="C63" s="147"/>
      <c r="D63" s="147"/>
      <c r="E63" s="147"/>
      <c r="F63" s="147">
        <f>'Summary of revenue'!J46+'Summary of revenue'!J47</f>
        <v>10.82</v>
      </c>
      <c r="G63" s="1333">
        <f>F63/$F$64</f>
        <v>4.9366858631658357E-2</v>
      </c>
      <c r="K63" s="1335"/>
      <c r="L63" s="1335"/>
      <c r="M63" s="159" t="s">
        <v>992</v>
      </c>
      <c r="N63" s="160"/>
      <c r="O63" s="1336"/>
      <c r="P63" s="1362">
        <f>-F61</f>
        <v>-7.4753319999999999</v>
      </c>
      <c r="Q63" s="1362">
        <f>Q$61*P63/P$61</f>
        <v>-5.7981249058656752E-2</v>
      </c>
      <c r="R63" s="1362">
        <f>P63-Q63</f>
        <v>-7.4173507509413428</v>
      </c>
    </row>
    <row r="64" spans="1:49" ht="13.5" thickBot="1">
      <c r="B64" s="148" t="s">
        <v>246</v>
      </c>
      <c r="C64" s="149"/>
      <c r="D64" s="149"/>
      <c r="E64" s="149"/>
      <c r="F64" s="149">
        <f>SUM(F59:F63)</f>
        <v>219.17537999999999</v>
      </c>
      <c r="G64" s="1334">
        <f>SUM(G59:G63)</f>
        <v>1</v>
      </c>
      <c r="K64" s="1335"/>
      <c r="L64" s="1335"/>
      <c r="M64" s="159" t="s">
        <v>991</v>
      </c>
      <c r="N64" s="160"/>
      <c r="O64" s="160"/>
      <c r="P64" s="1362">
        <f>-'Calc DNO Opex Allocation'!I36</f>
        <v>-5.1675739700000003</v>
      </c>
      <c r="Q64" s="1362">
        <f>Q$61*P64/P$61</f>
        <v>-4.0081483121231491E-2</v>
      </c>
      <c r="R64" s="1362">
        <f>P64-Q64</f>
        <v>-5.1274924868787686</v>
      </c>
    </row>
    <row r="65" spans="2:20" ht="14.25">
      <c r="K65" s="1335"/>
      <c r="L65" s="1335"/>
      <c r="M65" s="159"/>
      <c r="N65" s="160"/>
      <c r="O65" s="1336"/>
      <c r="P65" s="1362"/>
      <c r="Q65" s="1362"/>
      <c r="R65" s="1362"/>
    </row>
    <row r="66" spans="2:20" ht="14.25">
      <c r="K66" s="1335"/>
      <c r="L66" s="1335"/>
      <c r="M66" s="159" t="s">
        <v>998</v>
      </c>
      <c r="N66" s="160"/>
      <c r="O66" s="1336"/>
      <c r="P66" s="1362">
        <f>-SUM(P63:P65)</f>
        <v>12.642905970000001</v>
      </c>
      <c r="Q66" s="1362">
        <f>-SUM(Q63:Q65)</f>
        <v>9.8062732179888243E-2</v>
      </c>
      <c r="R66" s="1362">
        <f>P66-Q66</f>
        <v>12.544843237820112</v>
      </c>
    </row>
    <row r="67" spans="2:20" ht="13.5" thickBot="1">
      <c r="K67" s="1335"/>
      <c r="L67" s="1335"/>
      <c r="M67" s="171" t="s">
        <v>367</v>
      </c>
      <c r="N67" s="172"/>
      <c r="O67" s="172"/>
      <c r="P67" s="1363">
        <f>SUM(P61:P65)</f>
        <v>206.53247402999997</v>
      </c>
      <c r="Q67" s="1363">
        <f>SUM(Q61:Q65)</f>
        <v>1.6019369862681667</v>
      </c>
      <c r="R67" s="1362">
        <f>P67-Q67</f>
        <v>204.93053704373182</v>
      </c>
    </row>
    <row r="68" spans="2:20">
      <c r="B68" s="65"/>
      <c r="C68" s="65"/>
      <c r="D68" s="65"/>
      <c r="E68" s="65"/>
      <c r="F68" s="65"/>
      <c r="G68" s="65"/>
      <c r="H68" s="65"/>
      <c r="I68" s="65"/>
      <c r="J68" s="65"/>
      <c r="K68" s="65"/>
      <c r="L68" s="65"/>
      <c r="M68" s="65"/>
      <c r="N68" s="65"/>
      <c r="O68" s="65"/>
      <c r="P68" s="65"/>
      <c r="Q68" s="65"/>
      <c r="R68" s="65"/>
    </row>
    <row r="69" spans="2:20" s="97" customFormat="1" ht="39" customHeight="1" thickBot="1">
      <c r="D69" s="2265"/>
      <c r="E69" s="2266"/>
      <c r="F69" s="2266"/>
      <c r="G69" s="2266"/>
      <c r="H69" s="2266"/>
      <c r="I69" s="2266"/>
      <c r="J69" s="2266"/>
      <c r="K69" s="2267"/>
      <c r="L69" s="2265" t="s">
        <v>772</v>
      </c>
      <c r="M69" s="2266"/>
      <c r="N69" s="2266"/>
      <c r="O69" s="2266"/>
      <c r="P69" s="2266"/>
      <c r="Q69" s="2266"/>
      <c r="R69" s="2267"/>
    </row>
    <row r="70" spans="2:20">
      <c r="B70" s="1329" t="s">
        <v>895</v>
      </c>
      <c r="C70" s="158"/>
      <c r="D70" s="2256" t="s">
        <v>14</v>
      </c>
      <c r="E70" s="2257"/>
      <c r="F70" s="2257"/>
      <c r="G70" s="2257"/>
      <c r="H70" s="2257"/>
      <c r="I70" s="2257"/>
      <c r="J70" s="2257"/>
      <c r="K70" s="1226"/>
      <c r="L70" s="2256" t="s">
        <v>341</v>
      </c>
      <c r="M70" s="2258"/>
      <c r="N70" s="2258"/>
      <c r="O70" s="2258"/>
      <c r="P70" s="2258"/>
      <c r="Q70" s="2257"/>
      <c r="R70" s="2259"/>
    </row>
    <row r="71" spans="2:20">
      <c r="B71" s="159"/>
      <c r="C71" s="160"/>
      <c r="D71" s="162" t="s">
        <v>246</v>
      </c>
      <c r="E71" s="162"/>
      <c r="F71" s="162" t="s">
        <v>245</v>
      </c>
      <c r="G71" s="162" t="s">
        <v>239</v>
      </c>
      <c r="H71" s="162" t="s">
        <v>408</v>
      </c>
      <c r="I71" s="162" t="s">
        <v>240</v>
      </c>
      <c r="J71" s="162" t="s">
        <v>386</v>
      </c>
      <c r="K71" s="1310"/>
      <c r="L71" s="1311" t="s">
        <v>245</v>
      </c>
      <c r="M71" s="163" t="s">
        <v>239</v>
      </c>
      <c r="N71" s="163" t="s">
        <v>408</v>
      </c>
      <c r="O71" s="163" t="s">
        <v>625</v>
      </c>
      <c r="P71" s="162" t="s">
        <v>386</v>
      </c>
      <c r="Q71" s="162"/>
      <c r="R71" s="162" t="s">
        <v>246</v>
      </c>
      <c r="S71" s="1313" t="s">
        <v>885</v>
      </c>
    </row>
    <row r="72" spans="2:20">
      <c r="B72" s="159"/>
      <c r="C72" s="160"/>
      <c r="D72" s="159"/>
      <c r="E72" s="160"/>
      <c r="F72" s="160"/>
      <c r="G72" s="160"/>
      <c r="H72" s="160"/>
      <c r="I72" s="160"/>
      <c r="J72" s="160"/>
      <c r="K72" s="160"/>
      <c r="L72" s="1315"/>
      <c r="M72" s="1303"/>
      <c r="N72" s="1303"/>
      <c r="O72" s="1303"/>
      <c r="P72" s="181"/>
      <c r="Q72" s="181"/>
      <c r="R72" s="181"/>
      <c r="S72" s="161"/>
    </row>
    <row r="73" spans="2:20">
      <c r="B73" s="159" t="s">
        <v>658</v>
      </c>
      <c r="C73" s="160"/>
      <c r="D73" s="166">
        <f>SUM(F73:J73)</f>
        <v>217.47538028155194</v>
      </c>
      <c r="E73" s="160"/>
      <c r="F73" s="167">
        <f>$R$67*K50</f>
        <v>57.727953178876781</v>
      </c>
      <c r="G73" s="167">
        <f>$R$67*L50</f>
        <v>58.605782947503563</v>
      </c>
      <c r="H73" s="167">
        <f>$R$67*M50</f>
        <v>17.560527328363328</v>
      </c>
      <c r="I73" s="167">
        <f>$R$67*(N50+O50)</f>
        <v>71.036273588988138</v>
      </c>
      <c r="J73" s="1338">
        <f>R66</f>
        <v>12.544843237820112</v>
      </c>
      <c r="K73" s="160"/>
      <c r="L73" s="1316">
        <f>F73*100000000/'Calc-Units'!E21</f>
        <v>0.38337871437472526</v>
      </c>
      <c r="M73" s="1317">
        <f>G73*100000000/'Calc-Units'!D21</f>
        <v>0.40232910191460541</v>
      </c>
      <c r="N73" s="1317">
        <f>H73*100000000/'Calc-Units'!C21</f>
        <v>0.15769578873894119</v>
      </c>
      <c r="O73" s="1317">
        <f>I73*100000000/'Calc-Units'!C21</f>
        <v>0.63791485205557086</v>
      </c>
      <c r="P73" s="1317">
        <f>J73*100000000/'Calc-Units'!E21</f>
        <v>8.3311907104091754E-2</v>
      </c>
      <c r="Q73" s="181"/>
      <c r="R73" s="1317"/>
      <c r="S73" s="1314"/>
    </row>
    <row r="74" spans="2:20">
      <c r="B74" s="159"/>
      <c r="C74" s="160"/>
      <c r="D74" s="159"/>
      <c r="E74" s="160"/>
      <c r="F74" s="160"/>
      <c r="G74" s="160"/>
      <c r="H74" s="160"/>
      <c r="I74" s="160"/>
      <c r="J74" s="160"/>
      <c r="K74" s="160"/>
      <c r="L74" s="1315"/>
      <c r="M74" s="1303"/>
      <c r="N74" s="1303"/>
      <c r="O74" s="1303"/>
      <c r="P74" s="1303"/>
      <c r="Q74" s="181"/>
      <c r="R74" s="181"/>
      <c r="S74" s="161"/>
    </row>
    <row r="75" spans="2:20">
      <c r="B75" s="159" t="s">
        <v>435</v>
      </c>
      <c r="C75" s="160"/>
      <c r="D75" s="159"/>
      <c r="E75" s="160"/>
      <c r="F75" s="160"/>
      <c r="G75" s="160"/>
      <c r="H75" s="160"/>
      <c r="I75" s="160"/>
      <c r="J75" s="160"/>
      <c r="K75" s="160"/>
      <c r="L75" s="1316">
        <f>L73</f>
        <v>0.38337871437472526</v>
      </c>
      <c r="M75" s="1317">
        <f>M73</f>
        <v>0.40232910191460541</v>
      </c>
      <c r="N75" s="1317">
        <f>N73</f>
        <v>0.15769578873894119</v>
      </c>
      <c r="O75" s="1317">
        <f>O73</f>
        <v>0.63791485205557086</v>
      </c>
      <c r="P75" s="1317">
        <f>P73</f>
        <v>8.3311907104091754E-2</v>
      </c>
      <c r="Q75" s="181"/>
      <c r="R75" s="1318">
        <f>SUM(L75:P75)</f>
        <v>1.6646303641879345</v>
      </c>
      <c r="S75" s="168"/>
    </row>
    <row r="76" spans="2:20">
      <c r="B76" s="159" t="s">
        <v>436</v>
      </c>
      <c r="C76" s="160"/>
      <c r="D76" s="159"/>
      <c r="E76" s="160"/>
      <c r="F76" s="160"/>
      <c r="G76" s="160"/>
      <c r="H76" s="160"/>
      <c r="I76" s="160"/>
      <c r="J76" s="160"/>
      <c r="K76" s="160"/>
      <c r="L76" s="1316"/>
      <c r="M76" s="1317"/>
      <c r="N76" s="1317"/>
      <c r="O76" s="1303"/>
      <c r="P76" s="1317"/>
      <c r="Q76" s="181"/>
      <c r="R76" s="1318"/>
      <c r="S76" s="168"/>
    </row>
    <row r="77" spans="2:20">
      <c r="B77" s="159" t="s">
        <v>437</v>
      </c>
      <c r="C77" s="160"/>
      <c r="D77" s="159"/>
      <c r="E77" s="160"/>
      <c r="F77" s="160"/>
      <c r="G77" s="160"/>
      <c r="H77" s="160"/>
      <c r="I77" s="160"/>
      <c r="J77" s="160"/>
      <c r="K77" s="160"/>
      <c r="L77" s="1316"/>
      <c r="M77" s="1303"/>
      <c r="N77" s="1303"/>
      <c r="O77" s="1303"/>
      <c r="P77" s="1317"/>
      <c r="Q77" s="181"/>
      <c r="R77" s="1318"/>
      <c r="S77" s="168"/>
    </row>
    <row r="78" spans="2:20">
      <c r="B78" s="159"/>
      <c r="C78" s="160"/>
      <c r="D78" s="159"/>
      <c r="E78" s="160"/>
      <c r="F78" s="160"/>
      <c r="G78" s="160"/>
      <c r="H78" s="160"/>
      <c r="I78" s="160"/>
      <c r="J78" s="160"/>
      <c r="K78" s="160"/>
      <c r="L78" s="1315"/>
      <c r="M78" s="1303"/>
      <c r="N78" s="1303"/>
      <c r="O78" s="1303"/>
      <c r="P78" s="1303"/>
      <c r="Q78" s="181"/>
      <c r="R78" s="181"/>
      <c r="S78" s="161"/>
    </row>
    <row r="79" spans="2:20">
      <c r="B79" s="159" t="s">
        <v>435</v>
      </c>
      <c r="C79" s="160"/>
      <c r="D79" s="159"/>
      <c r="E79" s="160"/>
      <c r="F79" s="160"/>
      <c r="G79" s="160"/>
      <c r="H79" s="160"/>
      <c r="I79" s="160"/>
      <c r="J79" s="160"/>
      <c r="K79" s="160"/>
      <c r="L79" s="1319">
        <f>L75/$R75</f>
        <v>0.23030861542751621</v>
      </c>
      <c r="M79" s="1320">
        <f>M75/$R75</f>
        <v>0.24169275688472483</v>
      </c>
      <c r="N79" s="1320">
        <f>N75/$R75</f>
        <v>9.4733216533552031E-2</v>
      </c>
      <c r="O79" s="1320">
        <f>$O75/$R75*$N50/($N50+$O50)</f>
        <v>0.26258262434241936</v>
      </c>
      <c r="P79" s="1320">
        <f>P75/$R75</f>
        <v>5.0048292339503399E-2</v>
      </c>
      <c r="Q79" s="1321"/>
      <c r="R79" s="1322">
        <f>SUM(L79:P79) + S79</f>
        <v>1</v>
      </c>
      <c r="S79" s="238">
        <f>$O75/$R75*$O50/($N50+$O50)</f>
        <v>0.12063449447228415</v>
      </c>
      <c r="T79" s="518"/>
    </row>
    <row r="80" spans="2:20">
      <c r="B80" s="159" t="s">
        <v>436</v>
      </c>
      <c r="C80" s="160"/>
      <c r="D80" s="159"/>
      <c r="E80" s="160"/>
      <c r="F80" s="160"/>
      <c r="G80" s="160"/>
      <c r="H80" s="160"/>
      <c r="I80" s="160"/>
      <c r="J80" s="160"/>
      <c r="K80" s="160"/>
      <c r="L80" s="1323"/>
      <c r="M80" s="1324"/>
      <c r="N80" s="1324"/>
      <c r="O80" s="1324"/>
      <c r="P80" s="1324"/>
      <c r="Q80" s="1325"/>
      <c r="R80" s="1325"/>
      <c r="S80" s="170"/>
    </row>
    <row r="81" spans="2:19" ht="13.5" thickBot="1">
      <c r="B81" s="171" t="s">
        <v>437</v>
      </c>
      <c r="C81" s="172"/>
      <c r="D81" s="171"/>
      <c r="E81" s="172"/>
      <c r="F81" s="172"/>
      <c r="G81" s="172"/>
      <c r="H81" s="172"/>
      <c r="I81" s="172"/>
      <c r="J81" s="172"/>
      <c r="K81" s="172"/>
      <c r="L81" s="1326"/>
      <c r="M81" s="1327"/>
      <c r="N81" s="1327"/>
      <c r="O81" s="1327"/>
      <c r="P81" s="1327"/>
      <c r="Q81" s="1328"/>
      <c r="R81" s="1328"/>
      <c r="S81" s="1312"/>
    </row>
  </sheetData>
  <mergeCells count="8">
    <mergeCell ref="D70:J70"/>
    <mergeCell ref="L70:R70"/>
    <mergeCell ref="E43:I43"/>
    <mergeCell ref="K43:N43"/>
    <mergeCell ref="P43:T43"/>
    <mergeCell ref="D69:K69"/>
    <mergeCell ref="L69:R69"/>
    <mergeCell ref="B58:G58"/>
  </mergeCells>
  <phoneticPr fontId="0" type="noConversion"/>
  <hyperlinks>
    <hyperlink ref="A2" location="Inputs!A1" display="Index"/>
  </hyperlinks>
  <pageMargins left="0.70866141732283472" right="0.70866141732283472" top="0.74803149606299213" bottom="0.74803149606299213" header="0.31496062992125984" footer="0.31496062992125984"/>
  <pageSetup paperSize="9" scale="29" orientation="landscape"/>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FF00"/>
    <pageSetUpPr fitToPage="1"/>
  </sheetPr>
  <dimension ref="A1:G40"/>
  <sheetViews>
    <sheetView showGridLines="0" zoomScaleNormal="75" zoomScalePageLayoutView="75" workbookViewId="0">
      <selection activeCell="B9" sqref="B9"/>
    </sheetView>
  </sheetViews>
  <sheetFormatPr defaultColWidth="8.85546875" defaultRowHeight="12.75"/>
  <cols>
    <col min="1" max="1" width="44" customWidth="1"/>
    <col min="2" max="7" width="13.42578125" customWidth="1"/>
    <col min="8" max="8" width="9.140625" customWidth="1"/>
  </cols>
  <sheetData>
    <row r="1" spans="1:7" s="1" customFormat="1">
      <c r="A1" s="8"/>
      <c r="G1" s="253" t="s">
        <v>216</v>
      </c>
    </row>
    <row r="3" spans="1:7" ht="12.75" customHeight="1">
      <c r="A3" s="198" t="s">
        <v>897</v>
      </c>
      <c r="B3" s="2269" t="s">
        <v>343</v>
      </c>
      <c r="C3" s="2269"/>
      <c r="D3" s="2269"/>
      <c r="E3" s="2269"/>
      <c r="F3" s="2269"/>
      <c r="G3" s="2269"/>
    </row>
    <row r="4" spans="1:7">
      <c r="A4" s="202"/>
      <c r="B4" s="1240" t="s">
        <v>885</v>
      </c>
      <c r="C4" s="1230" t="s">
        <v>625</v>
      </c>
      <c r="D4" s="1231" t="s">
        <v>374</v>
      </c>
      <c r="E4" s="1230" t="s">
        <v>239</v>
      </c>
      <c r="F4" s="1230" t="s">
        <v>245</v>
      </c>
      <c r="G4" s="1232" t="s">
        <v>449</v>
      </c>
    </row>
    <row r="5" spans="1:7">
      <c r="A5" s="1346" t="s">
        <v>488</v>
      </c>
      <c r="B5" s="226">
        <f>'DNO Final Allocation'!J47</f>
        <v>0.16964244755442648</v>
      </c>
      <c r="C5" s="1233">
        <f>'DNO Final Allocation'!I47</f>
        <v>0.30885556397252678</v>
      </c>
      <c r="D5" s="1233">
        <f>'DNO Final Allocation'!H47</f>
        <v>9.3411101978071481E-2</v>
      </c>
      <c r="E5" s="1233">
        <f>'DNO Final Allocation'!G47</f>
        <v>0.24591507953251326</v>
      </c>
      <c r="F5" s="1233">
        <f>'DNO Final Allocation'!E47</f>
        <v>0.18217580696246202</v>
      </c>
      <c r="G5" s="1234" t="s">
        <v>482</v>
      </c>
    </row>
    <row r="6" spans="1:7">
      <c r="A6" s="1347" t="s">
        <v>441</v>
      </c>
      <c r="B6" s="227">
        <f>'DNO Final Allocation'!J45</f>
        <v>7.6340656454939024E-2</v>
      </c>
      <c r="C6" s="1235">
        <f>'DNO Final Allocation'!I46</f>
        <v>0.19888141868413606</v>
      </c>
      <c r="D6" s="1235">
        <f>'DNO Final Allocation'!H46</f>
        <v>8.1508635018859868E-2</v>
      </c>
      <c r="E6" s="1235">
        <f>'DNO Final Allocation'!G46</f>
        <v>0.30767642895498798</v>
      </c>
      <c r="F6" s="1235">
        <f>'DNO Final Allocation'!E46</f>
        <v>0.33559286088707718</v>
      </c>
      <c r="G6" s="1236" t="s">
        <v>482</v>
      </c>
    </row>
    <row r="7" spans="1:7">
      <c r="A7" s="1348" t="s">
        <v>342</v>
      </c>
      <c r="B7" s="228">
        <f>'DNO Final Allocation'!J46</f>
        <v>7.6340656454939024E-2</v>
      </c>
      <c r="C7" s="1237">
        <f>'DNO Final Allocation'!I45</f>
        <v>0.19888141868413606</v>
      </c>
      <c r="D7" s="1237">
        <f>'DNO Final Allocation'!H45</f>
        <v>8.1508635018859868E-2</v>
      </c>
      <c r="E7" s="1237">
        <f>'DNO Final Allocation'!G45</f>
        <v>0.30767642895498798</v>
      </c>
      <c r="F7" s="1237">
        <f>'DNO Final Allocation'!E45</f>
        <v>0.33559286088707718</v>
      </c>
      <c r="G7" s="1238" t="s">
        <v>482</v>
      </c>
    </row>
    <row r="8" spans="1:7">
      <c r="A8" s="1349" t="s">
        <v>448</v>
      </c>
      <c r="B8" s="229">
        <f>'DNO Final Allocation'!O50</f>
        <v>0.10911893039508073</v>
      </c>
      <c r="C8" s="509">
        <f>'DNO Final Allocation'!N50</f>
        <v>0.23751693273072136</v>
      </c>
      <c r="D8" s="1228">
        <f>'DNO Final Allocation'!M50</f>
        <v>8.569014448352294E-2</v>
      </c>
      <c r="E8" s="1228">
        <f>'DNO Final Allocation'!L50</f>
        <v>0.28597877013808437</v>
      </c>
      <c r="F8" s="1228">
        <f>'DNO Final Allocation'!K50</f>
        <v>0.28169522225259058</v>
      </c>
      <c r="G8" s="509" t="s">
        <v>482</v>
      </c>
    </row>
    <row r="9" spans="1:7" ht="41.25" customHeight="1">
      <c r="A9" s="1350" t="s">
        <v>898</v>
      </c>
      <c r="B9" s="225">
        <f>'DNO Final Allocation'!S79</f>
        <v>0.12063449447228415</v>
      </c>
      <c r="C9" s="1229">
        <f>'DNO Final Allocation'!O79</f>
        <v>0.26258262434241936</v>
      </c>
      <c r="D9" s="1229">
        <f>'DNO Final Allocation'!N79</f>
        <v>9.4733216533552031E-2</v>
      </c>
      <c r="E9" s="1229">
        <f>'DNO Final Allocation'!M79</f>
        <v>0.24169275688472483</v>
      </c>
      <c r="F9" s="1229">
        <f>'DNO Final Allocation'!L79</f>
        <v>0.23030861542751621</v>
      </c>
      <c r="G9" s="1229">
        <f>'DNO Final Allocation'!P79</f>
        <v>5.0048292339503399E-2</v>
      </c>
    </row>
    <row r="10" spans="1:7">
      <c r="A10" s="1350" t="s">
        <v>445</v>
      </c>
      <c r="B10" s="244">
        <f>'Calc DNO Opex Allocation'!AD48</f>
        <v>0.64309815506933354</v>
      </c>
      <c r="C10" s="1239">
        <f>'Calc DNO Opex Allocation'!AC48</f>
        <v>0.64309815506933354</v>
      </c>
      <c r="D10" s="1239">
        <f>'Calc DNO Opex Allocation'!AB48</f>
        <v>0.7678272412365138</v>
      </c>
      <c r="E10" s="1239">
        <f>'Calc DNO Opex Allocation'!AA48</f>
        <v>0.74049248026592462</v>
      </c>
      <c r="F10" s="1239">
        <f>'Calc DNO Opex Allocation'!Z48</f>
        <v>0.75932668495537448</v>
      </c>
      <c r="G10" s="1239" t="s">
        <v>482</v>
      </c>
    </row>
    <row r="12" spans="1:7" ht="12" customHeight="1"/>
    <row r="22" ht="12" customHeight="1"/>
    <row r="31" ht="12" customHeight="1"/>
    <row r="40" ht="12" customHeight="1"/>
  </sheetData>
  <mergeCells count="1">
    <mergeCell ref="B3:G3"/>
  </mergeCells>
  <phoneticPr fontId="2"/>
  <hyperlinks>
    <hyperlink ref="G1" location="Inputs!A1" display="Index"/>
  </hyperlinks>
  <pageMargins left="0.70866141732283472" right="0.70866141732283472" top="0.74803149606299213" bottom="0.74803149606299213" header="0.31496062992125984" footer="0.31496062992125984"/>
  <pageSetup paperSize="9" scale="70"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showGridLines="0" tabSelected="1" workbookViewId="0">
      <selection activeCell="C6" sqref="C6:F6"/>
    </sheetView>
  </sheetViews>
  <sheetFormatPr defaultColWidth="17.7109375" defaultRowHeight="12.75"/>
  <sheetData>
    <row r="1" spans="1:6" ht="19.5">
      <c r="A1" s="1808" t="str">
        <f>"Results from Method M ("&amp;Inputs!B19&amp;") for "&amp;Inputs!B6&amp;" in "&amp;Inputs!C6&amp;"  Status: "&amp;Inputs!D6&amp;""</f>
        <v>Results from Method M (LR1) for WPD South West in 2014/15  Status: Indicative</v>
      </c>
    </row>
    <row r="3" spans="1:6" s="1811" customFormat="1" ht="17.25">
      <c r="A3" s="1812" t="s">
        <v>931</v>
      </c>
    </row>
    <row r="4" spans="1:6" s="1811" customFormat="1" ht="17.25">
      <c r="A4" s="1812"/>
    </row>
    <row r="5" spans="1:6" s="1811" customFormat="1" ht="25.5">
      <c r="A5" s="1825"/>
      <c r="B5" s="1826" t="s">
        <v>349</v>
      </c>
      <c r="C5" s="1826" t="s">
        <v>350</v>
      </c>
      <c r="D5" s="1826" t="s">
        <v>351</v>
      </c>
      <c r="E5" s="1826" t="s">
        <v>352</v>
      </c>
      <c r="F5" s="1826" t="s">
        <v>353</v>
      </c>
    </row>
    <row r="6" spans="1:6" s="1811" customFormat="1" ht="15">
      <c r="A6" s="1827" t="s">
        <v>354</v>
      </c>
      <c r="B6" s="1828"/>
      <c r="C6" s="1828">
        <f>'Allocation Summary'!C9*(1-'Allocation Summary'!C10*Inputs!B12)+'Allocation Summary'!B9</f>
        <v>0.36388191586953195</v>
      </c>
      <c r="D6" s="1828">
        <f>'Allocation Summary'!C9 +'Allocation Summary'!D9+('Allocation Summary'!E9*(1-Inputs!B13*'Allocation Summary'!E10))+'Allocation Summary'!B9</f>
        <v>0.64805442462982876</v>
      </c>
      <c r="E6" s="1828">
        <f>('Allocation Summary'!D9 + 'Allocation Summary'!E9  *(1-Inputs!B13* 'Allocation Summary'!E10))/(1-'Allocation Summary'!C9-'Allocation Summary'!B9)</f>
        <v>0.42938498115605411</v>
      </c>
      <c r="F6" s="1828">
        <f>'Allocation Summary'!E9*(1-Inputs!B13*'Allocation Summary'!E10)/(1-'Allocation Summary'!B9-'Allocation Summary'!C9-'Allocation Summary'!D9)</f>
        <v>0.32583890154406753</v>
      </c>
    </row>
    <row r="7" spans="1:6" s="1811" customFormat="1" ht="15"/>
  </sheetData>
  <pageMargins left="0.74803149606299213" right="0.74803149606299213" top="0.98425196850393704" bottom="0.98425196850393704" header="0.51181102362204722" footer="0.51181102362204722"/>
  <pageSetup paperSize="9" orientation="landscape" horizontalDpi="4294967292" verticalDpi="4294967292" r:id="rId1"/>
  <headerFooter>
    <oddFooter>&amp;L&amp;Z&amp;F&amp;R&amp;D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Index</vt:lpstr>
      <vt:lpstr>Inputs</vt:lpstr>
      <vt:lpstr>Allowed revenue -DPCR4</vt:lpstr>
      <vt:lpstr>FBPQ T4</vt:lpstr>
      <vt:lpstr>FBPQ LR1</vt:lpstr>
      <vt:lpstr>FBPQ LR1 - V5 opt3</vt:lpstr>
      <vt:lpstr>FBPQ LR4</vt:lpstr>
      <vt:lpstr>FBPQ LR6</vt:lpstr>
      <vt:lpstr>FBPQ NL1</vt:lpstr>
      <vt:lpstr>NL9 - Legal &amp; Safety</vt:lpstr>
      <vt:lpstr>FBPQ C2</vt:lpstr>
      <vt:lpstr>RRP 1.3</vt:lpstr>
      <vt:lpstr>RRP 2.3</vt:lpstr>
      <vt:lpstr>RRP 2.4</vt:lpstr>
      <vt:lpstr>RRP 2.6</vt:lpstr>
      <vt:lpstr>RRP 5.1</vt:lpstr>
      <vt:lpstr>Summary of revenue</vt:lpstr>
      <vt:lpstr>Calc-MEAV</vt:lpstr>
      <vt:lpstr>Calc-Units</vt:lpstr>
      <vt:lpstr>Calc-Net capex</vt:lpstr>
      <vt:lpstr>Calc DNO Opex Allocation</vt:lpstr>
      <vt:lpstr>Calc-Drivers</vt:lpstr>
      <vt:lpstr>DNO Final Allocation</vt:lpstr>
      <vt:lpstr>Allocation Summary</vt:lpstr>
      <vt:lpstr>Results</vt:lpstr>
      <vt:lpstr>'RRP 5.1'!Print_Titles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Wornell, Dave I.</dc:creator>
  <cp:lastModifiedBy>Wornell, Dave I.</cp:lastModifiedBy>
  <cp:lastPrinted>2013-12-10T12:28:57Z</cp:lastPrinted>
  <dcterms:created xsi:type="dcterms:W3CDTF">2009-07-13T08:35:25Z</dcterms:created>
  <dcterms:modified xsi:type="dcterms:W3CDTF">2013-12-10T15:19:21Z</dcterms:modified>
</cp:coreProperties>
</file>